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9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AWinters\Daily Reports\Dashboard\"/>
    </mc:Choice>
  </mc:AlternateContent>
  <xr:revisionPtr revIDLastSave="0" documentId="13_ncr:1_{28D0E795-A60B-45E7-A62A-3A015721D563}" xr6:coauthVersionLast="47" xr6:coauthVersionMax="47" xr10:uidLastSave="{00000000-0000-0000-0000-000000000000}"/>
  <bookViews>
    <workbookView xWindow="-120" yWindow="-120" windowWidth="29040" windowHeight="15840" xr2:uid="{6C7473DA-F217-4C1E-91C0-CA6A43A06F45}"/>
  </bookViews>
  <sheets>
    <sheet name="Overall" sheetId="12" r:id="rId1"/>
    <sheet name="1" sheetId="1" r:id="rId2"/>
    <sheet name="3" sheetId="6" r:id="rId3"/>
    <sheet name="4" sheetId="5" r:id="rId4"/>
    <sheet name="5" sheetId="4" r:id="rId5"/>
    <sheet name="9" sheetId="7" r:id="rId6"/>
    <sheet name="10" sheetId="8" r:id="rId7"/>
    <sheet name="12" sheetId="9" r:id="rId8"/>
    <sheet name="14" sheetId="10" r:id="rId9"/>
    <sheet name="Data" sheetId="2" r:id="rId10"/>
    <sheet name="Totals" sheetId="3" r:id="rId11"/>
  </sheets>
  <externalReferences>
    <externalReference r:id="rId12"/>
    <externalReference r:id="rId13"/>
  </externalReferences>
  <definedNames>
    <definedName name="_xlnm._FilterDatabase" localSheetId="9" hidden="1">Data!$A$1:$CE$2</definedName>
    <definedName name="_xlnm.Print_Area" localSheetId="1">'1'!$A$1:$J$61</definedName>
    <definedName name="_xlnm.Print_Area" localSheetId="6">'10'!$A$1:$J$59</definedName>
    <definedName name="_xlnm.Print_Area" localSheetId="7">'12'!$A$1:$J$59</definedName>
    <definedName name="_xlnm.Print_Area" localSheetId="8">'14'!$A$1:$J$59</definedName>
    <definedName name="_xlnm.Print_Area" localSheetId="2">'3'!$A$1:$J$59</definedName>
    <definedName name="_xlnm.Print_Area" localSheetId="3">'4'!$A$1:$J$59</definedName>
    <definedName name="_xlnm.Print_Area" localSheetId="4">'5'!$A$1:$J$59</definedName>
    <definedName name="_xlnm.Print_Area" localSheetId="5">'9'!$A$1:$J$59</definedName>
    <definedName name="_xlnm.Print_Area" localSheetId="0">Overall!$B$1:$K$20</definedName>
  </definedNames>
  <calcPr calcId="191029"/>
  <pivotCaches>
    <pivotCache cacheId="6" r:id="rId14"/>
    <pivotCache cacheId="10" r:id="rId15"/>
    <pivotCache cacheId="14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3" i="3" l="1"/>
  <c r="AO12" i="3"/>
  <c r="AO11" i="3"/>
  <c r="AO10" i="3"/>
  <c r="AO9" i="3"/>
  <c r="AO8" i="3"/>
  <c r="AO7" i="3"/>
  <c r="AO6" i="3"/>
  <c r="AO5" i="3"/>
  <c r="AN13" i="3"/>
  <c r="AM13" i="3"/>
  <c r="AL13" i="3"/>
  <c r="AK13" i="3"/>
  <c r="AJ13" i="3"/>
  <c r="AI13" i="3"/>
  <c r="AN12" i="3"/>
  <c r="AM12" i="3"/>
  <c r="AL12" i="3"/>
  <c r="AK12" i="3"/>
  <c r="AJ12" i="3"/>
  <c r="AI12" i="3"/>
  <c r="AN11" i="3"/>
  <c r="AM11" i="3"/>
  <c r="AL11" i="3"/>
  <c r="AK11" i="3"/>
  <c r="AJ11" i="3"/>
  <c r="AI11" i="3"/>
  <c r="AN10" i="3"/>
  <c r="AM10" i="3"/>
  <c r="AL10" i="3"/>
  <c r="AK10" i="3"/>
  <c r="AJ10" i="3"/>
  <c r="AI10" i="3"/>
  <c r="AN9" i="3"/>
  <c r="AM9" i="3"/>
  <c r="AL9" i="3"/>
  <c r="AK9" i="3"/>
  <c r="AJ9" i="3"/>
  <c r="AI9" i="3"/>
  <c r="AN8" i="3"/>
  <c r="AM8" i="3"/>
  <c r="AL8" i="3"/>
  <c r="AK8" i="3"/>
  <c r="AJ8" i="3"/>
  <c r="AI8" i="3"/>
  <c r="AN7" i="3"/>
  <c r="AM7" i="3"/>
  <c r="AL7" i="3"/>
  <c r="AK7" i="3"/>
  <c r="AJ7" i="3"/>
  <c r="AI7" i="3"/>
  <c r="AN6" i="3"/>
  <c r="AM6" i="3"/>
  <c r="AL6" i="3"/>
  <c r="AK6" i="3"/>
  <c r="AJ6" i="3"/>
  <c r="AI6" i="3"/>
  <c r="AN5" i="3"/>
  <c r="AM5" i="3"/>
  <c r="AL5" i="3"/>
  <c r="AK5" i="3"/>
  <c r="AJ5" i="3"/>
  <c r="AI5" i="3"/>
  <c r="AH13" i="3"/>
  <c r="AH6" i="3"/>
  <c r="AH7" i="3"/>
  <c r="AH8" i="3"/>
  <c r="AH9" i="3"/>
  <c r="AH10" i="3"/>
  <c r="AH11" i="3"/>
  <c r="AH12" i="3"/>
  <c r="AH5" i="3"/>
  <c r="J44" i="10" l="1" a="1"/>
  <c r="J44" i="10" s="1"/>
  <c r="I44" i="10" a="1"/>
  <c r="I44" i="10" s="1"/>
  <c r="H44" i="10" a="1"/>
  <c r="H44" i="10" s="1"/>
  <c r="G44" i="10" a="1"/>
  <c r="G44" i="10" s="1"/>
  <c r="F44" i="10" a="1"/>
  <c r="F44" i="10" s="1"/>
  <c r="E44" i="10" a="1"/>
  <c r="E44" i="10" s="1"/>
  <c r="D44" i="10" a="1"/>
  <c r="D44" i="10" s="1"/>
  <c r="C44" i="10" a="1"/>
  <c r="C44" i="10" s="1"/>
  <c r="B44" i="10" a="1"/>
  <c r="B44" i="10" s="1"/>
  <c r="A44" i="10" a="1"/>
  <c r="A44" i="10" s="1"/>
  <c r="J43" i="10" a="1"/>
  <c r="J43" i="10" s="1"/>
  <c r="I43" i="10" a="1"/>
  <c r="I43" i="10" s="1"/>
  <c r="H43" i="10" a="1"/>
  <c r="H43" i="10" s="1"/>
  <c r="G43" i="10" a="1"/>
  <c r="G43" i="10" s="1"/>
  <c r="F43" i="10" a="1"/>
  <c r="F43" i="10" s="1"/>
  <c r="E43" i="10" a="1"/>
  <c r="E43" i="10" s="1"/>
  <c r="D43" i="10" a="1"/>
  <c r="D43" i="10" s="1"/>
  <c r="C43" i="10" a="1"/>
  <c r="C43" i="10" s="1"/>
  <c r="B43" i="10" a="1"/>
  <c r="B43" i="10" s="1"/>
  <c r="A43" i="10" a="1"/>
  <c r="A43" i="10" s="1"/>
  <c r="J42" i="10" a="1"/>
  <c r="J42" i="10" s="1"/>
  <c r="I42" i="10" a="1"/>
  <c r="I42" i="10" s="1"/>
  <c r="H42" i="10" a="1"/>
  <c r="H42" i="10" s="1"/>
  <c r="G42" i="10" a="1"/>
  <c r="G42" i="10" s="1"/>
  <c r="F42" i="10" a="1"/>
  <c r="F42" i="10" s="1"/>
  <c r="E42" i="10" a="1"/>
  <c r="E42" i="10" s="1"/>
  <c r="D42" i="10" a="1"/>
  <c r="D42" i="10" s="1"/>
  <c r="C42" i="10" a="1"/>
  <c r="C42" i="10" s="1"/>
  <c r="B42" i="10" a="1"/>
  <c r="B42" i="10" s="1"/>
  <c r="A42" i="10" a="1"/>
  <c r="A42" i="10" s="1"/>
  <c r="J41" i="10" a="1"/>
  <c r="J41" i="10" s="1"/>
  <c r="I41" i="10" a="1"/>
  <c r="I41" i="10" s="1"/>
  <c r="H41" i="10" a="1"/>
  <c r="H41" i="10" s="1"/>
  <c r="G41" i="10" a="1"/>
  <c r="G41" i="10" s="1"/>
  <c r="F41" i="10" a="1"/>
  <c r="F41" i="10" s="1"/>
  <c r="E41" i="10" a="1"/>
  <c r="E41" i="10" s="1"/>
  <c r="D41" i="10" a="1"/>
  <c r="D41" i="10" s="1"/>
  <c r="C41" i="10" a="1"/>
  <c r="C41" i="10" s="1"/>
  <c r="B41" i="10" a="1"/>
  <c r="B41" i="10" s="1"/>
  <c r="A41" i="10" a="1"/>
  <c r="A41" i="10" s="1"/>
  <c r="J40" i="10" a="1"/>
  <c r="J40" i="10" s="1"/>
  <c r="I40" i="10" a="1"/>
  <c r="I40" i="10" s="1"/>
  <c r="H40" i="10" a="1"/>
  <c r="H40" i="10" s="1"/>
  <c r="G40" i="10" a="1"/>
  <c r="G40" i="10" s="1"/>
  <c r="F40" i="10" a="1"/>
  <c r="F40" i="10" s="1"/>
  <c r="E40" i="10" a="1"/>
  <c r="E40" i="10" s="1"/>
  <c r="D40" i="10" a="1"/>
  <c r="D40" i="10" s="1"/>
  <c r="C40" i="10" a="1"/>
  <c r="C40" i="10" s="1"/>
  <c r="B40" i="10" a="1"/>
  <c r="B40" i="10" s="1"/>
  <c r="A40" i="10" a="1"/>
  <c r="A40" i="10" s="1"/>
  <c r="J39" i="10" a="1"/>
  <c r="J39" i="10" s="1"/>
  <c r="I39" i="10" a="1"/>
  <c r="I39" i="10" s="1"/>
  <c r="H39" i="10" a="1"/>
  <c r="H39" i="10" s="1"/>
  <c r="G39" i="10" a="1"/>
  <c r="G39" i="10" s="1"/>
  <c r="F39" i="10" a="1"/>
  <c r="F39" i="10" s="1"/>
  <c r="E39" i="10" a="1"/>
  <c r="E39" i="10" s="1"/>
  <c r="D39" i="10" a="1"/>
  <c r="D39" i="10" s="1"/>
  <c r="C39" i="10" a="1"/>
  <c r="C39" i="10" s="1"/>
  <c r="B39" i="10" a="1"/>
  <c r="B39" i="10" s="1"/>
  <c r="A39" i="10" a="1"/>
  <c r="A39" i="10" s="1"/>
  <c r="J38" i="10" a="1"/>
  <c r="J38" i="10" s="1"/>
  <c r="I38" i="10" a="1"/>
  <c r="I38" i="10" s="1"/>
  <c r="H38" i="10" a="1"/>
  <c r="H38" i="10" s="1"/>
  <c r="G38" i="10" a="1"/>
  <c r="G38" i="10" s="1"/>
  <c r="F38" i="10" a="1"/>
  <c r="F38" i="10" s="1"/>
  <c r="E38" i="10" a="1"/>
  <c r="E38" i="10" s="1"/>
  <c r="D38" i="10" a="1"/>
  <c r="D38" i="10" s="1"/>
  <c r="C38" i="10" a="1"/>
  <c r="C38" i="10" s="1"/>
  <c r="B38" i="10" a="1"/>
  <c r="B38" i="10" s="1"/>
  <c r="A38" i="10" a="1"/>
  <c r="A38" i="10" s="1"/>
  <c r="J37" i="10" a="1"/>
  <c r="J37" i="10" s="1"/>
  <c r="I37" i="10" a="1"/>
  <c r="I37" i="10" s="1"/>
  <c r="H37" i="10" a="1"/>
  <c r="H37" i="10" s="1"/>
  <c r="G37" i="10" a="1"/>
  <c r="G37" i="10" s="1"/>
  <c r="F37" i="10" a="1"/>
  <c r="F37" i="10" s="1"/>
  <c r="E37" i="10" a="1"/>
  <c r="E37" i="10" s="1"/>
  <c r="D37" i="10" a="1"/>
  <c r="D37" i="10" s="1"/>
  <c r="C37" i="10" a="1"/>
  <c r="C37" i="10" s="1"/>
  <c r="B37" i="10" a="1"/>
  <c r="B37" i="10" s="1"/>
  <c r="A37" i="10" a="1"/>
  <c r="A37" i="10" s="1"/>
  <c r="J36" i="10" a="1"/>
  <c r="J36" i="10" s="1"/>
  <c r="I36" i="10" a="1"/>
  <c r="I36" i="10" s="1"/>
  <c r="H36" i="10" a="1"/>
  <c r="H36" i="10" s="1"/>
  <c r="G36" i="10" a="1"/>
  <c r="G36" i="10" s="1"/>
  <c r="F36" i="10" a="1"/>
  <c r="F36" i="10" s="1"/>
  <c r="E36" i="10" a="1"/>
  <c r="E36" i="10" s="1"/>
  <c r="D36" i="10" a="1"/>
  <c r="D36" i="10" s="1"/>
  <c r="C36" i="10" a="1"/>
  <c r="C36" i="10" s="1"/>
  <c r="B36" i="10" a="1"/>
  <c r="B36" i="10" s="1"/>
  <c r="A36" i="10" a="1"/>
  <c r="A36" i="10" s="1"/>
  <c r="J35" i="10" a="1"/>
  <c r="J35" i="10" s="1"/>
  <c r="I35" i="10" a="1"/>
  <c r="I35" i="10" s="1"/>
  <c r="H35" i="10" a="1"/>
  <c r="H35" i="10" s="1"/>
  <c r="G35" i="10" a="1"/>
  <c r="G35" i="10" s="1"/>
  <c r="F35" i="10" a="1"/>
  <c r="F35" i="10" s="1"/>
  <c r="E35" i="10" a="1"/>
  <c r="E35" i="10" s="1"/>
  <c r="D35" i="10" a="1"/>
  <c r="D35" i="10" s="1"/>
  <c r="C35" i="10" a="1"/>
  <c r="C35" i="10" s="1"/>
  <c r="B35" i="10" a="1"/>
  <c r="B35" i="10" s="1"/>
  <c r="A35" i="10" a="1"/>
  <c r="A35" i="10" s="1"/>
  <c r="J34" i="10" a="1"/>
  <c r="J34" i="10" s="1"/>
  <c r="I34" i="10" a="1"/>
  <c r="I34" i="10" s="1"/>
  <c r="H34" i="10" a="1"/>
  <c r="H34" i="10" s="1"/>
  <c r="G34" i="10" a="1"/>
  <c r="G34" i="10" s="1"/>
  <c r="F34" i="10" a="1"/>
  <c r="F34" i="10" s="1"/>
  <c r="E34" i="10" a="1"/>
  <c r="E34" i="10" s="1"/>
  <c r="D34" i="10" a="1"/>
  <c r="D34" i="10" s="1"/>
  <c r="C34" i="10" a="1"/>
  <c r="C34" i="10" s="1"/>
  <c r="B34" i="10" a="1"/>
  <c r="B34" i="10" s="1"/>
  <c r="A34" i="10" a="1"/>
  <c r="A34" i="10" s="1"/>
  <c r="J33" i="10" a="1"/>
  <c r="J33" i="10" s="1"/>
  <c r="I33" i="10" a="1"/>
  <c r="I33" i="10" s="1"/>
  <c r="H33" i="10" a="1"/>
  <c r="H33" i="10" s="1"/>
  <c r="G33" i="10" a="1"/>
  <c r="G33" i="10" s="1"/>
  <c r="F33" i="10" a="1"/>
  <c r="F33" i="10" s="1"/>
  <c r="E33" i="10" a="1"/>
  <c r="E33" i="10" s="1"/>
  <c r="D33" i="10" a="1"/>
  <c r="D33" i="10" s="1"/>
  <c r="C33" i="10" a="1"/>
  <c r="C33" i="10" s="1"/>
  <c r="B33" i="10" a="1"/>
  <c r="B33" i="10" s="1"/>
  <c r="A33" i="10" a="1"/>
  <c r="A33" i="10" s="1"/>
  <c r="J32" i="10" a="1"/>
  <c r="J32" i="10" s="1"/>
  <c r="I32" i="10" a="1"/>
  <c r="I32" i="10" s="1"/>
  <c r="H32" i="10" a="1"/>
  <c r="H32" i="10" s="1"/>
  <c r="G32" i="10" a="1"/>
  <c r="G32" i="10" s="1"/>
  <c r="F32" i="10" a="1"/>
  <c r="F32" i="10" s="1"/>
  <c r="E32" i="10" a="1"/>
  <c r="E32" i="10" s="1"/>
  <c r="D32" i="10" a="1"/>
  <c r="D32" i="10" s="1"/>
  <c r="C32" i="10" a="1"/>
  <c r="C32" i="10" s="1"/>
  <c r="B32" i="10" a="1"/>
  <c r="B32" i="10" s="1"/>
  <c r="A32" i="10" a="1"/>
  <c r="A32" i="10" s="1"/>
  <c r="J31" i="10" a="1"/>
  <c r="J31" i="10" s="1"/>
  <c r="I31" i="10" a="1"/>
  <c r="I31" i="10" s="1"/>
  <c r="H31" i="10" a="1"/>
  <c r="H31" i="10" s="1"/>
  <c r="G31" i="10" a="1"/>
  <c r="G31" i="10" s="1"/>
  <c r="F31" i="10" a="1"/>
  <c r="F31" i="10" s="1"/>
  <c r="E31" i="10" a="1"/>
  <c r="E31" i="10" s="1"/>
  <c r="D31" i="10" a="1"/>
  <c r="D31" i="10" s="1"/>
  <c r="C31" i="10" a="1"/>
  <c r="C31" i="10" s="1"/>
  <c r="B31" i="10" a="1"/>
  <c r="B31" i="10" s="1"/>
  <c r="A31" i="10" a="1"/>
  <c r="A31" i="10" s="1"/>
  <c r="J30" i="10" a="1"/>
  <c r="J30" i="10" s="1"/>
  <c r="I30" i="10" a="1"/>
  <c r="I30" i="10" s="1"/>
  <c r="H30" i="10" a="1"/>
  <c r="H30" i="10" s="1"/>
  <c r="G30" i="10" a="1"/>
  <c r="G30" i="10" s="1"/>
  <c r="F30" i="10" a="1"/>
  <c r="F30" i="10" s="1"/>
  <c r="E30" i="10" a="1"/>
  <c r="E30" i="10" s="1"/>
  <c r="D30" i="10" a="1"/>
  <c r="D30" i="10" s="1"/>
  <c r="C30" i="10" a="1"/>
  <c r="C30" i="10" s="1"/>
  <c r="B30" i="10" a="1"/>
  <c r="B30" i="10" s="1"/>
  <c r="A30" i="10" a="1"/>
  <c r="A30" i="10" s="1"/>
  <c r="B29" i="10" a="1"/>
  <c r="B29" i="10" s="1"/>
  <c r="C29" i="10" a="1"/>
  <c r="C29" i="10" s="1"/>
  <c r="D29" i="10" a="1"/>
  <c r="D29" i="10" s="1"/>
  <c r="E29" i="10" a="1"/>
  <c r="E29" i="10"/>
  <c r="F29" i="10" a="1"/>
  <c r="F29" i="10" s="1"/>
  <c r="G29" i="10" a="1"/>
  <c r="G29" i="10" s="1"/>
  <c r="H29" i="10" a="1"/>
  <c r="H29" i="10" s="1"/>
  <c r="I29" i="10" a="1"/>
  <c r="I29" i="10"/>
  <c r="J29" i="10" a="1"/>
  <c r="J29" i="10" s="1"/>
  <c r="A29" i="10" a="1"/>
  <c r="A29" i="10" s="1"/>
  <c r="A30" i="9" a="1"/>
  <c r="A30" i="9" s="1"/>
  <c r="B30" i="9" a="1"/>
  <c r="B30" i="9" s="1"/>
  <c r="C30" i="9" a="1"/>
  <c r="C30" i="9" s="1"/>
  <c r="D30" i="9" a="1"/>
  <c r="D30" i="9"/>
  <c r="E30" i="9" a="1"/>
  <c r="E30" i="9" s="1"/>
  <c r="F30" i="9" a="1"/>
  <c r="F30" i="9" s="1"/>
  <c r="G30" i="9" a="1"/>
  <c r="G30" i="9" s="1"/>
  <c r="H30" i="9" a="1"/>
  <c r="H30" i="9"/>
  <c r="I30" i="9" a="1"/>
  <c r="I30" i="9" s="1"/>
  <c r="J30" i="9" a="1"/>
  <c r="J30" i="9" s="1"/>
  <c r="A31" i="9" a="1"/>
  <c r="A31" i="9" s="1"/>
  <c r="B31" i="9" a="1"/>
  <c r="B31" i="9"/>
  <c r="C31" i="9" a="1"/>
  <c r="C31" i="9" s="1"/>
  <c r="D31" i="9" a="1"/>
  <c r="D31" i="9" s="1"/>
  <c r="E31" i="9" a="1"/>
  <c r="E31" i="9" s="1"/>
  <c r="F31" i="9" a="1"/>
  <c r="F31" i="9"/>
  <c r="G31" i="9" a="1"/>
  <c r="G31" i="9" s="1"/>
  <c r="H31" i="9" a="1"/>
  <c r="H31" i="9" s="1"/>
  <c r="I31" i="9" a="1"/>
  <c r="I31" i="9" s="1"/>
  <c r="J31" i="9" a="1"/>
  <c r="J31" i="9"/>
  <c r="A32" i="9" a="1"/>
  <c r="A32" i="9" s="1"/>
  <c r="B32" i="9" a="1"/>
  <c r="B32" i="9" s="1"/>
  <c r="C32" i="9" a="1"/>
  <c r="C32" i="9" s="1"/>
  <c r="D32" i="9" a="1"/>
  <c r="D32" i="9"/>
  <c r="E32" i="9" a="1"/>
  <c r="E32" i="9" s="1"/>
  <c r="F32" i="9" a="1"/>
  <c r="F32" i="9" s="1"/>
  <c r="G32" i="9" a="1"/>
  <c r="G32" i="9" s="1"/>
  <c r="H32" i="9" a="1"/>
  <c r="H32" i="9"/>
  <c r="I32" i="9" a="1"/>
  <c r="I32" i="9" s="1"/>
  <c r="J32" i="9" a="1"/>
  <c r="J32" i="9" s="1"/>
  <c r="A33" i="9" a="1"/>
  <c r="A33" i="9" s="1"/>
  <c r="B33" i="9" a="1"/>
  <c r="B33" i="9"/>
  <c r="C33" i="9" a="1"/>
  <c r="C33" i="9" s="1"/>
  <c r="D33" i="9" a="1"/>
  <c r="D33" i="9" s="1"/>
  <c r="E33" i="9" a="1"/>
  <c r="E33" i="9" s="1"/>
  <c r="F33" i="9" a="1"/>
  <c r="F33" i="9"/>
  <c r="G33" i="9" a="1"/>
  <c r="G33" i="9" s="1"/>
  <c r="H33" i="9" a="1"/>
  <c r="H33" i="9" s="1"/>
  <c r="I33" i="9" a="1"/>
  <c r="I33" i="9" s="1"/>
  <c r="J33" i="9" a="1"/>
  <c r="J33" i="9"/>
  <c r="A34" i="9" a="1"/>
  <c r="A34" i="9" s="1"/>
  <c r="B34" i="9" a="1"/>
  <c r="B34" i="9" s="1"/>
  <c r="C34" i="9" a="1"/>
  <c r="C34" i="9" s="1"/>
  <c r="D34" i="9" a="1"/>
  <c r="D34" i="9"/>
  <c r="E34" i="9" a="1"/>
  <c r="E34" i="9" s="1"/>
  <c r="F34" i="9" a="1"/>
  <c r="F34" i="9" s="1"/>
  <c r="G34" i="9" a="1"/>
  <c r="G34" i="9" s="1"/>
  <c r="H34" i="9" a="1"/>
  <c r="H34" i="9"/>
  <c r="I34" i="9" a="1"/>
  <c r="I34" i="9" s="1"/>
  <c r="J34" i="9" a="1"/>
  <c r="J34" i="9" s="1"/>
  <c r="A35" i="9" a="1"/>
  <c r="A35" i="9" s="1"/>
  <c r="B35" i="9" a="1"/>
  <c r="B35" i="9"/>
  <c r="C35" i="9" a="1"/>
  <c r="C35" i="9" s="1"/>
  <c r="D35" i="9" a="1"/>
  <c r="D35" i="9" s="1"/>
  <c r="E35" i="9" a="1"/>
  <c r="E35" i="9" s="1"/>
  <c r="F35" i="9" a="1"/>
  <c r="F35" i="9"/>
  <c r="G35" i="9" a="1"/>
  <c r="G35" i="9" s="1"/>
  <c r="H35" i="9" a="1"/>
  <c r="H35" i="9" s="1"/>
  <c r="I35" i="9" a="1"/>
  <c r="I35" i="9" s="1"/>
  <c r="J35" i="9" a="1"/>
  <c r="J35" i="9"/>
  <c r="A36" i="9" a="1"/>
  <c r="A36" i="9" s="1"/>
  <c r="B36" i="9" a="1"/>
  <c r="B36" i="9" s="1"/>
  <c r="C36" i="9" a="1"/>
  <c r="C36" i="9" s="1"/>
  <c r="D36" i="9" a="1"/>
  <c r="D36" i="9"/>
  <c r="E36" i="9" a="1"/>
  <c r="E36" i="9" s="1"/>
  <c r="F36" i="9" a="1"/>
  <c r="F36" i="9" s="1"/>
  <c r="G36" i="9" a="1"/>
  <c r="G36" i="9" s="1"/>
  <c r="H36" i="9" a="1"/>
  <c r="H36" i="9"/>
  <c r="I36" i="9" a="1"/>
  <c r="I36" i="9" s="1"/>
  <c r="J36" i="9" a="1"/>
  <c r="J36" i="9" s="1"/>
  <c r="A37" i="9" a="1"/>
  <c r="A37" i="9" s="1"/>
  <c r="B37" i="9" a="1"/>
  <c r="B37" i="9"/>
  <c r="C37" i="9" a="1"/>
  <c r="C37" i="9" s="1"/>
  <c r="D37" i="9" a="1"/>
  <c r="D37" i="9" s="1"/>
  <c r="E37" i="9" a="1"/>
  <c r="E37" i="9" s="1"/>
  <c r="F37" i="9" a="1"/>
  <c r="F37" i="9"/>
  <c r="G37" i="9" a="1"/>
  <c r="G37" i="9" s="1"/>
  <c r="H37" i="9" a="1"/>
  <c r="H37" i="9" s="1"/>
  <c r="I37" i="9" a="1"/>
  <c r="I37" i="9" s="1"/>
  <c r="J37" i="9" a="1"/>
  <c r="J37" i="9"/>
  <c r="A38" i="9" a="1"/>
  <c r="A38" i="9" s="1"/>
  <c r="B38" i="9" a="1"/>
  <c r="B38" i="9" s="1"/>
  <c r="C38" i="9" a="1"/>
  <c r="C38" i="9" s="1"/>
  <c r="D38" i="9" a="1"/>
  <c r="D38" i="9"/>
  <c r="E38" i="9" a="1"/>
  <c r="E38" i="9" s="1"/>
  <c r="F38" i="9" a="1"/>
  <c r="F38" i="9" s="1"/>
  <c r="G38" i="9" a="1"/>
  <c r="G38" i="9" s="1"/>
  <c r="H38" i="9" a="1"/>
  <c r="H38" i="9"/>
  <c r="I38" i="9" a="1"/>
  <c r="I38" i="9" s="1"/>
  <c r="J38" i="9" a="1"/>
  <c r="J38" i="9" s="1"/>
  <c r="A39" i="9" a="1"/>
  <c r="A39" i="9" s="1"/>
  <c r="B39" i="9" a="1"/>
  <c r="B39" i="9"/>
  <c r="C39" i="9" a="1"/>
  <c r="C39" i="9" s="1"/>
  <c r="D39" i="9" a="1"/>
  <c r="D39" i="9" s="1"/>
  <c r="E39" i="9" a="1"/>
  <c r="E39" i="9" s="1"/>
  <c r="F39" i="9" a="1"/>
  <c r="F39" i="9"/>
  <c r="G39" i="9" a="1"/>
  <c r="G39" i="9" s="1"/>
  <c r="H39" i="9" a="1"/>
  <c r="H39" i="9" s="1"/>
  <c r="I39" i="9" a="1"/>
  <c r="I39" i="9" s="1"/>
  <c r="J39" i="9" a="1"/>
  <c r="J39" i="9"/>
  <c r="A40" i="9" a="1"/>
  <c r="A40" i="9" s="1"/>
  <c r="B40" i="9" a="1"/>
  <c r="B40" i="9" s="1"/>
  <c r="C40" i="9" a="1"/>
  <c r="C40" i="9" s="1"/>
  <c r="D40" i="9" a="1"/>
  <c r="D40" i="9"/>
  <c r="E40" i="9" a="1"/>
  <c r="E40" i="9" s="1"/>
  <c r="F40" i="9" a="1"/>
  <c r="F40" i="9" s="1"/>
  <c r="G40" i="9" a="1"/>
  <c r="G40" i="9" s="1"/>
  <c r="H40" i="9" a="1"/>
  <c r="H40" i="9"/>
  <c r="I40" i="9" a="1"/>
  <c r="I40" i="9" s="1"/>
  <c r="J40" i="9" a="1"/>
  <c r="J40" i="9" s="1"/>
  <c r="A41" i="9" a="1"/>
  <c r="A41" i="9" s="1"/>
  <c r="B41" i="9" a="1"/>
  <c r="B41" i="9"/>
  <c r="C41" i="9" a="1"/>
  <c r="C41" i="9" s="1"/>
  <c r="D41" i="9" a="1"/>
  <c r="D41" i="9" s="1"/>
  <c r="E41" i="9" a="1"/>
  <c r="E41" i="9" s="1"/>
  <c r="F41" i="9" a="1"/>
  <c r="F41" i="9"/>
  <c r="G41" i="9" a="1"/>
  <c r="G41" i="9" s="1"/>
  <c r="H41" i="9" a="1"/>
  <c r="H41" i="9" s="1"/>
  <c r="I41" i="9" a="1"/>
  <c r="I41" i="9" s="1"/>
  <c r="J41" i="9" a="1"/>
  <c r="J41" i="9"/>
  <c r="A42" i="9" a="1"/>
  <c r="A42" i="9" s="1"/>
  <c r="B42" i="9" a="1"/>
  <c r="B42" i="9" s="1"/>
  <c r="C42" i="9" a="1"/>
  <c r="C42" i="9" s="1"/>
  <c r="D42" i="9" a="1"/>
  <c r="D42" i="9"/>
  <c r="E42" i="9" a="1"/>
  <c r="E42" i="9" s="1"/>
  <c r="F42" i="9" a="1"/>
  <c r="F42" i="9" s="1"/>
  <c r="G42" i="9" a="1"/>
  <c r="G42" i="9" s="1"/>
  <c r="H42" i="9" a="1"/>
  <c r="H42" i="9"/>
  <c r="I42" i="9" a="1"/>
  <c r="I42" i="9" s="1"/>
  <c r="J42" i="9" a="1"/>
  <c r="J42" i="9" s="1"/>
  <c r="A43" i="9" a="1"/>
  <c r="A43" i="9" s="1"/>
  <c r="B43" i="9" a="1"/>
  <c r="B43" i="9"/>
  <c r="C43" i="9" a="1"/>
  <c r="C43" i="9" s="1"/>
  <c r="D43" i="9" a="1"/>
  <c r="D43" i="9" s="1"/>
  <c r="E43" i="9" a="1"/>
  <c r="E43" i="9" s="1"/>
  <c r="F43" i="9" a="1"/>
  <c r="F43" i="9"/>
  <c r="G43" i="9" a="1"/>
  <c r="G43" i="9" s="1"/>
  <c r="H43" i="9" a="1"/>
  <c r="H43" i="9" s="1"/>
  <c r="I43" i="9" a="1"/>
  <c r="I43" i="9" s="1"/>
  <c r="J43" i="9" a="1"/>
  <c r="J43" i="9"/>
  <c r="A44" i="9" a="1"/>
  <c r="A44" i="9" s="1"/>
  <c r="B44" i="9" a="1"/>
  <c r="B44" i="9" s="1"/>
  <c r="C44" i="9" a="1"/>
  <c r="C44" i="9" s="1"/>
  <c r="D44" i="9" a="1"/>
  <c r="D44" i="9"/>
  <c r="E44" i="9" a="1"/>
  <c r="E44" i="9" s="1"/>
  <c r="F44" i="9" a="1"/>
  <c r="F44" i="9" s="1"/>
  <c r="G44" i="9" a="1"/>
  <c r="G44" i="9" s="1"/>
  <c r="H44" i="9" a="1"/>
  <c r="H44" i="9"/>
  <c r="I44" i="9" a="1"/>
  <c r="I44" i="9" s="1"/>
  <c r="J44" i="9" a="1"/>
  <c r="J44" i="9" s="1"/>
  <c r="B29" i="9" a="1"/>
  <c r="B29" i="9" s="1"/>
  <c r="C29" i="9" a="1"/>
  <c r="C29" i="9" s="1"/>
  <c r="D29" i="9" a="1"/>
  <c r="D29" i="9" s="1"/>
  <c r="E29" i="9" a="1"/>
  <c r="E29" i="9"/>
  <c r="F29" i="9" a="1"/>
  <c r="F29" i="9" s="1"/>
  <c r="G29" i="9" a="1"/>
  <c r="G29" i="9" s="1"/>
  <c r="H29" i="9" a="1"/>
  <c r="H29" i="9" s="1"/>
  <c r="I29" i="9" a="1"/>
  <c r="I29" i="9"/>
  <c r="J29" i="9" a="1"/>
  <c r="J29" i="9" s="1"/>
  <c r="A29" i="9" a="1"/>
  <c r="A29" i="9"/>
  <c r="A31" i="8" a="1"/>
  <c r="A31" i="8" s="1"/>
  <c r="B31" i="8" a="1"/>
  <c r="B31" i="8" s="1"/>
  <c r="C31" i="8" a="1"/>
  <c r="C31" i="8" s="1"/>
  <c r="D31" i="8" a="1"/>
  <c r="D31" i="8"/>
  <c r="E31" i="8" a="1"/>
  <c r="E31" i="8" s="1"/>
  <c r="F31" i="8" a="1"/>
  <c r="F31" i="8" s="1"/>
  <c r="G31" i="8" a="1"/>
  <c r="G31" i="8" s="1"/>
  <c r="H31" i="8" a="1"/>
  <c r="H31" i="8"/>
  <c r="I31" i="8" a="1"/>
  <c r="I31" i="8" s="1"/>
  <c r="J31" i="8" a="1"/>
  <c r="J31" i="8" s="1"/>
  <c r="A32" i="8" a="1"/>
  <c r="A32" i="8" s="1"/>
  <c r="B32" i="8" a="1"/>
  <c r="B32" i="8"/>
  <c r="C32" i="8" a="1"/>
  <c r="C32" i="8" s="1"/>
  <c r="D32" i="8" a="1"/>
  <c r="D32" i="8" s="1"/>
  <c r="E32" i="8" a="1"/>
  <c r="E32" i="8" s="1"/>
  <c r="F32" i="8" a="1"/>
  <c r="F32" i="8"/>
  <c r="G32" i="8" a="1"/>
  <c r="G32" i="8" s="1"/>
  <c r="H32" i="8" a="1"/>
  <c r="H32" i="8" s="1"/>
  <c r="I32" i="8" a="1"/>
  <c r="I32" i="8" s="1"/>
  <c r="J32" i="8" a="1"/>
  <c r="J32" i="8"/>
  <c r="A33" i="8" a="1"/>
  <c r="A33" i="8" s="1"/>
  <c r="B33" i="8" a="1"/>
  <c r="B33" i="8" s="1"/>
  <c r="C33" i="8" a="1"/>
  <c r="C33" i="8" s="1"/>
  <c r="D33" i="8" a="1"/>
  <c r="D33" i="8"/>
  <c r="E33" i="8" a="1"/>
  <c r="E33" i="8" s="1"/>
  <c r="F33" i="8" a="1"/>
  <c r="F33" i="8" s="1"/>
  <c r="G33" i="8" a="1"/>
  <c r="G33" i="8" s="1"/>
  <c r="H33" i="8" a="1"/>
  <c r="H33" i="8"/>
  <c r="I33" i="8" a="1"/>
  <c r="I33" i="8" s="1"/>
  <c r="J33" i="8" a="1"/>
  <c r="J33" i="8" s="1"/>
  <c r="A34" i="8" a="1"/>
  <c r="A34" i="8" s="1"/>
  <c r="B34" i="8" a="1"/>
  <c r="B34" i="8"/>
  <c r="C34" i="8" a="1"/>
  <c r="C34" i="8" s="1"/>
  <c r="D34" i="8" a="1"/>
  <c r="D34" i="8" s="1"/>
  <c r="E34" i="8" a="1"/>
  <c r="E34" i="8" s="1"/>
  <c r="F34" i="8" a="1"/>
  <c r="F34" i="8"/>
  <c r="G34" i="8" a="1"/>
  <c r="G34" i="8" s="1"/>
  <c r="H34" i="8" a="1"/>
  <c r="H34" i="8" s="1"/>
  <c r="I34" i="8" a="1"/>
  <c r="I34" i="8" s="1"/>
  <c r="J34" i="8" a="1"/>
  <c r="J34" i="8"/>
  <c r="A35" i="8" a="1"/>
  <c r="A35" i="8" s="1"/>
  <c r="B35" i="8" a="1"/>
  <c r="B35" i="8" s="1"/>
  <c r="C35" i="8" a="1"/>
  <c r="C35" i="8" s="1"/>
  <c r="D35" i="8" a="1"/>
  <c r="D35" i="8"/>
  <c r="E35" i="8" a="1"/>
  <c r="E35" i="8" s="1"/>
  <c r="F35" i="8" a="1"/>
  <c r="F35" i="8" s="1"/>
  <c r="G35" i="8" a="1"/>
  <c r="G35" i="8" s="1"/>
  <c r="H35" i="8" a="1"/>
  <c r="H35" i="8"/>
  <c r="I35" i="8" a="1"/>
  <c r="I35" i="8" s="1"/>
  <c r="J35" i="8" a="1"/>
  <c r="J35" i="8" s="1"/>
  <c r="A36" i="8" a="1"/>
  <c r="A36" i="8" s="1"/>
  <c r="B36" i="8" a="1"/>
  <c r="B36" i="8"/>
  <c r="C36" i="8" a="1"/>
  <c r="C36" i="8" s="1"/>
  <c r="D36" i="8" a="1"/>
  <c r="D36" i="8" s="1"/>
  <c r="E36" i="8" a="1"/>
  <c r="E36" i="8" s="1"/>
  <c r="F36" i="8" a="1"/>
  <c r="F36" i="8"/>
  <c r="G36" i="8" a="1"/>
  <c r="G36" i="8" s="1"/>
  <c r="H36" i="8" a="1"/>
  <c r="H36" i="8" s="1"/>
  <c r="I36" i="8" a="1"/>
  <c r="I36" i="8" s="1"/>
  <c r="J36" i="8" a="1"/>
  <c r="J36" i="8"/>
  <c r="A37" i="8" a="1"/>
  <c r="A37" i="8" s="1"/>
  <c r="B37" i="8" a="1"/>
  <c r="B37" i="8" s="1"/>
  <c r="C37" i="8" a="1"/>
  <c r="C37" i="8" s="1"/>
  <c r="D37" i="8" a="1"/>
  <c r="D37" i="8"/>
  <c r="E37" i="8" a="1"/>
  <c r="E37" i="8" s="1"/>
  <c r="F37" i="8" a="1"/>
  <c r="F37" i="8" s="1"/>
  <c r="G37" i="8" a="1"/>
  <c r="G37" i="8" s="1"/>
  <c r="H37" i="8" a="1"/>
  <c r="H37" i="8"/>
  <c r="I37" i="8" a="1"/>
  <c r="I37" i="8" s="1"/>
  <c r="J37" i="8" a="1"/>
  <c r="J37" i="8" s="1"/>
  <c r="A38" i="8" a="1"/>
  <c r="A38" i="8" s="1"/>
  <c r="B38" i="8" a="1"/>
  <c r="B38" i="8"/>
  <c r="C38" i="8" a="1"/>
  <c r="C38" i="8" s="1"/>
  <c r="D38" i="8" a="1"/>
  <c r="D38" i="8" s="1"/>
  <c r="E38" i="8" a="1"/>
  <c r="E38" i="8" s="1"/>
  <c r="F38" i="8" a="1"/>
  <c r="F38" i="8"/>
  <c r="G38" i="8" a="1"/>
  <c r="G38" i="8" s="1"/>
  <c r="H38" i="8" a="1"/>
  <c r="H38" i="8" s="1"/>
  <c r="I38" i="8" a="1"/>
  <c r="I38" i="8" s="1"/>
  <c r="J38" i="8" a="1"/>
  <c r="J38" i="8"/>
  <c r="A39" i="8" a="1"/>
  <c r="A39" i="8" s="1"/>
  <c r="B39" i="8" a="1"/>
  <c r="B39" i="8" s="1"/>
  <c r="C39" i="8" a="1"/>
  <c r="C39" i="8" s="1"/>
  <c r="D39" i="8" a="1"/>
  <c r="D39" i="8"/>
  <c r="E39" i="8" a="1"/>
  <c r="E39" i="8" s="1"/>
  <c r="F39" i="8" a="1"/>
  <c r="F39" i="8" s="1"/>
  <c r="G39" i="8" a="1"/>
  <c r="G39" i="8" s="1"/>
  <c r="H39" i="8" a="1"/>
  <c r="H39" i="8"/>
  <c r="I39" i="8" a="1"/>
  <c r="I39" i="8" s="1"/>
  <c r="J39" i="8" a="1"/>
  <c r="J39" i="8" s="1"/>
  <c r="A40" i="8" a="1"/>
  <c r="A40" i="8" s="1"/>
  <c r="B40" i="8" a="1"/>
  <c r="B40" i="8"/>
  <c r="C40" i="8" a="1"/>
  <c r="C40" i="8" s="1"/>
  <c r="D40" i="8" a="1"/>
  <c r="D40" i="8" s="1"/>
  <c r="E40" i="8" a="1"/>
  <c r="E40" i="8" s="1"/>
  <c r="F40" i="8" a="1"/>
  <c r="F40" i="8"/>
  <c r="G40" i="8" a="1"/>
  <c r="G40" i="8" s="1"/>
  <c r="H40" i="8" a="1"/>
  <c r="H40" i="8" s="1"/>
  <c r="I40" i="8" a="1"/>
  <c r="I40" i="8" s="1"/>
  <c r="J40" i="8" a="1"/>
  <c r="J40" i="8"/>
  <c r="A41" i="8" a="1"/>
  <c r="A41" i="8" s="1"/>
  <c r="B41" i="8" a="1"/>
  <c r="B41" i="8" s="1"/>
  <c r="C41" i="8" a="1"/>
  <c r="C41" i="8" s="1"/>
  <c r="D41" i="8" a="1"/>
  <c r="D41" i="8"/>
  <c r="E41" i="8" a="1"/>
  <c r="E41" i="8" s="1"/>
  <c r="F41" i="8" a="1"/>
  <c r="F41" i="8" s="1"/>
  <c r="G41" i="8" a="1"/>
  <c r="G41" i="8" s="1"/>
  <c r="H41" i="8" a="1"/>
  <c r="H41" i="8"/>
  <c r="I41" i="8" a="1"/>
  <c r="I41" i="8" s="1"/>
  <c r="J41" i="8" a="1"/>
  <c r="J41" i="8" s="1"/>
  <c r="A42" i="8" a="1"/>
  <c r="A42" i="8" s="1"/>
  <c r="B42" i="8" a="1"/>
  <c r="B42" i="8"/>
  <c r="C42" i="8" a="1"/>
  <c r="C42" i="8" s="1"/>
  <c r="D42" i="8" a="1"/>
  <c r="D42" i="8" s="1"/>
  <c r="E42" i="8" a="1"/>
  <c r="E42" i="8" s="1"/>
  <c r="F42" i="8" a="1"/>
  <c r="F42" i="8"/>
  <c r="G42" i="8" a="1"/>
  <c r="G42" i="8" s="1"/>
  <c r="H42" i="8" a="1"/>
  <c r="H42" i="8" s="1"/>
  <c r="I42" i="8" a="1"/>
  <c r="I42" i="8" s="1"/>
  <c r="J42" i="8" a="1"/>
  <c r="J42" i="8"/>
  <c r="A43" i="8" a="1"/>
  <c r="A43" i="8" s="1"/>
  <c r="B43" i="8" a="1"/>
  <c r="B43" i="8" s="1"/>
  <c r="C43" i="8" a="1"/>
  <c r="C43" i="8" s="1"/>
  <c r="D43" i="8" a="1"/>
  <c r="D43" i="8"/>
  <c r="E43" i="8" a="1"/>
  <c r="E43" i="8" s="1"/>
  <c r="F43" i="8" a="1"/>
  <c r="F43" i="8" s="1"/>
  <c r="G43" i="8" a="1"/>
  <c r="G43" i="8" s="1"/>
  <c r="H43" i="8" a="1"/>
  <c r="H43" i="8"/>
  <c r="I43" i="8" a="1"/>
  <c r="I43" i="8" s="1"/>
  <c r="J43" i="8" a="1"/>
  <c r="J43" i="8" s="1"/>
  <c r="A44" i="8" a="1"/>
  <c r="A44" i="8" s="1"/>
  <c r="B44" i="8" a="1"/>
  <c r="B44" i="8"/>
  <c r="C44" i="8" a="1"/>
  <c r="C44" i="8" s="1"/>
  <c r="D44" i="8" a="1"/>
  <c r="D44" i="8" s="1"/>
  <c r="E44" i="8" a="1"/>
  <c r="E44" i="8" s="1"/>
  <c r="F44" i="8" a="1"/>
  <c r="F44" i="8"/>
  <c r="G44" i="8" a="1"/>
  <c r="G44" i="8" s="1"/>
  <c r="H44" i="8" a="1"/>
  <c r="H44" i="8" s="1"/>
  <c r="I44" i="8" a="1"/>
  <c r="I44" i="8" s="1"/>
  <c r="J44" i="8" a="1"/>
  <c r="J44" i="8"/>
  <c r="A30" i="8" a="1"/>
  <c r="A30" i="8" s="1"/>
  <c r="B30" i="8" a="1"/>
  <c r="B30" i="8" s="1"/>
  <c r="C30" i="8" a="1"/>
  <c r="C30" i="8" s="1"/>
  <c r="D30" i="8" a="1"/>
  <c r="D30" i="8"/>
  <c r="E30" i="8" a="1"/>
  <c r="E30" i="8" s="1"/>
  <c r="F30" i="8" a="1"/>
  <c r="F30" i="8" s="1"/>
  <c r="G30" i="8" a="1"/>
  <c r="G30" i="8" s="1"/>
  <c r="H30" i="8" a="1"/>
  <c r="H30" i="8"/>
  <c r="I30" i="8" a="1"/>
  <c r="I30" i="8" s="1"/>
  <c r="J30" i="8" a="1"/>
  <c r="J30" i="8" s="1"/>
  <c r="B29" i="8" a="1"/>
  <c r="B29" i="8" s="1"/>
  <c r="C29" i="8" a="1"/>
  <c r="C29" i="8" s="1"/>
  <c r="D29" i="8" a="1"/>
  <c r="D29" i="8" s="1"/>
  <c r="E29" i="8" a="1"/>
  <c r="E29" i="8"/>
  <c r="F29" i="8" a="1"/>
  <c r="F29" i="8" s="1"/>
  <c r="G29" i="8" a="1"/>
  <c r="G29" i="8" s="1"/>
  <c r="H29" i="8" a="1"/>
  <c r="H29" i="8" s="1"/>
  <c r="I29" i="8" a="1"/>
  <c r="I29" i="8"/>
  <c r="J29" i="8" a="1"/>
  <c r="J29" i="8" s="1"/>
  <c r="A29" i="8" a="1"/>
  <c r="A29" i="8" s="1"/>
  <c r="J44" i="7" a="1"/>
  <c r="J44" i="7" s="1"/>
  <c r="I44" i="7" a="1"/>
  <c r="I44" i="7" s="1"/>
  <c r="H44" i="7" a="1"/>
  <c r="H44" i="7" s="1"/>
  <c r="G44" i="7" a="1"/>
  <c r="G44" i="7" s="1"/>
  <c r="F44" i="7" a="1"/>
  <c r="F44" i="7" s="1"/>
  <c r="E44" i="7" a="1"/>
  <c r="E44" i="7" s="1"/>
  <c r="D44" i="7" a="1"/>
  <c r="D44" i="7" s="1"/>
  <c r="C44" i="7" a="1"/>
  <c r="C44" i="7" s="1"/>
  <c r="B44" i="7" a="1"/>
  <c r="B44" i="7" s="1"/>
  <c r="A44" i="7" a="1"/>
  <c r="A44" i="7" s="1"/>
  <c r="J43" i="7" a="1"/>
  <c r="J43" i="7" s="1"/>
  <c r="I43" i="7" a="1"/>
  <c r="I43" i="7" s="1"/>
  <c r="H43" i="7" a="1"/>
  <c r="H43" i="7" s="1"/>
  <c r="G43" i="7" a="1"/>
  <c r="G43" i="7" s="1"/>
  <c r="F43" i="7" a="1"/>
  <c r="F43" i="7" s="1"/>
  <c r="E43" i="7" a="1"/>
  <c r="E43" i="7" s="1"/>
  <c r="D43" i="7" a="1"/>
  <c r="D43" i="7" s="1"/>
  <c r="C43" i="7" a="1"/>
  <c r="C43" i="7" s="1"/>
  <c r="B43" i="7" a="1"/>
  <c r="B43" i="7" s="1"/>
  <c r="A43" i="7" a="1"/>
  <c r="A43" i="7" s="1"/>
  <c r="J42" i="7" a="1"/>
  <c r="J42" i="7" s="1"/>
  <c r="I42" i="7" a="1"/>
  <c r="I42" i="7" s="1"/>
  <c r="H42" i="7" a="1"/>
  <c r="H42" i="7" s="1"/>
  <c r="G42" i="7" a="1"/>
  <c r="G42" i="7" s="1"/>
  <c r="F42" i="7" a="1"/>
  <c r="F42" i="7" s="1"/>
  <c r="E42" i="7" a="1"/>
  <c r="E42" i="7" s="1"/>
  <c r="D42" i="7" a="1"/>
  <c r="D42" i="7" s="1"/>
  <c r="C42" i="7" a="1"/>
  <c r="C42" i="7" s="1"/>
  <c r="B42" i="7" a="1"/>
  <c r="B42" i="7" s="1"/>
  <c r="A42" i="7" a="1"/>
  <c r="A42" i="7" s="1"/>
  <c r="J41" i="7" a="1"/>
  <c r="J41" i="7" s="1"/>
  <c r="I41" i="7" a="1"/>
  <c r="I41" i="7" s="1"/>
  <c r="H41" i="7" a="1"/>
  <c r="H41" i="7" s="1"/>
  <c r="G41" i="7" a="1"/>
  <c r="G41" i="7" s="1"/>
  <c r="F41" i="7" a="1"/>
  <c r="F41" i="7" s="1"/>
  <c r="E41" i="7" a="1"/>
  <c r="E41" i="7" s="1"/>
  <c r="D41" i="7" a="1"/>
  <c r="D41" i="7" s="1"/>
  <c r="C41" i="7" a="1"/>
  <c r="C41" i="7" s="1"/>
  <c r="B41" i="7" a="1"/>
  <c r="B41" i="7" s="1"/>
  <c r="A41" i="7" a="1"/>
  <c r="A41" i="7" s="1"/>
  <c r="J40" i="7" a="1"/>
  <c r="J40" i="7" s="1"/>
  <c r="I40" i="7" a="1"/>
  <c r="I40" i="7" s="1"/>
  <c r="H40" i="7" a="1"/>
  <c r="H40" i="7" s="1"/>
  <c r="G40" i="7" a="1"/>
  <c r="G40" i="7" s="1"/>
  <c r="F40" i="7" a="1"/>
  <c r="F40" i="7" s="1"/>
  <c r="E40" i="7" a="1"/>
  <c r="E40" i="7" s="1"/>
  <c r="D40" i="7" a="1"/>
  <c r="D40" i="7" s="1"/>
  <c r="C40" i="7" a="1"/>
  <c r="C40" i="7" s="1"/>
  <c r="B40" i="7" a="1"/>
  <c r="B40" i="7" s="1"/>
  <c r="A40" i="7" a="1"/>
  <c r="A40" i="7" s="1"/>
  <c r="J39" i="7" a="1"/>
  <c r="J39" i="7" s="1"/>
  <c r="I39" i="7" a="1"/>
  <c r="I39" i="7" s="1"/>
  <c r="H39" i="7" a="1"/>
  <c r="H39" i="7" s="1"/>
  <c r="G39" i="7" a="1"/>
  <c r="G39" i="7" s="1"/>
  <c r="F39" i="7" a="1"/>
  <c r="F39" i="7" s="1"/>
  <c r="E39" i="7" a="1"/>
  <c r="E39" i="7" s="1"/>
  <c r="D39" i="7" a="1"/>
  <c r="D39" i="7" s="1"/>
  <c r="C39" i="7" a="1"/>
  <c r="C39" i="7" s="1"/>
  <c r="B39" i="7" a="1"/>
  <c r="B39" i="7" s="1"/>
  <c r="A39" i="7" a="1"/>
  <c r="A39" i="7" s="1"/>
  <c r="J38" i="7" a="1"/>
  <c r="J38" i="7" s="1"/>
  <c r="I38" i="7" a="1"/>
  <c r="I38" i="7" s="1"/>
  <c r="H38" i="7" a="1"/>
  <c r="H38" i="7" s="1"/>
  <c r="G38" i="7" a="1"/>
  <c r="G38" i="7" s="1"/>
  <c r="F38" i="7" a="1"/>
  <c r="F38" i="7" s="1"/>
  <c r="E38" i="7" a="1"/>
  <c r="E38" i="7" s="1"/>
  <c r="D38" i="7" a="1"/>
  <c r="D38" i="7" s="1"/>
  <c r="C38" i="7" a="1"/>
  <c r="C38" i="7" s="1"/>
  <c r="B38" i="7" a="1"/>
  <c r="B38" i="7" s="1"/>
  <c r="A38" i="7" a="1"/>
  <c r="A38" i="7" s="1"/>
  <c r="J37" i="7" a="1"/>
  <c r="J37" i="7" s="1"/>
  <c r="I37" i="7" a="1"/>
  <c r="I37" i="7" s="1"/>
  <c r="H37" i="7" a="1"/>
  <c r="H37" i="7" s="1"/>
  <c r="G37" i="7" a="1"/>
  <c r="G37" i="7" s="1"/>
  <c r="F37" i="7" a="1"/>
  <c r="F37" i="7" s="1"/>
  <c r="E37" i="7" a="1"/>
  <c r="E37" i="7" s="1"/>
  <c r="D37" i="7" a="1"/>
  <c r="D37" i="7" s="1"/>
  <c r="C37" i="7" a="1"/>
  <c r="C37" i="7" s="1"/>
  <c r="B37" i="7" a="1"/>
  <c r="B37" i="7" s="1"/>
  <c r="A37" i="7" a="1"/>
  <c r="A37" i="7" s="1"/>
  <c r="J36" i="7" a="1"/>
  <c r="J36" i="7" s="1"/>
  <c r="I36" i="7" a="1"/>
  <c r="I36" i="7" s="1"/>
  <c r="H36" i="7" a="1"/>
  <c r="H36" i="7" s="1"/>
  <c r="G36" i="7" a="1"/>
  <c r="G36" i="7" s="1"/>
  <c r="F36" i="7" a="1"/>
  <c r="F36" i="7" s="1"/>
  <c r="E36" i="7" a="1"/>
  <c r="E36" i="7" s="1"/>
  <c r="D36" i="7" a="1"/>
  <c r="D36" i="7" s="1"/>
  <c r="C36" i="7" a="1"/>
  <c r="C36" i="7" s="1"/>
  <c r="B36" i="7" a="1"/>
  <c r="B36" i="7" s="1"/>
  <c r="A36" i="7" a="1"/>
  <c r="A36" i="7" s="1"/>
  <c r="J35" i="7" a="1"/>
  <c r="J35" i="7" s="1"/>
  <c r="I35" i="7" a="1"/>
  <c r="I35" i="7" s="1"/>
  <c r="H35" i="7" a="1"/>
  <c r="H35" i="7" s="1"/>
  <c r="G35" i="7" a="1"/>
  <c r="G35" i="7" s="1"/>
  <c r="F35" i="7" a="1"/>
  <c r="F35" i="7" s="1"/>
  <c r="E35" i="7" a="1"/>
  <c r="E35" i="7" s="1"/>
  <c r="D35" i="7" a="1"/>
  <c r="D35" i="7" s="1"/>
  <c r="C35" i="7" a="1"/>
  <c r="C35" i="7" s="1"/>
  <c r="B35" i="7" a="1"/>
  <c r="B35" i="7" s="1"/>
  <c r="A35" i="7" a="1"/>
  <c r="A35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D34" i="7" a="1"/>
  <c r="D34" i="7" s="1"/>
  <c r="C34" i="7" a="1"/>
  <c r="C34" i="7" s="1"/>
  <c r="B34" i="7" a="1"/>
  <c r="B34" i="7" s="1"/>
  <c r="A34" i="7" a="1"/>
  <c r="A34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D33" i="7" a="1"/>
  <c r="D33" i="7" s="1"/>
  <c r="C33" i="7" a="1"/>
  <c r="C33" i="7" s="1"/>
  <c r="B33" i="7" a="1"/>
  <c r="B33" i="7" s="1"/>
  <c r="A33" i="7" a="1"/>
  <c r="A33" i="7" s="1"/>
  <c r="J32" i="7" a="1"/>
  <c r="J32" i="7" s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D32" i="7" a="1"/>
  <c r="D32" i="7" s="1"/>
  <c r="C32" i="7" a="1"/>
  <c r="C32" i="7" s="1"/>
  <c r="B32" i="7" a="1"/>
  <c r="B32" i="7" s="1"/>
  <c r="A32" i="7" a="1"/>
  <c r="A32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D31" i="7" a="1"/>
  <c r="D31" i="7" s="1"/>
  <c r="C31" i="7" a="1"/>
  <c r="C31" i="7" s="1"/>
  <c r="B31" i="7" a="1"/>
  <c r="B31" i="7" s="1"/>
  <c r="A31" i="7" a="1"/>
  <c r="A31" i="7" s="1"/>
  <c r="J30" i="7" a="1"/>
  <c r="J30" i="7" s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D30" i="7" a="1"/>
  <c r="D30" i="7" s="1"/>
  <c r="C30" i="7" a="1"/>
  <c r="C30" i="7" s="1"/>
  <c r="B30" i="7" a="1"/>
  <c r="B30" i="7" s="1"/>
  <c r="A30" i="7" a="1"/>
  <c r="A30" i="7" s="1"/>
  <c r="B29" i="7" a="1"/>
  <c r="B29" i="7"/>
  <c r="C29" i="7" a="1"/>
  <c r="C29" i="7" s="1"/>
  <c r="D29" i="7" a="1"/>
  <c r="D29" i="7" s="1"/>
  <c r="E29" i="7" a="1"/>
  <c r="E29" i="7"/>
  <c r="F29" i="7" a="1"/>
  <c r="F29" i="7" s="1"/>
  <c r="G29" i="7" a="1"/>
  <c r="G29" i="7" s="1"/>
  <c r="H29" i="7" a="1"/>
  <c r="H29" i="7" s="1"/>
  <c r="I29" i="7" a="1"/>
  <c r="I29" i="7"/>
  <c r="J29" i="7" a="1"/>
  <c r="J29" i="7" s="1"/>
  <c r="A29" i="7" a="1"/>
  <c r="A29" i="7" s="1"/>
  <c r="J44" i="4" a="1"/>
  <c r="J44" i="4" s="1"/>
  <c r="I44" i="4" a="1"/>
  <c r="I44" i="4" s="1"/>
  <c r="H44" i="4" a="1"/>
  <c r="H44" i="4" s="1"/>
  <c r="G44" i="4" a="1"/>
  <c r="G44" i="4" s="1"/>
  <c r="F44" i="4" a="1"/>
  <c r="F44" i="4" s="1"/>
  <c r="E44" i="4" a="1"/>
  <c r="E44" i="4" s="1"/>
  <c r="D44" i="4" a="1"/>
  <c r="D44" i="4" s="1"/>
  <c r="C44" i="4" a="1"/>
  <c r="C44" i="4" s="1"/>
  <c r="B44" i="4" a="1"/>
  <c r="B44" i="4" s="1"/>
  <c r="A44" i="4" a="1"/>
  <c r="A44" i="4" s="1"/>
  <c r="J43" i="4" a="1"/>
  <c r="J43" i="4" s="1"/>
  <c r="I43" i="4" a="1"/>
  <c r="I43" i="4" s="1"/>
  <c r="H43" i="4" a="1"/>
  <c r="H43" i="4" s="1"/>
  <c r="G43" i="4" a="1"/>
  <c r="G43" i="4" s="1"/>
  <c r="F43" i="4" a="1"/>
  <c r="F43" i="4" s="1"/>
  <c r="E43" i="4" a="1"/>
  <c r="E43" i="4" s="1"/>
  <c r="D43" i="4" a="1"/>
  <c r="D43" i="4" s="1"/>
  <c r="C43" i="4" a="1"/>
  <c r="C43" i="4" s="1"/>
  <c r="B43" i="4" a="1"/>
  <c r="B43" i="4" s="1"/>
  <c r="A43" i="4" a="1"/>
  <c r="A43" i="4" s="1"/>
  <c r="J42" i="4" a="1"/>
  <c r="J42" i="4" s="1"/>
  <c r="I42" i="4" a="1"/>
  <c r="I42" i="4" s="1"/>
  <c r="H42" i="4" a="1"/>
  <c r="H42" i="4" s="1"/>
  <c r="G42" i="4" a="1"/>
  <c r="G42" i="4" s="1"/>
  <c r="F42" i="4" a="1"/>
  <c r="F42" i="4" s="1"/>
  <c r="E42" i="4" a="1"/>
  <c r="E42" i="4" s="1"/>
  <c r="D42" i="4" a="1"/>
  <c r="D42" i="4" s="1"/>
  <c r="C42" i="4" a="1"/>
  <c r="C42" i="4" s="1"/>
  <c r="B42" i="4" a="1"/>
  <c r="B42" i="4" s="1"/>
  <c r="A42" i="4" a="1"/>
  <c r="A42" i="4" s="1"/>
  <c r="J41" i="4" a="1"/>
  <c r="J41" i="4" s="1"/>
  <c r="I41" i="4" a="1"/>
  <c r="I41" i="4" s="1"/>
  <c r="H41" i="4" a="1"/>
  <c r="H41" i="4" s="1"/>
  <c r="G41" i="4" a="1"/>
  <c r="G41" i="4" s="1"/>
  <c r="F41" i="4" a="1"/>
  <c r="F41" i="4" s="1"/>
  <c r="E41" i="4" a="1"/>
  <c r="E41" i="4" s="1"/>
  <c r="D41" i="4" a="1"/>
  <c r="D41" i="4" s="1"/>
  <c r="C41" i="4" a="1"/>
  <c r="C41" i="4" s="1"/>
  <c r="B41" i="4" a="1"/>
  <c r="B41" i="4" s="1"/>
  <c r="A41" i="4" a="1"/>
  <c r="A41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E40" i="4" a="1"/>
  <c r="E40" i="4" s="1"/>
  <c r="D40" i="4" a="1"/>
  <c r="D40" i="4" s="1"/>
  <c r="C40" i="4" a="1"/>
  <c r="C40" i="4" s="1"/>
  <c r="B40" i="4" a="1"/>
  <c r="B40" i="4" s="1"/>
  <c r="A40" i="4" a="1"/>
  <c r="A40" i="4" s="1"/>
  <c r="J39" i="4" a="1"/>
  <c r="J39" i="4" s="1"/>
  <c r="I39" i="4" a="1"/>
  <c r="I39" i="4" s="1"/>
  <c r="H39" i="4" a="1"/>
  <c r="H39" i="4" s="1"/>
  <c r="G39" i="4" a="1"/>
  <c r="G39" i="4" s="1"/>
  <c r="F39" i="4" a="1"/>
  <c r="F39" i="4" s="1"/>
  <c r="E39" i="4" a="1"/>
  <c r="E39" i="4" s="1"/>
  <c r="D39" i="4" a="1"/>
  <c r="D39" i="4" s="1"/>
  <c r="C39" i="4" a="1"/>
  <c r="C39" i="4" s="1"/>
  <c r="B39" i="4" a="1"/>
  <c r="B39" i="4" s="1"/>
  <c r="A39" i="4" a="1"/>
  <c r="A39" i="4" s="1"/>
  <c r="J38" i="4" a="1"/>
  <c r="J38" i="4" s="1"/>
  <c r="I38" i="4" a="1"/>
  <c r="I38" i="4" s="1"/>
  <c r="H38" i="4" a="1"/>
  <c r="H38" i="4" s="1"/>
  <c r="G38" i="4" a="1"/>
  <c r="G38" i="4" s="1"/>
  <c r="F38" i="4" a="1"/>
  <c r="F38" i="4" s="1"/>
  <c r="E38" i="4" a="1"/>
  <c r="E38" i="4" s="1"/>
  <c r="D38" i="4" a="1"/>
  <c r="D38" i="4" s="1"/>
  <c r="C38" i="4" a="1"/>
  <c r="C38" i="4" s="1"/>
  <c r="B38" i="4" a="1"/>
  <c r="B38" i="4" s="1"/>
  <c r="A38" i="4" a="1"/>
  <c r="A38" i="4" s="1"/>
  <c r="J37" i="4" a="1"/>
  <c r="J37" i="4" s="1"/>
  <c r="I37" i="4" a="1"/>
  <c r="I37" i="4" s="1"/>
  <c r="H37" i="4" a="1"/>
  <c r="H37" i="4" s="1"/>
  <c r="G37" i="4" a="1"/>
  <c r="G37" i="4" s="1"/>
  <c r="F37" i="4" a="1"/>
  <c r="F37" i="4" s="1"/>
  <c r="E37" i="4" a="1"/>
  <c r="E37" i="4" s="1"/>
  <c r="D37" i="4" a="1"/>
  <c r="D37" i="4" s="1"/>
  <c r="C37" i="4" a="1"/>
  <c r="C37" i="4" s="1"/>
  <c r="B37" i="4" a="1"/>
  <c r="B37" i="4" s="1"/>
  <c r="A37" i="4" a="1"/>
  <c r="A37" i="4" s="1"/>
  <c r="J36" i="4" a="1"/>
  <c r="J36" i="4" s="1"/>
  <c r="I36" i="4" a="1"/>
  <c r="I36" i="4" s="1"/>
  <c r="H36" i="4" a="1"/>
  <c r="H36" i="4" s="1"/>
  <c r="G36" i="4" a="1"/>
  <c r="G36" i="4" s="1"/>
  <c r="F36" i="4" a="1"/>
  <c r="F36" i="4" s="1"/>
  <c r="E36" i="4" a="1"/>
  <c r="E36" i="4" s="1"/>
  <c r="D36" i="4" a="1"/>
  <c r="D36" i="4" s="1"/>
  <c r="C36" i="4" a="1"/>
  <c r="C36" i="4" s="1"/>
  <c r="B36" i="4" a="1"/>
  <c r="B36" i="4" s="1"/>
  <c r="A36" i="4" a="1"/>
  <c r="A36" i="4" s="1"/>
  <c r="J35" i="4" a="1"/>
  <c r="J35" i="4" s="1"/>
  <c r="I35" i="4" a="1"/>
  <c r="I35" i="4" s="1"/>
  <c r="H35" i="4" a="1"/>
  <c r="H35" i="4" s="1"/>
  <c r="G35" i="4" a="1"/>
  <c r="G35" i="4" s="1"/>
  <c r="F35" i="4" a="1"/>
  <c r="F35" i="4" s="1"/>
  <c r="E35" i="4" a="1"/>
  <c r="E35" i="4" s="1"/>
  <c r="D35" i="4" a="1"/>
  <c r="D35" i="4" s="1"/>
  <c r="C35" i="4" a="1"/>
  <c r="C35" i="4" s="1"/>
  <c r="B35" i="4" a="1"/>
  <c r="B35" i="4" s="1"/>
  <c r="A35" i="4" a="1"/>
  <c r="A35" i="4" s="1"/>
  <c r="J34" i="4" a="1"/>
  <c r="J34" i="4" s="1"/>
  <c r="I34" i="4" a="1"/>
  <c r="I34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C34" i="4" a="1"/>
  <c r="C34" i="4" s="1"/>
  <c r="B34" i="4" a="1"/>
  <c r="B34" i="4" s="1"/>
  <c r="A34" i="4" a="1"/>
  <c r="A34" i="4" s="1"/>
  <c r="J33" i="4" a="1"/>
  <c r="J33" i="4" s="1"/>
  <c r="I33" i="4" a="1"/>
  <c r="I33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C33" i="4" a="1"/>
  <c r="C33" i="4" s="1"/>
  <c r="B33" i="4" a="1"/>
  <c r="B33" i="4" s="1"/>
  <c r="A33" i="4" a="1"/>
  <c r="A33" i="4" s="1"/>
  <c r="J32" i="4" a="1"/>
  <c r="J32" i="4" s="1"/>
  <c r="I32" i="4" a="1"/>
  <c r="I32" i="4" s="1"/>
  <c r="H32" i="4" a="1"/>
  <c r="H32" i="4" s="1"/>
  <c r="G32" i="4" a="1"/>
  <c r="G32" i="4" s="1"/>
  <c r="F32" i="4" a="1"/>
  <c r="F32" i="4" s="1"/>
  <c r="E32" i="4" a="1"/>
  <c r="E32" i="4" s="1"/>
  <c r="D32" i="4" a="1"/>
  <c r="D32" i="4" s="1"/>
  <c r="C32" i="4" a="1"/>
  <c r="C32" i="4" s="1"/>
  <c r="B32" i="4" a="1"/>
  <c r="B32" i="4" s="1"/>
  <c r="A32" i="4" a="1"/>
  <c r="A32" i="4" s="1"/>
  <c r="J31" i="4" a="1"/>
  <c r="J31" i="4" s="1"/>
  <c r="I31" i="4" a="1"/>
  <c r="I31" i="4" s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C31" i="4" a="1"/>
  <c r="C31" i="4" s="1"/>
  <c r="B31" i="4" a="1"/>
  <c r="B31" i="4" s="1"/>
  <c r="A31" i="4" a="1"/>
  <c r="A31" i="4" s="1"/>
  <c r="J30" i="4" a="1"/>
  <c r="J30" i="4" s="1"/>
  <c r="I30" i="4" a="1"/>
  <c r="I30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B30" i="4" a="1"/>
  <c r="B30" i="4" s="1"/>
  <c r="A30" i="4" a="1"/>
  <c r="A30" i="4" s="1"/>
  <c r="B29" i="4" a="1"/>
  <c r="B29" i="4" s="1"/>
  <c r="C29" i="4" a="1"/>
  <c r="C29" i="4" s="1"/>
  <c r="D29" i="4" a="1"/>
  <c r="D29" i="4" s="1"/>
  <c r="E29" i="4" a="1"/>
  <c r="E29" i="4"/>
  <c r="F29" i="4" a="1"/>
  <c r="F29" i="4" s="1"/>
  <c r="G29" i="4" a="1"/>
  <c r="G29" i="4" s="1"/>
  <c r="H29" i="4" a="1"/>
  <c r="H29" i="4" s="1"/>
  <c r="I29" i="4" a="1"/>
  <c r="I29" i="4"/>
  <c r="J29" i="4" a="1"/>
  <c r="J29" i="4" s="1"/>
  <c r="A29" i="4" a="1"/>
  <c r="A29" i="4" s="1"/>
  <c r="J44" i="1" a="1"/>
  <c r="J44" i="1" s="1"/>
  <c r="I44" i="1"/>
  <c r="I44" i="1" a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B44" i="1" a="1"/>
  <c r="B44" i="1" s="1"/>
  <c r="A44" i="1" a="1"/>
  <c r="A44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B43" i="1" a="1"/>
  <c r="B43" i="1" s="1"/>
  <c r="A43" i="1" a="1"/>
  <c r="A43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B42" i="1" a="1"/>
  <c r="B42" i="1" s="1"/>
  <c r="A42" i="1" a="1"/>
  <c r="A42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D41" i="1" a="1"/>
  <c r="D41" i="1" s="1"/>
  <c r="C41" i="1" a="1"/>
  <c r="C41" i="1" s="1"/>
  <c r="B41" i="1" a="1"/>
  <c r="B41" i="1" s="1"/>
  <c r="A41" i="1" a="1"/>
  <c r="A41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B40" i="1" a="1"/>
  <c r="B40" i="1" s="1"/>
  <c r="A40" i="1" a="1"/>
  <c r="A40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C39" i="1" a="1"/>
  <c r="C39" i="1" s="1"/>
  <c r="B39" i="1" a="1"/>
  <c r="B39" i="1" s="1"/>
  <c r="A39" i="1" a="1"/>
  <c r="A39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B38" i="1" a="1"/>
  <c r="B38" i="1" s="1"/>
  <c r="A38" i="1" a="1"/>
  <c r="A38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B37" i="1" a="1"/>
  <c r="B37" i="1" s="1"/>
  <c r="A37" i="1" a="1"/>
  <c r="A37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B36" i="1" a="1"/>
  <c r="B36" i="1" s="1"/>
  <c r="A36" i="1" a="1"/>
  <c r="A36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A35" i="1" a="1"/>
  <c r="A35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B34" i="1" a="1"/>
  <c r="B34" i="1" s="1"/>
  <c r="A34" i="1" a="1"/>
  <c r="A34" i="1" s="1"/>
  <c r="A38" i="6" a="1"/>
  <c r="A38" i="6" s="1"/>
  <c r="B38" i="6" a="1"/>
  <c r="B38" i="6" s="1"/>
  <c r="C38" i="6" a="1"/>
  <c r="C38" i="6"/>
  <c r="D38" i="6" a="1"/>
  <c r="D38" i="6"/>
  <c r="E38" i="6" a="1"/>
  <c r="E38" i="6" s="1"/>
  <c r="F38" i="6" a="1"/>
  <c r="F38" i="6" s="1"/>
  <c r="G38" i="6" a="1"/>
  <c r="G38" i="6"/>
  <c r="H38" i="6" a="1"/>
  <c r="H38" i="6"/>
  <c r="I38" i="6" a="1"/>
  <c r="I38" i="6" s="1"/>
  <c r="J38" i="6" a="1"/>
  <c r="J38" i="6" s="1"/>
  <c r="A39" i="6" a="1"/>
  <c r="A39" i="6"/>
  <c r="B39" i="6" a="1"/>
  <c r="B39" i="6"/>
  <c r="C39" i="6" a="1"/>
  <c r="C39" i="6" s="1"/>
  <c r="D39" i="6" a="1"/>
  <c r="D39" i="6" s="1"/>
  <c r="E39" i="6" a="1"/>
  <c r="E39" i="6"/>
  <c r="F39" i="6" a="1"/>
  <c r="F39" i="6"/>
  <c r="G39" i="6" a="1"/>
  <c r="G39" i="6" s="1"/>
  <c r="H39" i="6" a="1"/>
  <c r="H39" i="6" s="1"/>
  <c r="I39" i="6" a="1"/>
  <c r="I39" i="6"/>
  <c r="J39" i="6" a="1"/>
  <c r="J39" i="6"/>
  <c r="A40" i="6" a="1"/>
  <c r="A40" i="6" s="1"/>
  <c r="B40" i="6" a="1"/>
  <c r="B40" i="6" s="1"/>
  <c r="C40" i="6" a="1"/>
  <c r="C40" i="6"/>
  <c r="D40" i="6" a="1"/>
  <c r="D40" i="6"/>
  <c r="E40" i="6" a="1"/>
  <c r="E40" i="6" s="1"/>
  <c r="F40" i="6" a="1"/>
  <c r="F40" i="6" s="1"/>
  <c r="G40" i="6" a="1"/>
  <c r="G40" i="6"/>
  <c r="H40" i="6" a="1"/>
  <c r="H40" i="6"/>
  <c r="I40" i="6" a="1"/>
  <c r="I40" i="6" s="1"/>
  <c r="J40" i="6" a="1"/>
  <c r="J40" i="6" s="1"/>
  <c r="A41" i="6" a="1"/>
  <c r="A41" i="6"/>
  <c r="B41" i="6" a="1"/>
  <c r="B41" i="6"/>
  <c r="C41" i="6" a="1"/>
  <c r="C41" i="6" s="1"/>
  <c r="D41" i="6" a="1"/>
  <c r="D41" i="6" s="1"/>
  <c r="E41" i="6" a="1"/>
  <c r="E41" i="6"/>
  <c r="F41" i="6" a="1"/>
  <c r="F41" i="6"/>
  <c r="G41" i="6" a="1"/>
  <c r="G41" i="6" s="1"/>
  <c r="H41" i="6" a="1"/>
  <c r="H41" i="6" s="1"/>
  <c r="I41" i="6" a="1"/>
  <c r="I41" i="6"/>
  <c r="J41" i="6" a="1"/>
  <c r="J41" i="6"/>
  <c r="A42" i="6" a="1"/>
  <c r="A42" i="6" s="1"/>
  <c r="B42" i="6" a="1"/>
  <c r="B42" i="6" s="1"/>
  <c r="C42" i="6" a="1"/>
  <c r="C42" i="6"/>
  <c r="D42" i="6" a="1"/>
  <c r="D42" i="6"/>
  <c r="E42" i="6" a="1"/>
  <c r="E42" i="6" s="1"/>
  <c r="F42" i="6" a="1"/>
  <c r="F42" i="6" s="1"/>
  <c r="G42" i="6" a="1"/>
  <c r="G42" i="6"/>
  <c r="H42" i="6" a="1"/>
  <c r="H42" i="6"/>
  <c r="I42" i="6" a="1"/>
  <c r="I42" i="6" s="1"/>
  <c r="J42" i="6" a="1"/>
  <c r="J42" i="6" s="1"/>
  <c r="A43" i="6" a="1"/>
  <c r="A43" i="6"/>
  <c r="B43" i="6" a="1"/>
  <c r="B43" i="6"/>
  <c r="C43" i="6" a="1"/>
  <c r="C43" i="6" s="1"/>
  <c r="D43" i="6" a="1"/>
  <c r="D43" i="6" s="1"/>
  <c r="E43" i="6" a="1"/>
  <c r="E43" i="6"/>
  <c r="F43" i="6" a="1"/>
  <c r="F43" i="6"/>
  <c r="G43" i="6" a="1"/>
  <c r="G43" i="6" s="1"/>
  <c r="H43" i="6" a="1"/>
  <c r="H43" i="6" s="1"/>
  <c r="I43" i="6" a="1"/>
  <c r="I43" i="6"/>
  <c r="J43" i="6" a="1"/>
  <c r="J43" i="6"/>
  <c r="A44" i="6" a="1"/>
  <c r="A44" i="6" s="1"/>
  <c r="B44" i="6" a="1"/>
  <c r="B44" i="6" s="1"/>
  <c r="C44" i="6" a="1"/>
  <c r="C44" i="6"/>
  <c r="D44" i="6" a="1"/>
  <c r="D44" i="6"/>
  <c r="E44" i="6" a="1"/>
  <c r="E44" i="6" s="1"/>
  <c r="F44" i="6" a="1"/>
  <c r="F44" i="6" s="1"/>
  <c r="G44" i="6" a="1"/>
  <c r="G44" i="6"/>
  <c r="H44" i="6" a="1"/>
  <c r="H44" i="6"/>
  <c r="I44" i="6" a="1"/>
  <c r="I44" i="6" s="1"/>
  <c r="J44" i="6" a="1"/>
  <c r="J44" i="6" s="1"/>
  <c r="J44" i="5" a="1"/>
  <c r="J44" i="5" s="1"/>
  <c r="I44" i="5" a="1"/>
  <c r="I44" i="5" s="1"/>
  <c r="H44" i="5" a="1"/>
  <c r="H44" i="5" s="1"/>
  <c r="G44" i="5" a="1"/>
  <c r="G44" i="5" s="1"/>
  <c r="F44" i="5" a="1"/>
  <c r="F44" i="5" s="1"/>
  <c r="E44" i="5" a="1"/>
  <c r="E44" i="5" s="1"/>
  <c r="D44" i="5" a="1"/>
  <c r="D44" i="5" s="1"/>
  <c r="C44" i="5" a="1"/>
  <c r="C44" i="5" s="1"/>
  <c r="B44" i="5" a="1"/>
  <c r="B44" i="5" s="1"/>
  <c r="A44" i="5" a="1"/>
  <c r="A44" i="5" s="1"/>
  <c r="J43" i="5" a="1"/>
  <c r="J43" i="5" s="1"/>
  <c r="I43" i="5" a="1"/>
  <c r="I43" i="5" s="1"/>
  <c r="H43" i="5" a="1"/>
  <c r="H43" i="5" s="1"/>
  <c r="G43" i="5" a="1"/>
  <c r="G43" i="5" s="1"/>
  <c r="F43" i="5" a="1"/>
  <c r="F43" i="5" s="1"/>
  <c r="E43" i="5" a="1"/>
  <c r="E43" i="5" s="1"/>
  <c r="D43" i="5" a="1"/>
  <c r="D43" i="5" s="1"/>
  <c r="C43" i="5" a="1"/>
  <c r="C43" i="5" s="1"/>
  <c r="B43" i="5" a="1"/>
  <c r="B43" i="5" s="1"/>
  <c r="A43" i="5" a="1"/>
  <c r="A43" i="5" s="1"/>
  <c r="J42" i="5" a="1"/>
  <c r="J42" i="5" s="1"/>
  <c r="I42" i="5" a="1"/>
  <c r="I42" i="5" s="1"/>
  <c r="H42" i="5" a="1"/>
  <c r="H42" i="5" s="1"/>
  <c r="G42" i="5" a="1"/>
  <c r="G42" i="5" s="1"/>
  <c r="F42" i="5" a="1"/>
  <c r="F42" i="5" s="1"/>
  <c r="E42" i="5" a="1"/>
  <c r="E42" i="5" s="1"/>
  <c r="D42" i="5" a="1"/>
  <c r="D42" i="5" s="1"/>
  <c r="C42" i="5" a="1"/>
  <c r="C42" i="5" s="1"/>
  <c r="B42" i="5" a="1"/>
  <c r="B42" i="5" s="1"/>
  <c r="A42" i="5" a="1"/>
  <c r="A42" i="5" s="1"/>
  <c r="J41" i="5" a="1"/>
  <c r="J41" i="5" s="1"/>
  <c r="I41" i="5" a="1"/>
  <c r="I41" i="5" s="1"/>
  <c r="H41" i="5" a="1"/>
  <c r="H41" i="5" s="1"/>
  <c r="G41" i="5" a="1"/>
  <c r="G41" i="5" s="1"/>
  <c r="F41" i="5" a="1"/>
  <c r="F41" i="5" s="1"/>
  <c r="E41" i="5" a="1"/>
  <c r="E41" i="5" s="1"/>
  <c r="D41" i="5" a="1"/>
  <c r="D41" i="5" s="1"/>
  <c r="C41" i="5" a="1"/>
  <c r="C41" i="5" s="1"/>
  <c r="B41" i="5" a="1"/>
  <c r="B41" i="5" s="1"/>
  <c r="A41" i="5" a="1"/>
  <c r="A41" i="5" s="1"/>
  <c r="J40" i="5" a="1"/>
  <c r="J40" i="5" s="1"/>
  <c r="I40" i="5" a="1"/>
  <c r="I40" i="5" s="1"/>
  <c r="H40" i="5" a="1"/>
  <c r="H40" i="5" s="1"/>
  <c r="G40" i="5" a="1"/>
  <c r="G40" i="5" s="1"/>
  <c r="F40" i="5" a="1"/>
  <c r="F40" i="5" s="1"/>
  <c r="E40" i="5" a="1"/>
  <c r="E40" i="5" s="1"/>
  <c r="D40" i="5" a="1"/>
  <c r="D40" i="5" s="1"/>
  <c r="C40" i="5" a="1"/>
  <c r="C40" i="5" s="1"/>
  <c r="B40" i="5" a="1"/>
  <c r="B40" i="5" s="1"/>
  <c r="A40" i="5" a="1"/>
  <c r="A40" i="5" s="1"/>
  <c r="J39" i="5" a="1"/>
  <c r="J39" i="5" s="1"/>
  <c r="I39" i="5" a="1"/>
  <c r="I39" i="5" s="1"/>
  <c r="H39" i="5" a="1"/>
  <c r="H39" i="5" s="1"/>
  <c r="G39" i="5" a="1"/>
  <c r="G39" i="5" s="1"/>
  <c r="F39" i="5" a="1"/>
  <c r="F39" i="5" s="1"/>
  <c r="E39" i="5" a="1"/>
  <c r="E39" i="5" s="1"/>
  <c r="D39" i="5" a="1"/>
  <c r="D39" i="5" s="1"/>
  <c r="C39" i="5" a="1"/>
  <c r="C39" i="5" s="1"/>
  <c r="B39" i="5" a="1"/>
  <c r="B39" i="5" s="1"/>
  <c r="A39" i="5" a="1"/>
  <c r="A39" i="5" s="1"/>
  <c r="J38" i="5" a="1"/>
  <c r="J38" i="5" s="1"/>
  <c r="I38" i="5" a="1"/>
  <c r="I38" i="5" s="1"/>
  <c r="H38" i="5" a="1"/>
  <c r="H38" i="5" s="1"/>
  <c r="G38" i="5" a="1"/>
  <c r="G38" i="5" s="1"/>
  <c r="F38" i="5" a="1"/>
  <c r="F38" i="5" s="1"/>
  <c r="E38" i="5" a="1"/>
  <c r="E38" i="5" s="1"/>
  <c r="D38" i="5" a="1"/>
  <c r="D38" i="5" s="1"/>
  <c r="C38" i="5" a="1"/>
  <c r="C38" i="5" s="1"/>
  <c r="B38" i="5" a="1"/>
  <c r="B38" i="5" s="1"/>
  <c r="A38" i="5" a="1"/>
  <c r="A38" i="5" s="1"/>
  <c r="J37" i="5" a="1"/>
  <c r="J37" i="5" s="1"/>
  <c r="I37" i="5" a="1"/>
  <c r="I37" i="5" s="1"/>
  <c r="H37" i="5" a="1"/>
  <c r="H37" i="5" s="1"/>
  <c r="G37" i="5" a="1"/>
  <c r="G37" i="5" s="1"/>
  <c r="F37" i="5" a="1"/>
  <c r="F37" i="5" s="1"/>
  <c r="E37" i="5" a="1"/>
  <c r="E37" i="5" s="1"/>
  <c r="D37" i="5" a="1"/>
  <c r="D37" i="5" s="1"/>
  <c r="C37" i="5" a="1"/>
  <c r="C37" i="5" s="1"/>
  <c r="B37" i="5" a="1"/>
  <c r="B37" i="5" s="1"/>
  <c r="A37" i="5" a="1"/>
  <c r="A37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 a="1"/>
  <c r="A36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B35" i="5" a="1"/>
  <c r="B35" i="5" s="1"/>
  <c r="A35" i="5" a="1"/>
  <c r="A35" i="5" s="1"/>
  <c r="J34" i="5" a="1"/>
  <c r="J34" i="5" s="1"/>
  <c r="I34" i="5" a="1"/>
  <c r="I34" i="5" s="1"/>
  <c r="H34" i="5" a="1"/>
  <c r="H34" i="5" s="1"/>
  <c r="G34" i="5" a="1"/>
  <c r="G34" i="5" s="1"/>
  <c r="F34" i="5" a="1"/>
  <c r="F34" i="5" s="1"/>
  <c r="E34" i="5" a="1"/>
  <c r="E34" i="5" s="1"/>
  <c r="D34" i="5" a="1"/>
  <c r="D34" i="5" s="1"/>
  <c r="C34" i="5" a="1"/>
  <c r="C34" i="5" s="1"/>
  <c r="B34" i="5" a="1"/>
  <c r="B34" i="5" s="1"/>
  <c r="A34" i="5" a="1"/>
  <c r="A34" i="5" s="1"/>
  <c r="J33" i="5" a="1"/>
  <c r="J33" i="5" s="1"/>
  <c r="I33" i="5" a="1"/>
  <c r="I33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C33" i="5" a="1"/>
  <c r="C33" i="5" s="1"/>
  <c r="B33" i="5" a="1"/>
  <c r="B33" i="5" s="1"/>
  <c r="A33" i="5" a="1"/>
  <c r="A33" i="5" s="1"/>
  <c r="J32" i="5" a="1"/>
  <c r="J32" i="5" s="1"/>
  <c r="I32" i="5" a="1"/>
  <c r="I32" i="5" s="1"/>
  <c r="H32" i="5" a="1"/>
  <c r="H32" i="5" s="1"/>
  <c r="G32" i="5" a="1"/>
  <c r="G32" i="5" s="1"/>
  <c r="F32" i="5" a="1"/>
  <c r="F32" i="5" s="1"/>
  <c r="E32" i="5" a="1"/>
  <c r="E32" i="5" s="1"/>
  <c r="D32" i="5" a="1"/>
  <c r="D32" i="5" s="1"/>
  <c r="C32" i="5" a="1"/>
  <c r="C32" i="5" s="1"/>
  <c r="B32" i="5" a="1"/>
  <c r="B32" i="5" s="1"/>
  <c r="A32" i="5" a="1"/>
  <c r="A32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B31" i="5" a="1"/>
  <c r="B31" i="5" s="1"/>
  <c r="A31" i="5" a="1"/>
  <c r="A31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 a="1"/>
  <c r="A30" i="5" s="1"/>
  <c r="B29" i="5" a="1"/>
  <c r="B29" i="5" s="1"/>
  <c r="C29" i="5" a="1"/>
  <c r="C29" i="5" s="1"/>
  <c r="D29" i="5" a="1"/>
  <c r="D29" i="5" s="1"/>
  <c r="E29" i="5" a="1"/>
  <c r="E29" i="5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A29" i="5" a="1"/>
  <c r="A29" i="5" s="1"/>
  <c r="A31" i="6" a="1"/>
  <c r="A31" i="6" s="1"/>
  <c r="B31" i="6" a="1"/>
  <c r="B31" i="6" s="1"/>
  <c r="C31" i="6" a="1"/>
  <c r="C31" i="6" s="1"/>
  <c r="D31" i="6" a="1"/>
  <c r="D31" i="6"/>
  <c r="E31" i="6" a="1"/>
  <c r="E31" i="6" s="1"/>
  <c r="F31" i="6" a="1"/>
  <c r="F31" i="6" s="1"/>
  <c r="G31" i="6" a="1"/>
  <c r="G31" i="6" s="1"/>
  <c r="H31" i="6" a="1"/>
  <c r="H31" i="6"/>
  <c r="I31" i="6" a="1"/>
  <c r="I31" i="6" s="1"/>
  <c r="J31" i="6" a="1"/>
  <c r="J31" i="6" s="1"/>
  <c r="A32" i="6" a="1"/>
  <c r="A32" i="6" s="1"/>
  <c r="B32" i="6" a="1"/>
  <c r="B32" i="6"/>
  <c r="C32" i="6" a="1"/>
  <c r="C32" i="6" s="1"/>
  <c r="D32" i="6" a="1"/>
  <c r="D32" i="6" s="1"/>
  <c r="E32" i="6" a="1"/>
  <c r="E32" i="6" s="1"/>
  <c r="F32" i="6" a="1"/>
  <c r="F32" i="6"/>
  <c r="G32" i="6" a="1"/>
  <c r="G32" i="6" s="1"/>
  <c r="H32" i="6" a="1"/>
  <c r="H32" i="6" s="1"/>
  <c r="I32" i="6" a="1"/>
  <c r="I32" i="6" s="1"/>
  <c r="J32" i="6" a="1"/>
  <c r="J32" i="6"/>
  <c r="A33" i="6" a="1"/>
  <c r="A33" i="6" s="1"/>
  <c r="B33" i="6" a="1"/>
  <c r="B33" i="6" s="1"/>
  <c r="C33" i="6" a="1"/>
  <c r="C33" i="6" s="1"/>
  <c r="D33" i="6" a="1"/>
  <c r="D33" i="6"/>
  <c r="E33" i="6" a="1"/>
  <c r="E33" i="6" s="1"/>
  <c r="F33" i="6" a="1"/>
  <c r="F33" i="6" s="1"/>
  <c r="G33" i="6" a="1"/>
  <c r="G33" i="6" s="1"/>
  <c r="H33" i="6" a="1"/>
  <c r="H33" i="6"/>
  <c r="I33" i="6" a="1"/>
  <c r="I33" i="6" s="1"/>
  <c r="J33" i="6" a="1"/>
  <c r="J33" i="6" s="1"/>
  <c r="A34" i="6" a="1"/>
  <c r="A34" i="6" s="1"/>
  <c r="B34" i="6" a="1"/>
  <c r="B34" i="6"/>
  <c r="C34" i="6" a="1"/>
  <c r="C34" i="6" s="1"/>
  <c r="D34" i="6" a="1"/>
  <c r="D34" i="6" s="1"/>
  <c r="E34" i="6" a="1"/>
  <c r="E34" i="6" s="1"/>
  <c r="F34" i="6" a="1"/>
  <c r="F34" i="6"/>
  <c r="G34" i="6" a="1"/>
  <c r="G34" i="6" s="1"/>
  <c r="H34" i="6" a="1"/>
  <c r="H34" i="6" s="1"/>
  <c r="I34" i="6" a="1"/>
  <c r="I34" i="6" s="1"/>
  <c r="J34" i="6" a="1"/>
  <c r="J34" i="6"/>
  <c r="A35" i="6" a="1"/>
  <c r="A35" i="6" s="1"/>
  <c r="B35" i="6" a="1"/>
  <c r="B35" i="6" s="1"/>
  <c r="C35" i="6" a="1"/>
  <c r="C35" i="6" s="1"/>
  <c r="D35" i="6" a="1"/>
  <c r="D35" i="6"/>
  <c r="E35" i="6" a="1"/>
  <c r="E35" i="6" s="1"/>
  <c r="F35" i="6" a="1"/>
  <c r="F35" i="6" s="1"/>
  <c r="G35" i="6" a="1"/>
  <c r="G35" i="6" s="1"/>
  <c r="H35" i="6" a="1"/>
  <c r="H35" i="6"/>
  <c r="I35" i="6" a="1"/>
  <c r="I35" i="6" s="1"/>
  <c r="J35" i="6" a="1"/>
  <c r="J35" i="6" s="1"/>
  <c r="A36" i="6" a="1"/>
  <c r="A36" i="6" s="1"/>
  <c r="B36" i="6" a="1"/>
  <c r="B36" i="6"/>
  <c r="C36" i="6" a="1"/>
  <c r="C36" i="6" s="1"/>
  <c r="D36" i="6" a="1"/>
  <c r="D36" i="6" s="1"/>
  <c r="E36" i="6" a="1"/>
  <c r="E36" i="6" s="1"/>
  <c r="F36" i="6" a="1"/>
  <c r="F36" i="6"/>
  <c r="G36" i="6" a="1"/>
  <c r="G36" i="6" s="1"/>
  <c r="H36" i="6" a="1"/>
  <c r="H36" i="6" s="1"/>
  <c r="I36" i="6" a="1"/>
  <c r="I36" i="6" s="1"/>
  <c r="J36" i="6" a="1"/>
  <c r="J36" i="6"/>
  <c r="A37" i="6" a="1"/>
  <c r="A37" i="6" s="1"/>
  <c r="B37" i="6" a="1"/>
  <c r="B37" i="6" s="1"/>
  <c r="C37" i="6" a="1"/>
  <c r="C37" i="6" s="1"/>
  <c r="D37" i="6" a="1"/>
  <c r="D37" i="6"/>
  <c r="E37" i="6" a="1"/>
  <c r="E37" i="6" s="1"/>
  <c r="F37" i="6" a="1"/>
  <c r="F37" i="6" s="1"/>
  <c r="G37" i="6" a="1"/>
  <c r="G37" i="6" s="1"/>
  <c r="H37" i="6" a="1"/>
  <c r="H37" i="6"/>
  <c r="I37" i="6" a="1"/>
  <c r="I37" i="6" s="1"/>
  <c r="J37" i="6" a="1"/>
  <c r="J37" i="6" s="1"/>
  <c r="A30" i="6" a="1"/>
  <c r="A30" i="6" s="1"/>
  <c r="B30" i="6" a="1"/>
  <c r="B30" i="6" s="1"/>
  <c r="C30" i="6" a="1"/>
  <c r="C30" i="6" s="1"/>
  <c r="D30" i="6" a="1"/>
  <c r="D30" i="6"/>
  <c r="E30" i="6" a="1"/>
  <c r="E30" i="6" s="1"/>
  <c r="F30" i="6" a="1"/>
  <c r="F30" i="6" s="1"/>
  <c r="G30" i="6" a="1"/>
  <c r="G30" i="6" s="1"/>
  <c r="H30" i="6" a="1"/>
  <c r="H30" i="6"/>
  <c r="I30" i="6" a="1"/>
  <c r="I30" i="6" s="1"/>
  <c r="J30" i="6" a="1"/>
  <c r="J30" i="6" s="1"/>
  <c r="B29" i="6" a="1"/>
  <c r="B29" i="6" s="1"/>
  <c r="C29" i="6" a="1"/>
  <c r="C29" i="6" s="1"/>
  <c r="D29" i="6" a="1"/>
  <c r="D29" i="6" s="1"/>
  <c r="E29" i="6" a="1"/>
  <c r="E29" i="6"/>
  <c r="F29" i="6" a="1"/>
  <c r="F29" i="6" s="1"/>
  <c r="G29" i="6" a="1"/>
  <c r="G29" i="6" s="1"/>
  <c r="H29" i="6" a="1"/>
  <c r="H29" i="6" s="1"/>
  <c r="I29" i="6" a="1"/>
  <c r="I29" i="6" s="1"/>
  <c r="J29" i="6" a="1"/>
  <c r="J29" i="6" s="1"/>
  <c r="A29" i="6" a="1"/>
  <c r="A29" i="6" s="1"/>
  <c r="A30" i="1" a="1"/>
  <c r="A30" i="1" s="1"/>
  <c r="B30" i="1" a="1"/>
  <c r="B30" i="1" s="1"/>
  <c r="C30" i="1" a="1"/>
  <c r="C30" i="1" s="1"/>
  <c r="D30" i="1" a="1"/>
  <c r="D30" i="1"/>
  <c r="E30" i="1" a="1"/>
  <c r="E30" i="1" s="1"/>
  <c r="F30" i="1" a="1"/>
  <c r="F30" i="1" s="1"/>
  <c r="G30" i="1" a="1"/>
  <c r="G30" i="1" s="1"/>
  <c r="H30" i="1" a="1"/>
  <c r="H30" i="1"/>
  <c r="I30" i="1" a="1"/>
  <c r="I30" i="1" s="1"/>
  <c r="J30" i="1" a="1"/>
  <c r="J30" i="1" s="1"/>
  <c r="A31" i="1" a="1"/>
  <c r="A31" i="1" s="1"/>
  <c r="B31" i="1" a="1"/>
  <c r="B31" i="1"/>
  <c r="C31" i="1" a="1"/>
  <c r="C31" i="1" s="1"/>
  <c r="D31" i="1" a="1"/>
  <c r="D31" i="1" s="1"/>
  <c r="E31" i="1" a="1"/>
  <c r="E31" i="1" s="1"/>
  <c r="F31" i="1" a="1"/>
  <c r="F31" i="1"/>
  <c r="G31" i="1" a="1"/>
  <c r="G31" i="1" s="1"/>
  <c r="H31" i="1" a="1"/>
  <c r="H31" i="1" s="1"/>
  <c r="I31" i="1" a="1"/>
  <c r="I31" i="1" s="1"/>
  <c r="J31" i="1" a="1"/>
  <c r="J31" i="1"/>
  <c r="A32" i="1" a="1"/>
  <c r="A32" i="1" s="1"/>
  <c r="B32" i="1" a="1"/>
  <c r="B32" i="1" s="1"/>
  <c r="C32" i="1" a="1"/>
  <c r="C32" i="1" s="1"/>
  <c r="D32" i="1" a="1"/>
  <c r="D32" i="1"/>
  <c r="E32" i="1" a="1"/>
  <c r="E32" i="1" s="1"/>
  <c r="F32" i="1" a="1"/>
  <c r="F32" i="1" s="1"/>
  <c r="G32" i="1" a="1"/>
  <c r="G32" i="1" s="1"/>
  <c r="H32" i="1" a="1"/>
  <c r="H32" i="1"/>
  <c r="I32" i="1" a="1"/>
  <c r="I32" i="1" s="1"/>
  <c r="J32" i="1" a="1"/>
  <c r="J32" i="1" s="1"/>
  <c r="A33" i="1" a="1"/>
  <c r="A33" i="1" s="1"/>
  <c r="B33" i="1" a="1"/>
  <c r="B33" i="1"/>
  <c r="C33" i="1" a="1"/>
  <c r="C33" i="1" s="1"/>
  <c r="D33" i="1" a="1"/>
  <c r="D33" i="1" s="1"/>
  <c r="E33" i="1" a="1"/>
  <c r="E33" i="1" s="1"/>
  <c r="F33" i="1" a="1"/>
  <c r="F33" i="1"/>
  <c r="G33" i="1" a="1"/>
  <c r="G33" i="1" s="1"/>
  <c r="H33" i="1" a="1"/>
  <c r="H33" i="1" s="1"/>
  <c r="I33" i="1" a="1"/>
  <c r="I33" i="1" s="1"/>
  <c r="J33" i="1" a="1"/>
  <c r="J33" i="1" s="1"/>
  <c r="A29" i="1" a="1"/>
  <c r="A29" i="1" s="1"/>
  <c r="I29" i="1" a="1"/>
  <c r="I29" i="1" s="1"/>
  <c r="J29" i="1" a="1"/>
  <c r="J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C29" i="1" a="1"/>
  <c r="C29" i="1" s="1"/>
  <c r="B29" i="1" a="1"/>
  <c r="B29" i="1" s="1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 s="1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 s="1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 s="1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S35" i="2" s="1"/>
  <c r="R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 s="1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 s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 s="1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 s="1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 s="1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 s="1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S43" i="2" s="1"/>
  <c r="R43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 s="1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 s="1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 s="1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 s="1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 s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 s="1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 s="1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 s="1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R4" i="2"/>
  <c r="S4" i="2" s="1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N11" i="3"/>
  <c r="X12" i="3" s="1"/>
  <c r="N5" i="3"/>
  <c r="X6" i="3" s="1"/>
  <c r="N6" i="3"/>
  <c r="X7" i="3" s="1"/>
  <c r="N7" i="3"/>
  <c r="X8" i="3" s="1"/>
  <c r="N8" i="3"/>
  <c r="X9" i="3" s="1"/>
  <c r="N9" i="3"/>
  <c r="X10" i="3" s="1"/>
  <c r="N10" i="3"/>
  <c r="X11" i="3" s="1"/>
  <c r="N4" i="3"/>
  <c r="X5" i="3" s="1"/>
  <c r="M5" i="3"/>
  <c r="M6" i="3"/>
  <c r="M7" i="3"/>
  <c r="M8" i="3"/>
  <c r="M9" i="3"/>
  <c r="M10" i="3"/>
  <c r="M11" i="3"/>
  <c r="M4" i="3"/>
  <c r="C2" i="2"/>
  <c r="D2" i="2"/>
  <c r="E2" i="2"/>
  <c r="F2" i="2"/>
  <c r="G2" i="2"/>
  <c r="H2" i="2"/>
  <c r="I2" i="2"/>
  <c r="J2" i="2"/>
  <c r="K2" i="2"/>
  <c r="L2" i="2"/>
  <c r="N2" i="2"/>
  <c r="O2" i="2"/>
  <c r="P2" i="2"/>
  <c r="Q2" i="2"/>
  <c r="R2" i="2"/>
  <c r="S2" i="2" l="1"/>
  <c r="Y50" i="3" l="1"/>
  <c r="Y49" i="3"/>
  <c r="Y13" i="3" l="1"/>
  <c r="Y5" i="3"/>
  <c r="E9" i="12" l="1"/>
  <c r="F5" i="10"/>
  <c r="F3" i="10"/>
  <c r="F5" i="9"/>
  <c r="F3" i="9"/>
  <c r="F5" i="8"/>
  <c r="F3" i="8"/>
  <c r="F5" i="7"/>
  <c r="F3" i="7"/>
  <c r="F5" i="4"/>
  <c r="F3" i="4"/>
  <c r="F5" i="5"/>
  <c r="F3" i="5"/>
  <c r="F5" i="6"/>
  <c r="F3" i="6"/>
  <c r="F5" i="1"/>
  <c r="F3" i="1"/>
  <c r="N12" i="3"/>
  <c r="B9" i="10"/>
  <c r="M12" i="3"/>
  <c r="C9" i="12" s="1"/>
  <c r="F5" i="3"/>
  <c r="F4" i="6" s="1"/>
  <c r="F6" i="3"/>
  <c r="F4" i="5" s="1"/>
  <c r="F7" i="3"/>
  <c r="F4" i="4" s="1"/>
  <c r="F8" i="3"/>
  <c r="F4" i="7" s="1"/>
  <c r="F9" i="3"/>
  <c r="F4" i="8" s="1"/>
  <c r="F10" i="3"/>
  <c r="F4" i="9" s="1"/>
  <c r="F11" i="3"/>
  <c r="F4" i="10" s="1"/>
  <c r="F4" i="3"/>
  <c r="F4" i="1" s="1"/>
  <c r="D9" i="1"/>
  <c r="Y6" i="3"/>
  <c r="D9" i="6" s="1"/>
  <c r="Y7" i="3"/>
  <c r="D9" i="5" s="1"/>
  <c r="Y8" i="3"/>
  <c r="D9" i="4" s="1"/>
  <c r="Y9" i="3"/>
  <c r="D9" i="7" s="1"/>
  <c r="Y10" i="3"/>
  <c r="D9" i="8" s="1"/>
  <c r="Y11" i="3"/>
  <c r="D9" i="9" s="1"/>
  <c r="Y12" i="3"/>
  <c r="D9" i="10" s="1"/>
  <c r="D9" i="12" l="1"/>
  <c r="X13" i="3"/>
  <c r="G3" i="12"/>
  <c r="G25" i="12" l="1"/>
  <c r="G24" i="12"/>
  <c r="I28" i="12" l="1"/>
  <c r="B1" i="10" l="1"/>
  <c r="B1" i="9"/>
  <c r="B1" i="8"/>
  <c r="B1" i="7"/>
  <c r="B1" i="4"/>
  <c r="B1" i="5"/>
  <c r="B1" i="6"/>
  <c r="B1" i="1"/>
  <c r="C9" i="6"/>
  <c r="C9" i="5"/>
  <c r="C9" i="4"/>
  <c r="C9" i="7"/>
  <c r="C9" i="8"/>
  <c r="C9" i="9"/>
  <c r="C9" i="10"/>
  <c r="C9" i="1"/>
  <c r="B9" i="1"/>
  <c r="X50" i="3"/>
  <c r="C6" i="6" s="1"/>
  <c r="X51" i="3"/>
  <c r="C6" i="5" s="1"/>
  <c r="X52" i="3"/>
  <c r="C6" i="4" s="1"/>
  <c r="X53" i="3"/>
  <c r="C6" i="7" s="1"/>
  <c r="X54" i="3"/>
  <c r="C6" i="8" s="1"/>
  <c r="X55" i="3"/>
  <c r="C6" i="9" s="1"/>
  <c r="X56" i="3"/>
  <c r="C6" i="10" s="1"/>
  <c r="X49" i="3"/>
  <c r="D6" i="6"/>
  <c r="Y51" i="3"/>
  <c r="D6" i="5" s="1"/>
  <c r="Y52" i="3"/>
  <c r="D6" i="4" s="1"/>
  <c r="Y53" i="3"/>
  <c r="D6" i="7" s="1"/>
  <c r="Y54" i="3"/>
  <c r="D6" i="8" s="1"/>
  <c r="Y55" i="3"/>
  <c r="Y56" i="3"/>
  <c r="D6" i="10" s="1"/>
  <c r="C2" i="12"/>
  <c r="B2" i="10"/>
  <c r="B2" i="9"/>
  <c r="B2" i="8"/>
  <c r="B2" i="7"/>
  <c r="B2" i="6"/>
  <c r="B2" i="5"/>
  <c r="B2" i="4"/>
  <c r="B9" i="6"/>
  <c r="B9" i="5"/>
  <c r="B9" i="4"/>
  <c r="B9" i="7"/>
  <c r="B9" i="8"/>
  <c r="B9" i="9"/>
  <c r="W55" i="3" l="1"/>
  <c r="B6" i="9" s="1"/>
  <c r="D6" i="1"/>
  <c r="Y57" i="3"/>
  <c r="E6" i="12" s="1"/>
  <c r="C6" i="1"/>
  <c r="X57" i="3"/>
  <c r="D6" i="12" s="1"/>
  <c r="W56" i="3"/>
  <c r="B6" i="10" s="1"/>
  <c r="D6" i="9"/>
  <c r="W57" i="3" l="1"/>
  <c r="C6" i="12" s="1"/>
  <c r="H7" i="6"/>
  <c r="H7" i="5"/>
  <c r="H7" i="4"/>
  <c r="H7" i="7"/>
  <c r="H7" i="8"/>
  <c r="H7" i="9"/>
  <c r="F12" i="3"/>
  <c r="G4" i="12" s="1"/>
  <c r="B2" i="1" l="1"/>
  <c r="D16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50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I7" i="12" l="1"/>
  <c r="H7" i="10"/>
  <c r="W49" i="3"/>
  <c r="B6" i="1" s="1"/>
  <c r="W53" i="3"/>
  <c r="B6" i="7" s="1"/>
  <c r="W51" i="3"/>
  <c r="B6" i="5" s="1"/>
  <c r="W54" i="3"/>
  <c r="B6" i="8" s="1"/>
  <c r="W52" i="3"/>
  <c r="B6" i="4" s="1"/>
  <c r="W50" i="3"/>
  <c r="B6" i="6" s="1"/>
  <c r="P53" i="3" a="1"/>
  <c r="P53" i="3" s="1"/>
  <c r="Q53" i="3" s="1" a="1"/>
  <c r="Q53" i="3" s="1"/>
  <c r="P68" i="3" a="1"/>
  <c r="P68" i="3" s="1"/>
  <c r="Q68" i="3" s="1" a="1"/>
  <c r="Q68" i="3" s="1"/>
  <c r="P60" i="3" a="1"/>
  <c r="P60" i="3" s="1"/>
  <c r="Q60" i="3" s="1" a="1"/>
  <c r="Q60" i="3" s="1"/>
  <c r="J72" i="3" a="1"/>
  <c r="J72" i="3" s="1"/>
  <c r="K72" i="3" s="1" a="1"/>
  <c r="K72" i="3" s="1"/>
  <c r="P52" i="3" a="1"/>
  <c r="P52" i="3" s="1"/>
  <c r="Q52" i="3" s="1" a="1"/>
  <c r="Q52" i="3" s="1"/>
  <c r="P67" i="3" a="1"/>
  <c r="P67" i="3" s="1"/>
  <c r="Q67" i="3" s="1" a="1"/>
  <c r="Q67" i="3" s="1"/>
  <c r="P59" i="3" a="1"/>
  <c r="P59" i="3" s="1"/>
  <c r="Q59" i="3" s="1" a="1"/>
  <c r="Q59" i="3" s="1"/>
  <c r="P51" i="3" a="1"/>
  <c r="P51" i="3" s="1"/>
  <c r="Q51" i="3" s="1" a="1"/>
  <c r="Q51" i="3" s="1"/>
  <c r="P50" i="3" a="1"/>
  <c r="P50" i="3" s="1"/>
  <c r="P66" i="3" a="1"/>
  <c r="P66" i="3" s="1"/>
  <c r="Q66" i="3" s="1" a="1"/>
  <c r="Q66" i="3" s="1"/>
  <c r="P58" i="3" a="1"/>
  <c r="P58" i="3" s="1"/>
  <c r="Q58" i="3" s="1" a="1"/>
  <c r="Q58" i="3" s="1"/>
  <c r="J58" i="3" a="1"/>
  <c r="J58" i="3" s="1"/>
  <c r="K58" i="3" s="1" a="1"/>
  <c r="K58" i="3" s="1"/>
  <c r="P73" i="3" a="1"/>
  <c r="P73" i="3" s="1"/>
  <c r="Q73" i="3" s="1" a="1"/>
  <c r="Q73" i="3" s="1"/>
  <c r="P65" i="3" a="1"/>
  <c r="P65" i="3" s="1"/>
  <c r="Q65" i="3" s="1" a="1"/>
  <c r="Q65" i="3" s="1"/>
  <c r="P57" i="3" a="1"/>
  <c r="P57" i="3" s="1"/>
  <c r="Q57" i="3" s="1" a="1"/>
  <c r="Q57" i="3" s="1"/>
  <c r="P72" i="3" a="1"/>
  <c r="P72" i="3" s="1"/>
  <c r="Q72" i="3" s="1" a="1"/>
  <c r="Q72" i="3" s="1"/>
  <c r="P64" i="3" a="1"/>
  <c r="P64" i="3" s="1"/>
  <c r="Q64" i="3" s="1" a="1"/>
  <c r="Q64" i="3" s="1"/>
  <c r="P56" i="3" a="1"/>
  <c r="P56" i="3" s="1"/>
  <c r="Q56" i="3" s="1" a="1"/>
  <c r="Q56" i="3" s="1"/>
  <c r="P71" i="3" a="1"/>
  <c r="P71" i="3" s="1"/>
  <c r="Q71" i="3" s="1" a="1"/>
  <c r="Q71" i="3" s="1"/>
  <c r="P63" i="3" a="1"/>
  <c r="P63" i="3" s="1"/>
  <c r="Q63" i="3" s="1" a="1"/>
  <c r="Q63" i="3" s="1"/>
  <c r="P55" i="3" a="1"/>
  <c r="P55" i="3" s="1"/>
  <c r="Q55" i="3" s="1" a="1"/>
  <c r="Q55" i="3" s="1"/>
  <c r="P70" i="3" a="1"/>
  <c r="P70" i="3" s="1"/>
  <c r="Q70" i="3" s="1" a="1"/>
  <c r="Q70" i="3" s="1"/>
  <c r="P62" i="3" a="1"/>
  <c r="P62" i="3" s="1"/>
  <c r="Q62" i="3" s="1" a="1"/>
  <c r="Q62" i="3" s="1"/>
  <c r="P54" i="3" a="1"/>
  <c r="P54" i="3" s="1"/>
  <c r="Q54" i="3" s="1" a="1"/>
  <c r="Q54" i="3" s="1"/>
  <c r="P69" i="3" a="1"/>
  <c r="P69" i="3" s="1"/>
  <c r="Q69" i="3" s="1" a="1"/>
  <c r="Q69" i="3" s="1"/>
  <c r="P61" i="3" a="1"/>
  <c r="P61" i="3" s="1"/>
  <c r="Q61" i="3" s="1" a="1"/>
  <c r="Q61" i="3" s="1"/>
  <c r="J57" i="3" a="1"/>
  <c r="J57" i="3" s="1"/>
  <c r="K57" i="3" s="1" a="1"/>
  <c r="K57" i="3" s="1"/>
  <c r="J71" i="3" a="1"/>
  <c r="J71" i="3" s="1"/>
  <c r="K71" i="3" s="1" a="1"/>
  <c r="K71" i="3" s="1"/>
  <c r="J56" i="3" a="1"/>
  <c r="J56" i="3" s="1"/>
  <c r="K56" i="3" s="1" a="1"/>
  <c r="K56" i="3" s="1"/>
  <c r="J64" i="3" a="1"/>
  <c r="J64" i="3" s="1"/>
  <c r="K64" i="3" s="1" a="1"/>
  <c r="K64" i="3" s="1"/>
  <c r="J70" i="3" a="1"/>
  <c r="J70" i="3" s="1"/>
  <c r="K70" i="3" s="1" a="1"/>
  <c r="K70" i="3" s="1"/>
  <c r="J63" i="3" a="1"/>
  <c r="J63" i="3" s="1"/>
  <c r="K63" i="3" s="1" a="1"/>
  <c r="K63" i="3" s="1"/>
  <c r="J55" i="3" a="1"/>
  <c r="J55" i="3" s="1"/>
  <c r="K55" i="3" s="1" a="1"/>
  <c r="K55" i="3" s="1"/>
  <c r="J69" i="3" a="1"/>
  <c r="J69" i="3" s="1"/>
  <c r="K69" i="3" s="1" a="1"/>
  <c r="K69" i="3" s="1"/>
  <c r="J62" i="3" a="1"/>
  <c r="J62" i="3" s="1"/>
  <c r="K62" i="3" s="1" a="1"/>
  <c r="K62" i="3" s="1"/>
  <c r="J54" i="3" a="1"/>
  <c r="J54" i="3" s="1"/>
  <c r="K54" i="3" s="1" a="1"/>
  <c r="K54" i="3" s="1"/>
  <c r="J68" i="3" a="1"/>
  <c r="J68" i="3" s="1"/>
  <c r="K68" i="3" s="1" a="1"/>
  <c r="K68" i="3" s="1"/>
  <c r="J61" i="3" a="1"/>
  <c r="J61" i="3" s="1"/>
  <c r="K61" i="3" s="1" a="1"/>
  <c r="K61" i="3" s="1"/>
  <c r="J53" i="3" a="1"/>
  <c r="J53" i="3" s="1"/>
  <c r="K53" i="3" s="1" a="1"/>
  <c r="K53" i="3" s="1"/>
  <c r="J50" i="3" a="1"/>
  <c r="J50" i="3" s="1"/>
  <c r="K50" i="3" s="1" a="1"/>
  <c r="K50" i="3" s="1"/>
  <c r="C22" i="1" s="1"/>
  <c r="J67" i="3" a="1"/>
  <c r="J67" i="3" s="1"/>
  <c r="K67" i="3" s="1" a="1"/>
  <c r="K67" i="3" s="1"/>
  <c r="J60" i="3" a="1"/>
  <c r="J60" i="3" s="1"/>
  <c r="K60" i="3" s="1" a="1"/>
  <c r="K60" i="3" s="1"/>
  <c r="J52" i="3" a="1"/>
  <c r="J52" i="3" s="1"/>
  <c r="J51" i="3" a="1"/>
  <c r="J51" i="3" s="1"/>
  <c r="K51" i="3" s="1" a="1"/>
  <c r="K51" i="3" s="1"/>
  <c r="C23" i="1" s="1"/>
  <c r="J66" i="3" a="1"/>
  <c r="J66" i="3" s="1"/>
  <c r="K66" i="3" s="1" a="1"/>
  <c r="K66" i="3" s="1"/>
  <c r="J59" i="3" a="1"/>
  <c r="J59" i="3" s="1"/>
  <c r="K59" i="3" s="1" a="1"/>
  <c r="K59" i="3" s="1"/>
  <c r="J73" i="3" a="1"/>
  <c r="J73" i="3" s="1"/>
  <c r="K73" i="3" s="1" a="1"/>
  <c r="K73" i="3" s="1"/>
  <c r="J65" i="3" a="1"/>
  <c r="J65" i="3" s="1"/>
  <c r="K65" i="3" s="1" a="1"/>
  <c r="K65" i="3" s="1"/>
  <c r="K52" i="3" l="1" a="1"/>
  <c r="K52" i="3" s="1"/>
  <c r="C24" i="1" s="1"/>
  <c r="Q50" i="3" a="1"/>
  <c r="Q50" i="3" s="1"/>
  <c r="H22" i="1" s="1"/>
  <c r="C23" i="4"/>
  <c r="B23" i="4"/>
  <c r="C23" i="9"/>
  <c r="B23" i="9"/>
  <c r="H24" i="4"/>
  <c r="G24" i="4"/>
  <c r="H22" i="5"/>
  <c r="G22" i="5"/>
  <c r="H23" i="8"/>
  <c r="G23" i="8"/>
  <c r="H22" i="9"/>
  <c r="G22" i="9"/>
  <c r="H23" i="9"/>
  <c r="G23" i="9"/>
  <c r="H24" i="7"/>
  <c r="G24" i="7"/>
  <c r="H22" i="6"/>
  <c r="G22" i="6"/>
  <c r="C22" i="8"/>
  <c r="B22" i="8"/>
  <c r="C23" i="7"/>
  <c r="B23" i="7"/>
  <c r="H23" i="6"/>
  <c r="G23" i="6"/>
  <c r="H23" i="10"/>
  <c r="G23" i="10"/>
  <c r="C24" i="8"/>
  <c r="B24" i="8"/>
  <c r="C24" i="10"/>
  <c r="B24" i="10"/>
  <c r="C22" i="6"/>
  <c r="B22" i="6"/>
  <c r="C24" i="9"/>
  <c r="B24" i="9"/>
  <c r="H22" i="7"/>
  <c r="G22" i="7"/>
  <c r="H23" i="5"/>
  <c r="G23" i="5"/>
  <c r="H22" i="4"/>
  <c r="G22" i="4"/>
  <c r="C22" i="4"/>
  <c r="B22" i="4"/>
  <c r="C24" i="4"/>
  <c r="B24" i="4"/>
  <c r="C24" i="7"/>
  <c r="B24" i="7"/>
  <c r="H24" i="9"/>
  <c r="G24" i="9"/>
  <c r="H22" i="8"/>
  <c r="G22" i="8"/>
  <c r="H24" i="8"/>
  <c r="G24" i="8"/>
  <c r="C24" i="6"/>
  <c r="B24" i="6"/>
  <c r="C23" i="8"/>
  <c r="B23" i="8"/>
  <c r="C22" i="9"/>
  <c r="B22" i="9"/>
  <c r="C22" i="5"/>
  <c r="B22" i="5"/>
  <c r="H24" i="6"/>
  <c r="G24" i="6"/>
  <c r="H24" i="10"/>
  <c r="G24" i="10"/>
  <c r="C23" i="6"/>
  <c r="B23" i="6"/>
  <c r="C22" i="10"/>
  <c r="B22" i="10"/>
  <c r="H23" i="7"/>
  <c r="G23" i="7"/>
  <c r="C24" i="5"/>
  <c r="B24" i="5"/>
  <c r="C23" i="10"/>
  <c r="B23" i="10"/>
  <c r="C22" i="7"/>
  <c r="B22" i="7"/>
  <c r="C23" i="5"/>
  <c r="B23" i="5"/>
  <c r="H22" i="10"/>
  <c r="G22" i="10"/>
  <c r="H24" i="5"/>
  <c r="G24" i="5"/>
  <c r="H23" i="4"/>
  <c r="G23" i="4"/>
  <c r="H24" i="1"/>
  <c r="G24" i="1"/>
  <c r="G22" i="1"/>
  <c r="B22" i="1"/>
  <c r="H23" i="1"/>
  <c r="G23" i="1"/>
  <c r="B24" i="1"/>
  <c r="B23" i="1"/>
  <c r="H7" i="1" l="1"/>
  <c r="M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<sst xmlns="http://schemas.openxmlformats.org/spreadsheetml/2006/main" count="1514" uniqueCount="242">
  <si>
    <t>Week Of</t>
  </si>
  <si>
    <t>Line</t>
  </si>
  <si>
    <t>OEE</t>
  </si>
  <si>
    <t>Cases</t>
  </si>
  <si>
    <t>Current Cases</t>
  </si>
  <si>
    <t>Planned Cases</t>
  </si>
  <si>
    <t>Achieved</t>
  </si>
  <si>
    <t>Target</t>
  </si>
  <si>
    <t>Yesterday's Top 3 Downtime</t>
  </si>
  <si>
    <t>Week's Top 3 Downtime</t>
  </si>
  <si>
    <t>Inventory Variances</t>
  </si>
  <si>
    <t>Data Corrections</t>
  </si>
  <si>
    <t>Data Issues</t>
  </si>
  <si>
    <t>Working Days</t>
  </si>
  <si>
    <t>Total</t>
  </si>
  <si>
    <t xml:space="preserve">B </t>
  </si>
  <si>
    <t>C</t>
  </si>
  <si>
    <t>FY23</t>
  </si>
  <si>
    <t>B</t>
  </si>
  <si>
    <t xml:space="preserve">        FS01</t>
  </si>
  <si>
    <t xml:space="preserve">        FS03</t>
  </si>
  <si>
    <t xml:space="preserve">        FS04</t>
  </si>
  <si>
    <t xml:space="preserve">        FS05</t>
  </si>
  <si>
    <t xml:space="preserve">        FS09</t>
  </si>
  <si>
    <t xml:space="preserve">        FS10</t>
  </si>
  <si>
    <t xml:space="preserve">        FS12</t>
  </si>
  <si>
    <t>Fiscal Year</t>
  </si>
  <si>
    <t>Period</t>
  </si>
  <si>
    <t>Month</t>
  </si>
  <si>
    <t>Identifier Y/M/S</t>
  </si>
  <si>
    <t>Identifier Y/M/I</t>
  </si>
  <si>
    <t>Identifier WD</t>
  </si>
  <si>
    <t>Identifier WD/S</t>
  </si>
  <si>
    <t>Identifier WD/S/L</t>
  </si>
  <si>
    <t>Identifier D/S</t>
  </si>
  <si>
    <t>Identifier D/S/L</t>
  </si>
  <si>
    <t>Identifier Y/M/L/S</t>
  </si>
  <si>
    <t>Identifier Y/L</t>
  </si>
  <si>
    <t>Indentfier range/L</t>
  </si>
  <si>
    <t>Identifier Y/M/L</t>
  </si>
  <si>
    <t>Non Bot DT $</t>
  </si>
  <si>
    <t>Prod DT $</t>
  </si>
  <si>
    <t xml:space="preserve">Act labor </t>
  </si>
  <si>
    <t xml:space="preserve">Stnd labor </t>
  </si>
  <si>
    <t>Dir Labor Var Fav/(unfav)</t>
  </si>
  <si>
    <t>Date</t>
  </si>
  <si>
    <t>Shift</t>
  </si>
  <si>
    <t>WO #</t>
  </si>
  <si>
    <t>Item #</t>
  </si>
  <si>
    <t>Description</t>
  </si>
  <si>
    <t>Actual         Man Hours</t>
  </si>
  <si>
    <t>Pack Size</t>
  </si>
  <si>
    <t>Bottles</t>
  </si>
  <si>
    <t>Budgeted   FillerSpeed</t>
  </si>
  <si>
    <t>Actual    FillerSpeed</t>
  </si>
  <si>
    <t>Avail. Min</t>
  </si>
  <si>
    <t>Lunch</t>
  </si>
  <si>
    <t>OEE Mins</t>
  </si>
  <si>
    <t>Expected   Bottles</t>
  </si>
  <si>
    <t>Expected    Cases</t>
  </si>
  <si>
    <t>Btls</t>
  </si>
  <si>
    <t>OEE %</t>
  </si>
  <si>
    <t>Availability      OEE %</t>
  </si>
  <si>
    <t>Performance     OEE %</t>
  </si>
  <si>
    <t>Quality      OEE %</t>
  </si>
  <si>
    <t>Meeting</t>
  </si>
  <si>
    <t>Break</t>
  </si>
  <si>
    <t>Job Change</t>
  </si>
  <si>
    <t>Setup</t>
  </si>
  <si>
    <t>HK</t>
  </si>
  <si>
    <t>*</t>
  </si>
  <si>
    <t>Down Time</t>
  </si>
  <si>
    <t>DownTime Loss</t>
  </si>
  <si>
    <t>Non Conforming   Cases</t>
  </si>
  <si>
    <t>Rework    Cases</t>
  </si>
  <si>
    <t>Non-Bott DT</t>
  </si>
  <si>
    <t>Fill Height/Cap Detector</t>
  </si>
  <si>
    <t>FCS</t>
  </si>
  <si>
    <t>Proc.-Tk Chg</t>
  </si>
  <si>
    <t>Manning/    Supplies</t>
  </si>
  <si>
    <t>Foam</t>
  </si>
  <si>
    <t>Proof Cks     /Lab</t>
  </si>
  <si>
    <t>Vision System</t>
  </si>
  <si>
    <t>QA External</t>
  </si>
  <si>
    <t>QA Internal</t>
  </si>
  <si>
    <t>Pal/Depal</t>
  </si>
  <si>
    <t>Unloader</t>
  </si>
  <si>
    <t>Bulk Unloader</t>
  </si>
  <si>
    <t>Cleaner</t>
  </si>
  <si>
    <t>Filler</t>
  </si>
  <si>
    <t>Capper</t>
  </si>
  <si>
    <t>Checkweigher/Taper</t>
  </si>
  <si>
    <t>Team Performance</t>
  </si>
  <si>
    <t>Bottle Orientor</t>
  </si>
  <si>
    <t>Labeler</t>
  </si>
  <si>
    <t>Wash</t>
  </si>
  <si>
    <t>Case Packer</t>
  </si>
  <si>
    <t>Partitioner</t>
  </si>
  <si>
    <t>Case Erector</t>
  </si>
  <si>
    <t>APM</t>
  </si>
  <si>
    <t>Case Line</t>
  </si>
  <si>
    <t>State Code</t>
  </si>
  <si>
    <t>Case Printer</t>
  </si>
  <si>
    <t>Laser Dater</t>
  </si>
  <si>
    <t>Other</t>
  </si>
  <si>
    <t>1st Hr Cs Count</t>
  </si>
  <si>
    <t>Total Pro Down Time</t>
  </si>
  <si>
    <t>Row Labels</t>
  </si>
  <si>
    <t>Grand Total</t>
  </si>
  <si>
    <t>Sum of Fill Height/Cap Detector</t>
  </si>
  <si>
    <t>Sum of Proc.-Tk Chg</t>
  </si>
  <si>
    <t>Sum of Manning/    Supplies</t>
  </si>
  <si>
    <t>Sum of Vision System</t>
  </si>
  <si>
    <t>Sum of QA External</t>
  </si>
  <si>
    <t>Sum of FCS</t>
  </si>
  <si>
    <t>Sum of Foam</t>
  </si>
  <si>
    <t>Sum of Proof Cks     /Lab</t>
  </si>
  <si>
    <t>Sum of QA Internal</t>
  </si>
  <si>
    <t>Sum of Pal/Depal</t>
  </si>
  <si>
    <t>Sum of Unloader</t>
  </si>
  <si>
    <t>Sum of Bulk Unloader</t>
  </si>
  <si>
    <t>Sum of Cleaner</t>
  </si>
  <si>
    <t>Sum of Filler</t>
  </si>
  <si>
    <t>Sum of Capper</t>
  </si>
  <si>
    <t>Sum of Checkweigher/Taper</t>
  </si>
  <si>
    <t>Sum of Bottle Orientor</t>
  </si>
  <si>
    <t>Sum of Team Performance</t>
  </si>
  <si>
    <t>Sum of Labeler</t>
  </si>
  <si>
    <t>Sum of Case Packer</t>
  </si>
  <si>
    <t>Sum of Wash</t>
  </si>
  <si>
    <t>Sum of Partitioner</t>
  </si>
  <si>
    <t>Sum of Case Erector</t>
  </si>
  <si>
    <t>Sum of APM</t>
  </si>
  <si>
    <t>Sum of Case Line</t>
  </si>
  <si>
    <t>Sum of State Code</t>
  </si>
  <si>
    <t>Sum of Case Printer</t>
  </si>
  <si>
    <t>Sum of Laser Dater</t>
  </si>
  <si>
    <t>Sum of Other</t>
  </si>
  <si>
    <t>Total Cases</t>
  </si>
  <si>
    <t>Exp. Cases</t>
  </si>
  <si>
    <t>Downtime</t>
  </si>
  <si>
    <t>Manning/Supplies</t>
  </si>
  <si>
    <t>Proof Cks/Lab</t>
  </si>
  <si>
    <t xml:space="preserve">        FS14</t>
  </si>
  <si>
    <t>Total Minutes</t>
  </si>
  <si>
    <t>Weekly Minutes</t>
  </si>
  <si>
    <t>Rank</t>
  </si>
  <si>
    <t>Category</t>
  </si>
  <si>
    <t>Top Downtime - Day</t>
  </si>
  <si>
    <t>Top Downtime - Week</t>
  </si>
  <si>
    <t>Total Downtime by Category</t>
  </si>
  <si>
    <t>Key</t>
  </si>
  <si>
    <t>Week</t>
  </si>
  <si>
    <t>Sum of Identifier WD/S/L</t>
  </si>
  <si>
    <t>Days</t>
  </si>
  <si>
    <t>Work Order</t>
  </si>
  <si>
    <t>Component</t>
  </si>
  <si>
    <t>Qty Req</t>
  </si>
  <si>
    <t>Difference</t>
  </si>
  <si>
    <t>WO</t>
  </si>
  <si>
    <t>Correction</t>
  </si>
  <si>
    <t>Downtime - Week</t>
  </si>
  <si>
    <t>Sun</t>
  </si>
  <si>
    <t>Mon</t>
  </si>
  <si>
    <t>Tues</t>
  </si>
  <si>
    <t>Wed</t>
  </si>
  <si>
    <t>Thurs</t>
  </si>
  <si>
    <t>Fri</t>
  </si>
  <si>
    <t>Sat</t>
  </si>
  <si>
    <t>Remaining</t>
  </si>
  <si>
    <t>Completed</t>
  </si>
  <si>
    <t>Month Goal</t>
  </si>
  <si>
    <t>Week1</t>
  </si>
  <si>
    <t>Week2</t>
  </si>
  <si>
    <t>Week3</t>
  </si>
  <si>
    <t>Week4</t>
  </si>
  <si>
    <t>Week5</t>
  </si>
  <si>
    <t>Today</t>
  </si>
  <si>
    <t>ID</t>
  </si>
  <si>
    <t>Sum of Cases</t>
  </si>
  <si>
    <t>Yesterday</t>
  </si>
  <si>
    <r>
      <t xml:space="preserve">Expected Cases </t>
    </r>
    <r>
      <rPr>
        <sz val="8"/>
        <color theme="1"/>
        <rFont val="Calibri"/>
        <family val="2"/>
        <scheme val="minor"/>
      </rPr>
      <t>(Based on line speed)</t>
    </r>
  </si>
  <si>
    <t>Weekly Case Counts</t>
  </si>
  <si>
    <t>Consumed</t>
  </si>
  <si>
    <t>Comments</t>
  </si>
  <si>
    <t>Line using old Bottling Production Log</t>
  </si>
  <si>
    <t>March Monthly Case Counts</t>
  </si>
  <si>
    <t>P9</t>
  </si>
  <si>
    <t>Line using the wrong version of the</t>
  </si>
  <si>
    <t>Daily Production Log.</t>
  </si>
  <si>
    <t>(blank)</t>
  </si>
  <si>
    <t>Put in month's case count</t>
  </si>
  <si>
    <t>Select previous date</t>
  </si>
  <si>
    <r>
      <t xml:space="preserve">Downtime - Previous Day </t>
    </r>
    <r>
      <rPr>
        <i/>
        <sz val="11"/>
        <color theme="1"/>
        <rFont val="Calibri"/>
        <family val="2"/>
        <scheme val="minor"/>
      </rPr>
      <t>(Select day from list)</t>
    </r>
  </si>
  <si>
    <t>Enter planned cases for week</t>
  </si>
  <si>
    <t>Copy/Paste special from OEE table into the appropriate day</t>
  </si>
  <si>
    <t>Bottle Total</t>
  </si>
  <si>
    <t>Exp. Btls</t>
  </si>
  <si>
    <t>3/19/23-3/25/23</t>
  </si>
  <si>
    <t>SEAG GIN 80P 120/50 PT ND US</t>
  </si>
  <si>
    <t>BTL1500814</t>
  </si>
  <si>
    <t>SWILLI03</t>
  </si>
  <si>
    <t>SEAG GIN 80P 12/750 PTTF ND NC</t>
  </si>
  <si>
    <t>SV EXS80 12/375 CP</t>
  </si>
  <si>
    <t>SV APL70 12/375 CP</t>
  </si>
  <si>
    <t>KAH 32 12/1L 20 EX</t>
  </si>
  <si>
    <t>SEAG GIN 80P 6/1.75L ND US</t>
  </si>
  <si>
    <t>JEFF VSB BBN 82.3 6/750 AU</t>
  </si>
  <si>
    <t>SEAG GIN 80P 48/100 FSK ND US</t>
  </si>
  <si>
    <t>BTL190907</t>
  </si>
  <si>
    <t>BTL201988</t>
  </si>
  <si>
    <t>CLO188023</t>
  </si>
  <si>
    <t>CDN481RS</t>
  </si>
  <si>
    <t>DHOWAR01</t>
  </si>
  <si>
    <t>PCLARK01</t>
  </si>
  <si>
    <t>PR048208</t>
  </si>
  <si>
    <t>KAH 32 12/1L 21 MX</t>
  </si>
  <si>
    <t>BCC1500938-AUS</t>
  </si>
  <si>
    <t>SPP1501262</t>
  </si>
  <si>
    <t>CLO203435</t>
  </si>
  <si>
    <t>PR051982</t>
  </si>
  <si>
    <t>PR044664</t>
  </si>
  <si>
    <t>CMCDAN01</t>
  </si>
  <si>
    <t>PR043354</t>
  </si>
  <si>
    <t>FIXED</t>
  </si>
  <si>
    <t>JEFF VSB BBN 82.3 6/750 US</t>
  </si>
  <si>
    <t>HW BLKBDY 70 24/375 NB FSK US</t>
  </si>
  <si>
    <t>KAH ESP 70 12/1L NB AU</t>
  </si>
  <si>
    <t>KAH SALTED CARAMEL40 6/1L AUNZ</t>
  </si>
  <si>
    <t>MALI PNBBR14USA 24/355 6X4CNUS</t>
  </si>
  <si>
    <t>MALI 42 120/50 PT SW 21 US</t>
  </si>
  <si>
    <t>KAH SALTED CARAMEL40 12/750 US</t>
  </si>
  <si>
    <t>B &amp; C</t>
  </si>
  <si>
    <t>BCC1500938</t>
  </si>
  <si>
    <t>CLO1501333</t>
  </si>
  <si>
    <t>CLO198645</t>
  </si>
  <si>
    <t>LBL1501512</t>
  </si>
  <si>
    <t>LBL1502126</t>
  </si>
  <si>
    <t>PTN194560</t>
  </si>
  <si>
    <t>PR053289</t>
  </si>
  <si>
    <t>PR043760</t>
  </si>
  <si>
    <t>PR055469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</si>
</sst>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9"/>
      <name val="MS Sans Serif"/>
      <family val="2"/>
    </font>
    <font>
      <b/>
      <sz val="12"/>
      <name val="Arial Black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4" tint="0.39997558519241921"/>
      </bottom>
      <diagonal/>
    </border>
    <border>
      <left/>
      <right/>
      <top style="thin">
        <color theme="8" tint="0.59999389629810485"/>
      </top>
      <bottom style="thin">
        <color theme="4" tint="0.39997558519241921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4" tint="0.39997558519241921"/>
      </bottom>
      <diagonal/>
    </border>
    <border>
      <left style="thin">
        <color theme="8" tint="0.59999389629810485"/>
      </left>
      <right/>
      <top/>
      <bottom/>
      <diagonal/>
    </border>
    <border>
      <left/>
      <right style="thin">
        <color theme="8" tint="0.59999389629810485"/>
      </right>
      <top/>
      <bottom/>
      <diagonal/>
    </border>
    <border>
      <left style="thin">
        <color theme="8" tint="0.59999389629810485"/>
      </left>
      <right/>
      <top/>
      <bottom style="thin">
        <color theme="8" tint="0.59999389629810485"/>
      </bottom>
      <diagonal/>
    </border>
    <border>
      <left/>
      <right/>
      <top/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/>
      <top/>
      <bottom style="thin">
        <color theme="4" tint="0.39997558519241921"/>
      </bottom>
      <diagonal/>
    </border>
    <border>
      <left/>
      <right style="thin">
        <color theme="8" tint="0.59999389629810485"/>
      </right>
      <top/>
      <bottom style="thin">
        <color theme="4" tint="0.39997558519241921"/>
      </bottom>
      <diagonal/>
    </border>
    <border>
      <left/>
      <right style="thin">
        <color theme="8" tint="0.59999389629810485"/>
      </right>
      <top style="thin">
        <color theme="4" tint="0.39997558519241921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499984740745262"/>
      </top>
      <bottom/>
      <diagonal/>
    </border>
    <border>
      <left/>
      <right style="thin">
        <color theme="0" tint="-0.249977111117893"/>
      </right>
      <top style="thin">
        <color theme="0" tint="-0.499984740745262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1" applyNumberFormat="0" applyFill="0" applyAlignment="0" applyProtection="0"/>
    <xf numFmtId="0" fontId="15" fillId="0" borderId="72" applyNumberFormat="0" applyFill="0" applyAlignment="0" applyProtection="0"/>
    <xf numFmtId="0" fontId="16" fillId="0" borderId="73" applyNumberFormat="0" applyFill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74" applyNumberFormat="0" applyAlignment="0" applyProtection="0"/>
    <xf numFmtId="0" fontId="21" fillId="12" borderId="75" applyNumberFormat="0" applyAlignment="0" applyProtection="0"/>
    <xf numFmtId="0" fontId="22" fillId="12" borderId="74" applyNumberFormat="0" applyAlignment="0" applyProtection="0"/>
    <xf numFmtId="0" fontId="23" fillId="0" borderId="76" applyNumberFormat="0" applyFill="0" applyAlignment="0" applyProtection="0"/>
    <xf numFmtId="0" fontId="12" fillId="13" borderId="77" applyNumberFormat="0" applyAlignment="0" applyProtection="0"/>
    <xf numFmtId="0" fontId="24" fillId="0" borderId="0" applyNumberFormat="0" applyFill="0" applyBorder="0" applyAlignment="0" applyProtection="0"/>
    <xf numFmtId="0" fontId="1" fillId="14" borderId="78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79" applyNumberFormat="0" applyFill="0" applyAlignment="0" applyProtection="0"/>
    <xf numFmtId="0" fontId="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22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2" applyNumberFormat="1" applyFont="1" applyFill="1" applyAlignment="1" applyProtection="1">
      <alignment vertical="center"/>
    </xf>
    <xf numFmtId="164" fontId="0" fillId="0" borderId="0" xfId="2" applyNumberFormat="1" applyFont="1" applyAlignment="1" applyProtection="1">
      <alignment vertical="center"/>
    </xf>
    <xf numFmtId="164" fontId="0" fillId="0" borderId="0" xfId="0" applyNumberFormat="1" applyAlignment="1">
      <alignment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vertical="center" wrapText="1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5" borderId="2" xfId="0" applyFont="1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/>
    <xf numFmtId="165" fontId="0" fillId="0" borderId="0" xfId="0" applyNumberFormat="1"/>
    <xf numFmtId="0" fontId="0" fillId="6" borderId="0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6" borderId="6" xfId="0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6" borderId="7" xfId="0" applyNumberFormat="1" applyFill="1" applyBorder="1" applyAlignment="1">
      <alignment horizontal="center"/>
    </xf>
    <xf numFmtId="0" fontId="0" fillId="6" borderId="8" xfId="0" applyFill="1" applyBorder="1" applyAlignment="1">
      <alignment horizontal="left"/>
    </xf>
    <xf numFmtId="0" fontId="0" fillId="6" borderId="9" xfId="0" applyNumberForma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/>
    <xf numFmtId="0" fontId="0" fillId="6" borderId="0" xfId="0" applyFill="1" applyBorder="1" applyAlignment="1">
      <alignment horizontal="left"/>
    </xf>
    <xf numFmtId="0" fontId="0" fillId="6" borderId="7" xfId="0" applyFill="1" applyBorder="1"/>
    <xf numFmtId="0" fontId="0" fillId="6" borderId="9" xfId="0" applyFill="1" applyBorder="1" applyAlignment="1">
      <alignment horizontal="left"/>
    </xf>
    <xf numFmtId="0" fontId="0" fillId="6" borderId="0" xfId="0" applyNumberFormat="1" applyFill="1" applyBorder="1"/>
    <xf numFmtId="0" fontId="0" fillId="6" borderId="7" xfId="0" applyNumberFormat="1" applyFill="1" applyBorder="1"/>
    <xf numFmtId="0" fontId="0" fillId="6" borderId="9" xfId="0" applyFill="1" applyBorder="1"/>
    <xf numFmtId="0" fontId="0" fillId="6" borderId="9" xfId="0" applyNumberFormat="1" applyFill="1" applyBorder="1"/>
    <xf numFmtId="0" fontId="0" fillId="6" borderId="10" xfId="0" applyNumberFormat="1" applyFill="1" applyBorder="1"/>
    <xf numFmtId="0" fontId="0" fillId="6" borderId="6" xfId="0" applyFill="1" applyBorder="1" applyAlignment="1">
      <alignment horizontal="left" indent="1"/>
    </xf>
    <xf numFmtId="0" fontId="0" fillId="6" borderId="8" xfId="0" applyFill="1" applyBorder="1" applyAlignment="1">
      <alignment horizontal="left" indent="1"/>
    </xf>
    <xf numFmtId="165" fontId="2" fillId="5" borderId="14" xfId="0" applyNumberFormat="1" applyFont="1" applyFill="1" applyBorder="1"/>
    <xf numFmtId="43" fontId="0" fillId="6" borderId="0" xfId="1" applyFont="1" applyFill="1" applyBorder="1"/>
    <xf numFmtId="43" fontId="0" fillId="6" borderId="7" xfId="1" applyFont="1" applyFill="1" applyBorder="1"/>
    <xf numFmtId="43" fontId="0" fillId="6" borderId="9" xfId="1" applyFont="1" applyFill="1" applyBorder="1"/>
    <xf numFmtId="43" fontId="0" fillId="6" borderId="10" xfId="1" applyFont="1" applyFill="1" applyBorder="1"/>
    <xf numFmtId="165" fontId="0" fillId="0" borderId="0" xfId="0" applyNumberFormat="1" applyFill="1" applyBorder="1"/>
    <xf numFmtId="0" fontId="0" fillId="0" borderId="18" xfId="0" pivotButton="1" applyBorder="1"/>
    <xf numFmtId="0" fontId="0" fillId="0" borderId="18" xfId="0" applyBorder="1" applyAlignment="1">
      <alignment horizontal="left"/>
    </xf>
    <xf numFmtId="165" fontId="0" fillId="0" borderId="21" xfId="0" applyNumberFormat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2" fillId="7" borderId="9" xfId="0" applyFont="1" applyFill="1" applyBorder="1" applyAlignment="1"/>
    <xf numFmtId="43" fontId="0" fillId="6" borderId="0" xfId="1" applyFont="1" applyFill="1" applyBorder="1" applyAlignment="1">
      <alignment horizontal="right"/>
    </xf>
    <xf numFmtId="0" fontId="2" fillId="5" borderId="17" xfId="0" applyFont="1" applyFill="1" applyBorder="1"/>
    <xf numFmtId="0" fontId="0" fillId="6" borderId="0" xfId="0" applyFill="1"/>
    <xf numFmtId="0" fontId="2" fillId="5" borderId="7" xfId="0" applyFont="1" applyFill="1" applyBorder="1"/>
    <xf numFmtId="0" fontId="1" fillId="6" borderId="0" xfId="0" applyFont="1" applyFill="1"/>
    <xf numFmtId="0" fontId="0" fillId="6" borderId="22" xfId="0" applyFill="1" applyBorder="1"/>
    <xf numFmtId="0" fontId="0" fillId="6" borderId="24" xfId="0" applyFill="1" applyBorder="1"/>
    <xf numFmtId="0" fontId="0" fillId="6" borderId="23" xfId="0" applyFill="1" applyBorder="1"/>
    <xf numFmtId="0" fontId="8" fillId="6" borderId="23" xfId="0" applyFont="1" applyFill="1" applyBorder="1"/>
    <xf numFmtId="0" fontId="8" fillId="6" borderId="26" xfId="0" applyFont="1" applyFill="1" applyBorder="1"/>
    <xf numFmtId="0" fontId="0" fillId="6" borderId="26" xfId="0" applyFill="1" applyBorder="1"/>
    <xf numFmtId="9" fontId="7" fillId="6" borderId="0" xfId="3" applyFont="1" applyFill="1"/>
    <xf numFmtId="0" fontId="7" fillId="6" borderId="0" xfId="0" applyFont="1" applyFill="1"/>
    <xf numFmtId="0" fontId="0" fillId="6" borderId="31" xfId="0" applyFill="1" applyBorder="1" applyAlignment="1">
      <alignment horizontal="right"/>
    </xf>
    <xf numFmtId="0" fontId="0" fillId="6" borderId="32" xfId="0" applyFill="1" applyBorder="1" applyAlignment="1">
      <alignment horizontal="right"/>
    </xf>
    <xf numFmtId="14" fontId="8" fillId="6" borderId="34" xfId="0" applyNumberFormat="1" applyFont="1" applyFill="1" applyBorder="1"/>
    <xf numFmtId="14" fontId="8" fillId="6" borderId="35" xfId="0" applyNumberFormat="1" applyFont="1" applyFill="1" applyBorder="1"/>
    <xf numFmtId="0" fontId="8" fillId="6" borderId="34" xfId="0" applyFont="1" applyFill="1" applyBorder="1" applyAlignment="1">
      <alignment horizontal="left"/>
    </xf>
    <xf numFmtId="0" fontId="8" fillId="6" borderId="35" xfId="0" applyFont="1" applyFill="1" applyBorder="1" applyAlignment="1">
      <alignment horizontal="left"/>
    </xf>
    <xf numFmtId="4" fontId="8" fillId="6" borderId="34" xfId="0" applyNumberFormat="1" applyFont="1" applyFill="1" applyBorder="1"/>
    <xf numFmtId="4" fontId="8" fillId="6" borderId="35" xfId="0" applyNumberFormat="1" applyFont="1" applyFill="1" applyBorder="1"/>
    <xf numFmtId="0" fontId="0" fillId="6" borderId="30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4" xfId="0" applyFill="1" applyBorder="1"/>
    <xf numFmtId="0" fontId="0" fillId="6" borderId="35" xfId="0" applyFill="1" applyBorder="1"/>
    <xf numFmtId="165" fontId="0" fillId="6" borderId="31" xfId="1" applyNumberFormat="1" applyFont="1" applyFill="1" applyBorder="1"/>
    <xf numFmtId="165" fontId="0" fillId="6" borderId="32" xfId="1" applyNumberFormat="1" applyFont="1" applyFill="1" applyBorder="1"/>
    <xf numFmtId="0" fontId="0" fillId="6" borderId="32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2" fillId="6" borderId="38" xfId="0" applyFont="1" applyFill="1" applyBorder="1" applyAlignment="1">
      <alignment horizontal="center"/>
    </xf>
    <xf numFmtId="0" fontId="2" fillId="6" borderId="39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2" fontId="0" fillId="6" borderId="32" xfId="0" applyNumberFormat="1" applyFill="1" applyBorder="1" applyAlignment="1">
      <alignment horizontal="center"/>
    </xf>
    <xf numFmtId="2" fontId="0" fillId="6" borderId="35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8" fillId="6" borderId="34" xfId="0" applyFont="1" applyFill="1" applyBorder="1" applyAlignment="1">
      <alignment horizontal="center"/>
    </xf>
    <xf numFmtId="0" fontId="8" fillId="6" borderId="35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19" xfId="0" applyNumberFormat="1" applyBorder="1" applyAlignment="1">
      <alignment horizontal="right"/>
    </xf>
    <xf numFmtId="2" fontId="0" fillId="0" borderId="0" xfId="0" applyNumberFormat="1"/>
    <xf numFmtId="0" fontId="11" fillId="6" borderId="1" xfId="0" applyFont="1" applyFill="1" applyBorder="1"/>
    <xf numFmtId="9" fontId="11" fillId="6" borderId="1" xfId="3" applyFont="1" applyFill="1" applyBorder="1"/>
    <xf numFmtId="165" fontId="0" fillId="6" borderId="11" xfId="0" applyNumberFormat="1" applyFill="1" applyBorder="1"/>
    <xf numFmtId="0" fontId="0" fillId="6" borderId="0" xfId="0" applyFill="1" applyBorder="1" applyAlignment="1"/>
    <xf numFmtId="0" fontId="0" fillId="6" borderId="23" xfId="0" applyFill="1" applyBorder="1" applyAlignment="1"/>
    <xf numFmtId="0" fontId="2" fillId="6" borderId="41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left"/>
    </xf>
    <xf numFmtId="165" fontId="8" fillId="6" borderId="34" xfId="1" applyNumberFormat="1" applyFont="1" applyFill="1" applyBorder="1"/>
    <xf numFmtId="165" fontId="8" fillId="6" borderId="35" xfId="1" applyNumberFormat="1" applyFont="1" applyFill="1" applyBorder="1"/>
    <xf numFmtId="14" fontId="0" fillId="6" borderId="47" xfId="0" applyNumberFormat="1" applyFill="1" applyBorder="1" applyAlignment="1">
      <alignment horizontal="left"/>
    </xf>
    <xf numFmtId="0" fontId="0" fillId="6" borderId="25" xfId="0" applyFill="1" applyBorder="1"/>
    <xf numFmtId="14" fontId="0" fillId="6" borderId="36" xfId="0" applyNumberFormat="1" applyFill="1" applyBorder="1" applyAlignment="1">
      <alignment horizontal="left"/>
    </xf>
    <xf numFmtId="0" fontId="0" fillId="6" borderId="47" xfId="0" applyFill="1" applyBorder="1" applyAlignment="1"/>
    <xf numFmtId="0" fontId="2" fillId="6" borderId="50" xfId="0" applyFont="1" applyFill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0" fillId="0" borderId="26" xfId="0" applyBorder="1"/>
    <xf numFmtId="0" fontId="0" fillId="0" borderId="23" xfId="0" applyBorder="1"/>
    <xf numFmtId="165" fontId="0" fillId="0" borderId="0" xfId="0" applyNumberFormat="1" applyBorder="1"/>
    <xf numFmtId="0" fontId="0" fillId="0" borderId="0" xfId="0" applyBorder="1"/>
    <xf numFmtId="165" fontId="0" fillId="0" borderId="61" xfId="0" applyNumberFormat="1" applyBorder="1"/>
    <xf numFmtId="0" fontId="0" fillId="0" borderId="62" xfId="0" applyBorder="1"/>
    <xf numFmtId="0" fontId="0" fillId="0" borderId="61" xfId="0" applyBorder="1"/>
    <xf numFmtId="14" fontId="0" fillId="0" borderId="0" xfId="0" applyNumberFormat="1" applyBorder="1" applyAlignment="1">
      <alignment horizontal="left"/>
    </xf>
    <xf numFmtId="0" fontId="0" fillId="0" borderId="63" xfId="0" applyBorder="1"/>
    <xf numFmtId="0" fontId="0" fillId="0" borderId="64" xfId="0" applyBorder="1"/>
    <xf numFmtId="14" fontId="0" fillId="0" borderId="64" xfId="0" applyNumberFormat="1" applyBorder="1" applyAlignment="1">
      <alignment horizontal="left"/>
    </xf>
    <xf numFmtId="165" fontId="0" fillId="0" borderId="64" xfId="0" applyNumberFormat="1" applyBorder="1"/>
    <xf numFmtId="0" fontId="0" fillId="0" borderId="65" xfId="0" applyBorder="1"/>
    <xf numFmtId="165" fontId="0" fillId="0" borderId="65" xfId="0" applyNumberFormat="1" applyBorder="1"/>
    <xf numFmtId="165" fontId="0" fillId="0" borderId="58" xfId="0" applyNumberFormat="1" applyBorder="1"/>
    <xf numFmtId="165" fontId="0" fillId="0" borderId="60" xfId="0" applyNumberFormat="1" applyBorder="1"/>
    <xf numFmtId="165" fontId="0" fillId="0" borderId="62" xfId="0" applyNumberFormat="1" applyBorder="1"/>
    <xf numFmtId="165" fontId="0" fillId="0" borderId="63" xfId="0" applyNumberFormat="1" applyBorder="1"/>
    <xf numFmtId="0" fontId="0" fillId="0" borderId="66" xfId="0" pivotButton="1" applyBorder="1"/>
    <xf numFmtId="0" fontId="0" fillId="0" borderId="66" xfId="0" applyBorder="1" applyAlignment="1">
      <alignment horizontal="left"/>
    </xf>
    <xf numFmtId="0" fontId="0" fillId="0" borderId="67" xfId="0" applyBorder="1"/>
    <xf numFmtId="0" fontId="0" fillId="0" borderId="68" xfId="0" applyBorder="1"/>
    <xf numFmtId="14" fontId="0" fillId="0" borderId="66" xfId="0" applyNumberFormat="1" applyBorder="1" applyAlignment="1">
      <alignment horizontal="left"/>
    </xf>
    <xf numFmtId="0" fontId="2" fillId="6" borderId="43" xfId="0" applyFont="1" applyFill="1" applyBorder="1" applyAlignment="1">
      <alignment horizontal="center"/>
    </xf>
    <xf numFmtId="14" fontId="8" fillId="6" borderId="34" xfId="0" applyNumberFormat="1" applyFont="1" applyFill="1" applyBorder="1" applyAlignment="1">
      <alignment horizontal="center"/>
    </xf>
    <xf numFmtId="0" fontId="0" fillId="0" borderId="0" xfId="0"/>
    <xf numFmtId="14" fontId="0" fillId="0" borderId="0" xfId="0" applyNumberFormat="1"/>
    <xf numFmtId="0" fontId="0" fillId="0" borderId="6" xfId="0" applyBorder="1" applyAlignment="1">
      <alignment horizontal="left" indent="1"/>
    </xf>
    <xf numFmtId="165" fontId="0" fillId="0" borderId="20" xfId="0" applyNumberFormat="1" applyBorder="1"/>
    <xf numFmtId="165" fontId="8" fillId="6" borderId="47" xfId="1" applyNumberFormat="1" applyFont="1" applyFill="1" applyBorder="1" applyAlignment="1"/>
    <xf numFmtId="165" fontId="8" fillId="6" borderId="36" xfId="1" applyNumberFormat="1" applyFont="1" applyFill="1" applyBorder="1" applyAlignment="1"/>
    <xf numFmtId="165" fontId="8" fillId="6" borderId="48" xfId="1" applyNumberFormat="1" applyFont="1" applyFill="1" applyBorder="1" applyAlignment="1"/>
    <xf numFmtId="165" fontId="8" fillId="6" borderId="37" xfId="1" applyNumberFormat="1" applyFont="1" applyFill="1" applyBorder="1" applyAlignment="1"/>
    <xf numFmtId="165" fontId="8" fillId="6" borderId="45" xfId="1" applyNumberFormat="1" applyFont="1" applyFill="1" applyBorder="1" applyAlignment="1"/>
    <xf numFmtId="165" fontId="8" fillId="6" borderId="46" xfId="1" applyNumberFormat="1" applyFont="1" applyFill="1" applyBorder="1" applyAlignment="1"/>
    <xf numFmtId="0" fontId="2" fillId="6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2" fillId="6" borderId="58" xfId="0" applyFont="1" applyFill="1" applyBorder="1" applyAlignment="1">
      <alignment horizontal="center"/>
    </xf>
    <xf numFmtId="0" fontId="2" fillId="6" borderId="59" xfId="0" applyFont="1" applyFill="1" applyBorder="1" applyAlignment="1">
      <alignment horizontal="center"/>
    </xf>
    <xf numFmtId="0" fontId="2" fillId="6" borderId="60" xfId="0" applyFont="1" applyFill="1" applyBorder="1" applyAlignment="1">
      <alignment horizontal="center"/>
    </xf>
    <xf numFmtId="0" fontId="2" fillId="5" borderId="66" xfId="0" applyFont="1" applyFill="1" applyBorder="1"/>
    <xf numFmtId="0" fontId="26" fillId="0" borderId="0" xfId="0" applyFont="1"/>
    <xf numFmtId="0" fontId="26" fillId="6" borderId="59" xfId="0" applyFont="1" applyFill="1" applyBorder="1" applyAlignment="1">
      <alignment horizontal="left"/>
    </xf>
    <xf numFmtId="165" fontId="26" fillId="0" borderId="0" xfId="0" applyNumberFormat="1" applyFont="1" applyBorder="1"/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 indent="1"/>
    </xf>
    <xf numFmtId="0" fontId="0" fillId="0" borderId="21" xfId="0" applyBorder="1" applyAlignment="1">
      <alignment horizontal="left" indent="1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0" xfId="0" applyBorder="1" applyAlignment="1">
      <alignment horizontal="left" indent="1"/>
    </xf>
    <xf numFmtId="0" fontId="0" fillId="0" borderId="81" xfId="0" applyBorder="1" applyAlignment="1">
      <alignment horizontal="left" indent="1"/>
    </xf>
    <xf numFmtId="0" fontId="0" fillId="0" borderId="82" xfId="0" applyBorder="1" applyAlignment="1">
      <alignment horizontal="left" indent="1"/>
    </xf>
    <xf numFmtId="0" fontId="2" fillId="6" borderId="1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right"/>
    </xf>
    <xf numFmtId="0" fontId="10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12" fillId="6" borderId="69" xfId="0" applyFont="1" applyFill="1" applyBorder="1" applyAlignment="1">
      <alignment horizontal="left" indent="3"/>
    </xf>
    <xf numFmtId="0" fontId="12" fillId="6" borderId="70" xfId="0" applyFont="1" applyFill="1" applyBorder="1" applyAlignment="1">
      <alignment horizontal="left" indent="3"/>
    </xf>
    <xf numFmtId="0" fontId="0" fillId="6" borderId="0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0" fontId="0" fillId="6" borderId="26" xfId="0" applyFill="1" applyBorder="1" applyAlignment="1">
      <alignment horizontal="left"/>
    </xf>
    <xf numFmtId="0" fontId="2" fillId="6" borderId="55" xfId="0" applyFont="1" applyFill="1" applyBorder="1" applyAlignment="1">
      <alignment horizontal="center"/>
    </xf>
    <xf numFmtId="0" fontId="2" fillId="6" borderId="54" xfId="0" applyFont="1" applyFill="1" applyBorder="1" applyAlignment="1">
      <alignment horizontal="center"/>
    </xf>
    <xf numFmtId="0" fontId="0" fillId="6" borderId="47" xfId="0" applyFill="1" applyBorder="1" applyAlignment="1">
      <alignment horizontal="left"/>
    </xf>
    <xf numFmtId="0" fontId="0" fillId="6" borderId="36" xfId="0" applyFill="1" applyBorder="1" applyAlignment="1">
      <alignment horizontal="left"/>
    </xf>
    <xf numFmtId="0" fontId="0" fillId="6" borderId="47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3" xfId="0" applyFont="1" applyFill="1" applyBorder="1" applyAlignment="1">
      <alignment horizontal="center"/>
    </xf>
    <xf numFmtId="14" fontId="0" fillId="6" borderId="56" xfId="0" applyNumberFormat="1" applyFill="1" applyBorder="1" applyAlignment="1">
      <alignment horizontal="left"/>
    </xf>
    <xf numFmtId="0" fontId="0" fillId="6" borderId="57" xfId="0" applyFill="1" applyBorder="1" applyAlignment="1">
      <alignment horizontal="left"/>
    </xf>
    <xf numFmtId="14" fontId="0" fillId="6" borderId="47" xfId="0" applyNumberFormat="1" applyFill="1" applyBorder="1" applyAlignment="1">
      <alignment horizontal="left"/>
    </xf>
    <xf numFmtId="14" fontId="0" fillId="6" borderId="36" xfId="0" applyNumberFormat="1" applyFill="1" applyBorder="1" applyAlignment="1">
      <alignment horizontal="left"/>
    </xf>
    <xf numFmtId="0" fontId="2" fillId="6" borderId="1" xfId="0" applyFont="1" applyFill="1" applyBorder="1" applyAlignment="1">
      <alignment horizontal="left" indent="3"/>
    </xf>
    <xf numFmtId="0" fontId="0" fillId="6" borderId="2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5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/>
    </xf>
    <xf numFmtId="0" fontId="2" fillId="7" borderId="60" xfId="0" applyFont="1" applyFill="1" applyBorder="1" applyAlignment="1">
      <alignment horizontal="center"/>
    </xf>
    <xf numFmtId="0" fontId="0" fillId="0" borderId="9" xfId="0" applyBorder="1" applyAlignment="1">
      <alignment horizontal="right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0" fillId="0" borderId="62" xfId="0" applyBorder="1" applyAlignment="1">
      <alignment horizontal="left" indent="1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49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alignment horizontal="righ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0" formatCode="General"/>
      <alignment horizontal="left"/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165" formatCode="_(* #,##0_);_(* \(#,##0\);_(* &quot;-&quot;??_);_(@_)"/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5" formatCode="_(* #,##0_);_(* \(#,##0\);_(* &quot;-&quot;??_);_(@_)"/>
    </dxf>
    <dxf>
      <alignment wrapText="1"/>
    </dxf>
    <dxf>
      <alignment wrapText="1"/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8"/>
          <c:order val="8"/>
          <c:tx>
            <c:strRef>
              <c:f>Totals!$AG$13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Totals!$AH$4:$AO$4</c15:sqref>
                  </c15:fullRef>
                </c:ext>
              </c:extLst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Totals!$AH$13:$AO$13</c15:sqref>
                  </c15:fullRef>
                </c:ext>
              </c:extLst>
              <c:f>Totals!$AH$13:$AN$13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8-445F-A5DB-1117E5586C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Totals!$AH$5:$AO$5</c15:sqref>
                        </c15:fullRef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1FB8-445F-A5DB-1117E5586C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Totals!$AH$6:$AO$6</c15:sqref>
                        </c15:fullRef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B8-445F-A5DB-1117E5586C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Totals!$AH$7:$AO$7</c15:sqref>
                        </c15:fullRef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FB8-445F-A5DB-1117E5586C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Totals!$AH$8:$AO$8</c15:sqref>
                        </c15:fullRef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FB8-445F-A5DB-1117E5586C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Totals!$AH$9:$AO$9</c15:sqref>
                        </c15:fullRef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FB8-445F-A5DB-1117E5586C5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Totals!$AH$10:$AO$10</c15:sqref>
                        </c15:fullRef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FB8-445F-A5DB-1117E5586C5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7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Totals!$AH$11:$AO$11</c15:sqref>
                        </c15:fullRef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FB8-445F-A5DB-1117E5586C5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Totals!$AH$12:$AO$12</c15:sqref>
                        </c15:fullRef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FB8-445F-A5DB-1117E5586C56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8"/>
          <c:tx>
            <c:strRef>
              <c:f>Totals!$P$13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</c:strRef>
          </c:cat>
          <c:val>
            <c:numRef>
              <c:f>Totals!$Z$13:$AD$13</c:f>
              <c:numCache>
                <c:formatCode>0.00</c:formatCode>
                <c:ptCount val="5"/>
                <c:pt idx="0">
                  <c:v>34.630773749060332</c:v>
                </c:pt>
                <c:pt idx="1">
                  <c:v>24.8234330441114</c:v>
                </c:pt>
                <c:pt idx="2">
                  <c:v>27.022648127790106</c:v>
                </c:pt>
                <c:pt idx="3">
                  <c:v>31.520910502857973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6C-40F3-913C-B353F37001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6C-40F3-913C-B353F370019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26C-40F3-913C-B353F370019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26C-40F3-913C-B353F370019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6C-40F3-913C-B353F370019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6C-40F3-913C-B353F370019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6C-40F3-913C-B353F370019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6C-40F3-913C-B353F370019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6C-40F3-913C-B353F370019E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8"/>
          <c:order val="8"/>
          <c:tx>
            <c:strRef>
              <c:f>Totals!$P$13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EA0-4BFD-8340-83CCD90D23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Totals!$Q$13:$W$13</c:f>
              <c:numCache>
                <c:formatCode>0.00</c:formatCode>
                <c:ptCount val="7"/>
                <c:pt idx="0" formatCode="_(* #,##0.00_);_(* \(#,##0.00\);_(* &quot;-&quot;??_);_(@_)">
                  <c:v>44.485125858123567</c:v>
                </c:pt>
                <c:pt idx="1">
                  <c:v>38.691955203945341</c:v>
                </c:pt>
                <c:pt idx="2">
                  <c:v>44.169174852569327</c:v>
                </c:pt>
                <c:pt idx="3">
                  <c:v>17.232939429561345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AD5-499C-B648-702D71923C4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BAD5-499C-B648-702D71923C47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BAD5-499C-B648-702D71923C47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BAD5-499C-B648-702D71923C47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BAD5-499C-B648-702D71923C47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BAD5-499C-B648-702D71923C47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BAD5-499C-B648-702D71923C47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BAD5-499C-B648-702D71923C4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BAD5-499C-B648-702D71923C4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AD5-499C-B648-702D71923C4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BAD5-499C-B648-702D71923C47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BAD5-499C-B648-702D71923C4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AD5-499C-B648-702D71923C4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AD5-499C-B648-702D71923C4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AD5-499C-B648-702D71923C4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AD5-499C-B648-702D71923C4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AD5-499C-B648-702D71923C4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AD5-499C-B648-702D71923C47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Overall!$H$7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Overall!$I$7</c:f>
              <c:numCache>
                <c:formatCode>0%</c:formatCode>
                <c:ptCount val="1"/>
                <c:pt idx="0">
                  <c:v>0.42087533778364572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D-4CBD-AC0A-80E1F6F7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Overall!$H$8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Overall!$I$8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5D-4CBD-AC0A-80E1F6F7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Overall!$H$28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Overall!$I$28</c:f>
              <c:numCache>
                <c:formatCode>0%</c:formatCode>
                <c:ptCount val="1"/>
                <c:pt idx="0">
                  <c:v>0.76672482033562173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5-42AD-8B48-09C4798C4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Overall!$H$8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Overall!$I$8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5-42AD-8B48-09C4798C4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Totals!$AG$5</c:f>
              <c:strCache>
                <c:ptCount val="1"/>
                <c:pt idx="0">
                  <c:v>        FS01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Totals!$AH$5:$AN$5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2F-44B2-87CB-7B57331FF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BF2F-44B2-87CB-7B57331FFB4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BF2F-44B2-87CB-7B57331FFB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BF2F-44B2-87CB-7B57331FFB4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2-BF2F-44B2-87CB-7B57331FFB4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BF2F-44B2-87CB-7B57331FFB4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4-BF2F-44B2-87CB-7B57331FFB4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BF2F-44B2-87CB-7B57331FFB4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Totals!$AG$13</c15:sqref>
                        </c15:formulaRef>
                      </c:ext>
                    </c:extLst>
                    <c:strCache>
                      <c:ptCount val="1"/>
                      <c:pt idx="0">
                        <c:v>Grand Total</c:v>
                      </c:pt>
                    </c:strCache>
                  </c:strRef>
                </c:tx>
                <c:spPr>
                  <a:solidFill>
                    <a:schemeClr val="tx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Totals!$AH$13:$AN$13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6-BF2F-44B2-87CB-7B57331FFB4E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Totals!$P$5</c:f>
              <c:strCache>
                <c:ptCount val="1"/>
                <c:pt idx="0">
                  <c:v>        FS01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AD-4A69-A69A-E5C18F2D784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2AD-4A69-A69A-E5C18F2D784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EA-442E-AD81-27BB574A94B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EA-442E-AD81-27BB574A94B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EA-442E-AD81-27BB574A94B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DEA-442E-AD81-27BB574A94B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EA-442E-AD81-27BB574A94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Totals!$Q$5:$W$5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31.212020033388981</c:v>
                </c:pt>
                <c:pt idx="2">
                  <c:v>18.055335968379445</c:v>
                </c:pt>
                <c:pt idx="3">
                  <c:v>48.837944664031617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D-4A69-A69A-E5C18F2D7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Totals!$P$5</c:f>
              <c:strCache>
                <c:ptCount val="1"/>
                <c:pt idx="0">
                  <c:v>        FS01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</c:strRef>
          </c:cat>
          <c:val>
            <c:numRef>
              <c:f>Totals!$Z$5:$AD$5</c:f>
              <c:numCache>
                <c:formatCode>_(* #,##0.00_);_(* \(#,##0.00\);_(* "-"??_);_(@_)</c:formatCode>
                <c:ptCount val="5"/>
                <c:pt idx="0">
                  <c:v>14.4802304268133</c:v>
                </c:pt>
                <c:pt idx="1">
                  <c:v>15.79793775423328</c:v>
                </c:pt>
                <c:pt idx="2">
                  <c:v>20.772643700939106</c:v>
                </c:pt>
                <c:pt idx="3">
                  <c:v>16.520455621466567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2-475F-B225-777E8199B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'1'!$H$7</c:f>
              <c:numCache>
                <c:formatCode>0%</c:formatCode>
                <c:ptCount val="1"/>
                <c:pt idx="0">
                  <c:v>0.32146578156163486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1-49A3-97C1-4B98E53FF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21-49A3-97C1-4B98E53FF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1"/>
          <c:order val="1"/>
          <c:tx>
            <c:strRef>
              <c:f>Totals!$AG$6</c:f>
              <c:strCache>
                <c:ptCount val="1"/>
                <c:pt idx="0">
                  <c:v>        FS03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Totals!$AH$6:$AN$6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13-4230-8A30-830E7D798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B213-4230-8A30-830E7D79882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B213-4230-8A30-830E7D79882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B-B213-4230-8A30-830E7D79882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C-B213-4230-8A30-830E7D79882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D-B213-4230-8A30-830E7D79882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E-B213-4230-8A30-830E7D79882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F-B213-4230-8A30-830E7D79882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1"/>
          <c:tx>
            <c:strRef>
              <c:f>Totals!$P$6</c:f>
              <c:strCache>
                <c:ptCount val="1"/>
                <c:pt idx="0">
                  <c:v>        FS03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365-40E6-9D57-3B923311367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2185-497E-8307-C318D4E8A47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22EA-4101-BC00-1314E5707B1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2EA-4101-BC00-1314E5707B1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BE6-4D96-959D-D735131185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Totals!$Q$6:$W$6</c:f>
              <c:numCache>
                <c:formatCode>_(* #,##0.00_);_(* \(#,##0.00\);_(* "-"??_);_(@_)</c:formatCode>
                <c:ptCount val="7"/>
                <c:pt idx="0">
                  <c:v>44.485125858123567</c:v>
                </c:pt>
                <c:pt idx="1">
                  <c:v>39.954233409610985</c:v>
                </c:pt>
                <c:pt idx="2">
                  <c:v>43.04347826086957</c:v>
                </c:pt>
                <c:pt idx="3">
                  <c:v>17.684210526315788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E6-4D96-959D-D73513118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8BE6-4D96-959D-D7351311856C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8BE6-4D96-959D-D7351311856C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8BE6-4D96-959D-D7351311856C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8BE6-4D96-959D-D7351311856C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8BE6-4D96-959D-D7351311856C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8BE6-4D96-959D-D7351311856C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8BE6-4D96-959D-D7351311856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BE6-4D96-959D-D7351311856C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</a:t>
            </a:r>
            <a:r>
              <a:rPr lang="en-US" baseline="0"/>
              <a:t> </a:t>
            </a:r>
            <a:r>
              <a:rPr lang="en-US"/>
              <a:t>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Totals!$P$6</c:f>
              <c:strCache>
                <c:ptCount val="1"/>
                <c:pt idx="0">
                  <c:v>        FS03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</c:strRef>
          </c:cat>
          <c:val>
            <c:numRef>
              <c:f>Totals!$Z$6:$AD$6</c:f>
              <c:numCache>
                <c:formatCode>_(* #,##0.00_);_(* \(#,##0.00\);_(* "-"??_);_(@_)</c:formatCode>
                <c:ptCount val="5"/>
                <c:pt idx="0">
                  <c:v>33.204649766224854</c:v>
                </c:pt>
                <c:pt idx="1">
                  <c:v>37.45126470114387</c:v>
                </c:pt>
                <c:pt idx="2">
                  <c:v>37.987744435433001</c:v>
                </c:pt>
                <c:pt idx="3">
                  <c:v>33.523835442463827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FD-40DE-8D2B-7AA402CABF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3FD-40DE-8D2B-7AA402CABFA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3FD-40DE-8D2B-7AA402CABFA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FD-40DE-8D2B-7AA402CABFA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FD-40DE-8D2B-7AA402CABFA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FD-40DE-8D2B-7AA402CABFAC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3FD-40DE-8D2B-7AA402CABFA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3FD-40DE-8D2B-7AA402CABFAC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'3'!$H$7</c:f>
              <c:numCache>
                <c:formatCode>0%</c:formatCode>
                <c:ptCount val="1"/>
                <c:pt idx="0">
                  <c:v>0.44870242214532874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7-4D80-BE5E-A7667AC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'3'!$G$8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'3'!$H$8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7-4D80-BE5E-A7667AC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2"/>
          <c:order val="2"/>
          <c:tx>
            <c:strRef>
              <c:f>Totals!$AG$7</c:f>
              <c:strCache>
                <c:ptCount val="1"/>
                <c:pt idx="0">
                  <c:v>        FS04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Totals!$AH$4:$AO$4</c15:sqref>
                  </c15:fullRef>
                </c:ext>
              </c:extLst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Totals!$AH$7:$AO$7</c15:sqref>
                  </c15:fullRef>
                </c:ext>
              </c:extLst>
              <c:f>Totals!$AH$7:$AN$7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337-4B7C-833A-D42B3382A6A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Totals!$AH$5:$AO$5</c15:sqref>
                        </c15:fullRef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D-F337-4B7C-833A-D42B3382A6A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Totals!$AH$6:$AO$6</c15:sqref>
                        </c15:fullRef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337-4B7C-833A-D42B3382A6A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Totals!$AH$8:$AO$8</c15:sqref>
                        </c15:fullRef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337-4B7C-833A-D42B3382A6A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Totals!$AH$9:$AO$9</c15:sqref>
                        </c15:fullRef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337-4B7C-833A-D42B3382A6A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Totals!$AH$10:$AO$10</c15:sqref>
                        </c15:fullRef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337-4B7C-833A-D42B3382A6A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Totals!$AH$11:$AO$11</c15:sqref>
                        </c15:fullRef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F337-4B7C-833A-D42B3382A6A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Totals!$AH$12:$AO$12</c15:sqref>
                        </c15:fullRef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F337-4B7C-833A-D42B3382A6A2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Totals!$P$7</c:f>
              <c:strCache>
                <c:ptCount val="1"/>
                <c:pt idx="0">
                  <c:v>        FS04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Totals!$Z$7:$AD$7</c:f>
              <c:numCache>
                <c:formatCode>_(* #,##0.00_);_(* \(#,##0.00\);_(* "-"??_);_(@_)</c:formatCode>
                <c:ptCount val="5"/>
                <c:pt idx="0">
                  <c:v>29.979160464423938</c:v>
                </c:pt>
                <c:pt idx="1">
                  <c:v>25.446686545084713</c:v>
                </c:pt>
                <c:pt idx="2">
                  <c:v>42.82010151838098</c:v>
                </c:pt>
                <c:pt idx="3">
                  <c:v>39.450302096907947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A782-460A-8CED-82A5D0D968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782-460A-8CED-82A5D0D9683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782-460A-8CED-82A5D0D9683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82-460A-8CED-82A5D0D9683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82-460A-8CED-82A5D0D9683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782-460A-8CED-82A5D0D9683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782-460A-8CED-82A5D0D9683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782-460A-8CED-82A5D0D96836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2"/>
          <c:order val="2"/>
          <c:tx>
            <c:strRef>
              <c:f>Totals!$P$7</c:f>
              <c:strCache>
                <c:ptCount val="1"/>
                <c:pt idx="0">
                  <c:v>        FS04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6225-4CB0-A246-A43795EDEF1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96F1-480B-AD4C-28373C5D98E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5788-4E58-976D-0439A192C13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225-4CB0-A246-A43795EDEF18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788-4E58-976D-0439A192C131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B145-4E3C-8117-A89839329995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145-4E3C-8117-A898393299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Totals!$Q$7:$W$7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37.160899216973988</c:v>
                </c:pt>
                <c:pt idx="2">
                  <c:v>20.840612475593463</c:v>
                </c:pt>
                <c:pt idx="3">
                  <c:v>4.8695652173913047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225-4CB0-A246-A43795EDEF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6225-4CB0-A246-A43795EDEF18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6225-4CB0-A246-A43795EDEF18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6225-4CB0-A246-A43795EDEF18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6225-4CB0-A246-A43795EDEF18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6225-4CB0-A246-A43795EDEF18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6225-4CB0-A246-A43795EDEF18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6225-4CB0-A246-A43795EDEF1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6225-4CB0-A246-A43795EDEF1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225-4CB0-A246-A43795EDEF1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225-4CB0-A246-A43795EDEF1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225-4CB0-A246-A43795EDEF1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225-4CB0-A246-A43795EDEF1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225-4CB0-A246-A43795EDEF1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225-4CB0-A246-A43795EDEF18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'4'!$H$7</c:f>
              <c:numCache>
                <c:formatCode>0%</c:formatCode>
                <c:ptCount val="1"/>
                <c:pt idx="0">
                  <c:v>0.38212494300045602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C-4D81-B998-B9E66B5FC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'4'!$G$8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'4'!$H$8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C-4D81-B998-B9E66B5FC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t"/>
        <c:majorTickMark val="out"/>
        <c:minorTickMark val="none"/>
        <c:tickLblPos val="nextTo"/>
        <c:crossAx val="190226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3"/>
          <c:order val="3"/>
          <c:tx>
            <c:strRef>
              <c:f>Totals!$AG$8</c:f>
              <c:strCache>
                <c:ptCount val="1"/>
                <c:pt idx="0">
                  <c:v>        FS05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Totals!$AH$8:$AN$8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5E-4224-94F5-02CEBA5FC3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215E-4224-94F5-02CEBA5FC3F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15E-4224-94F5-02CEBA5FC3F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15E-4224-94F5-02CEBA5FC3F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15E-4224-94F5-02CEBA5FC3F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15E-4224-94F5-02CEBA5FC3F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15E-4224-94F5-02CEBA5FC3F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15E-4224-94F5-02CEBA5FC3F2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Totals!$P$8</c:f>
              <c:strCache>
                <c:ptCount val="1"/>
                <c:pt idx="0">
                  <c:v>        FS05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shade val="92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Totals!$Z$8:$AD$8</c:f>
              <c:numCache>
                <c:formatCode>_(* #,##0.00_);_(* \(#,##0.00\);_(* "-"??_);_(@_)</c:formatCode>
                <c:ptCount val="5"/>
                <c:pt idx="0">
                  <c:v>31.381503832979941</c:v>
                </c:pt>
                <c:pt idx="1">
                  <c:v>22.352662561743013</c:v>
                </c:pt>
                <c:pt idx="2">
                  <c:v>27.519403532359593</c:v>
                </c:pt>
                <c:pt idx="3">
                  <c:v>34.44797414033328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BDFA-4594-9C5F-7AD3BFBC87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DFA-4594-9C5F-7AD3BFBC875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DFA-4594-9C5F-7AD3BFBC875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DFA-4594-9C5F-7AD3BFBC875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FA-4594-9C5F-7AD3BFBC875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DFA-4594-9C5F-7AD3BFBC875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DFA-4594-9C5F-7AD3BFBC875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DFA-4594-9C5F-7AD3BFBC875B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3"/>
          <c:order val="3"/>
          <c:tx>
            <c:strRef>
              <c:f>Totals!$P$8</c:f>
              <c:strCache>
                <c:ptCount val="1"/>
                <c:pt idx="0">
                  <c:v>        FS05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shade val="92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9E4A-4FFB-9FBC-11F7F05C88C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3CB-4397-8531-AE0D9B1C094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E4A-4FFB-9FBC-11F7F05C88C5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7CA-40CC-9DD0-773DE30ACEC2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7CA-40CC-9DD0-773DE30ACE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Totals!$Q$8:$W$8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32.756869565217386</c:v>
                </c:pt>
                <c:pt idx="2">
                  <c:v>46.968358208955223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5-9E4A-4FFB-9FBC-11F7F05C88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9E4A-4FFB-9FBC-11F7F05C88C5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9E4A-4FFB-9FBC-11F7F05C88C5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9E4A-4FFB-9FBC-11F7F05C88C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9E4A-4FFB-9FBC-11F7F05C88C5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9E4A-4FFB-9FBC-11F7F05C88C5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9E4A-4FFB-9FBC-11F7F05C88C5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9E4A-4FFB-9FBC-11F7F05C88C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9E4A-4FFB-9FBC-11F7F05C88C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E4A-4FFB-9FBC-11F7F05C88C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9E4A-4FFB-9FBC-11F7F05C88C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9E4A-4FFB-9FBC-11F7F05C88C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E4A-4FFB-9FBC-11F7F05C88C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E4A-4FFB-9FBC-11F7F05C88C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E4A-4FFB-9FBC-11F7F05C88C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E4A-4FFB-9FBC-11F7F05C88C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E4A-4FFB-9FBC-11F7F05C88C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'5'!$H$7</c:f>
              <c:numCache>
                <c:formatCode>0%</c:formatCode>
                <c:ptCount val="1"/>
                <c:pt idx="0">
                  <c:v>0.72777777777777775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A-4B77-92CB-27303B3D5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'5'!$G$8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'5'!$H$8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A-4B77-92CB-27303B3D5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t"/>
        <c:majorTickMark val="out"/>
        <c:minorTickMark val="none"/>
        <c:tickLblPos val="nextTo"/>
        <c:crossAx val="190226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4"/>
          <c:order val="4"/>
          <c:tx>
            <c:strRef>
              <c:f>Totals!$AG$9</c:f>
              <c:strCache>
                <c:ptCount val="1"/>
                <c:pt idx="0">
                  <c:v>        FS09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Totals!$AH$9:$AN$9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C53-445D-A13F-CB5B2B5DB8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B-7C53-445D-A13F-CB5B2B5DB8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7C53-445D-A13F-CB5B2B5DB8F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C53-445D-A13F-CB5B2B5DB8F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C53-445D-A13F-CB5B2B5DB8F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C53-445D-A13F-CB5B2B5DB8F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7C53-445D-A13F-CB5B2B5DB8F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7C53-445D-A13F-CB5B2B5DB8FD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Totals!$P$9</c:f>
              <c:strCache>
                <c:ptCount val="1"/>
                <c:pt idx="0">
                  <c:v>        FS09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Totals!$Z$9:$AD$9</c:f>
              <c:numCache>
                <c:formatCode>_(* #,##0.00_);_(* \(#,##0.00\);_(* "-"??_);_(@_)</c:formatCode>
                <c:ptCount val="5"/>
                <c:pt idx="0">
                  <c:v>22.902199074074073</c:v>
                </c:pt>
                <c:pt idx="1">
                  <c:v>16.064189189189189</c:v>
                </c:pt>
                <c:pt idx="2">
                  <c:v>0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4415-41A9-864A-D9FDB62754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415-41A9-864A-D9FDB62754A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15-41A9-864A-D9FDB62754A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415-41A9-864A-D9FDB62754A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15-41A9-864A-D9FDB62754A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15-41A9-864A-D9FDB62754A0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415-41A9-864A-D9FDB62754A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15-41A9-864A-D9FDB62754A0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4"/>
          <c:order val="4"/>
          <c:tx>
            <c:strRef>
              <c:f>Totals!$P$9</c:f>
              <c:strCache>
                <c:ptCount val="1"/>
                <c:pt idx="0">
                  <c:v>        FS09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510-4AA1-B9D8-F17E8B3C1B7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C03-46B9-AEE0-BA45F1469A70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9136-4CD3-AA12-C852E7DF81B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5CC1-468C-BF6F-F53356671D4E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6B14-411A-8DC4-CDF497BEF72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7F1-4616-8D89-3E34FC36B8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Totals!$Q$9:$W$9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6-0510-4AA1-B9D8-F17E8B3C1B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0510-4AA1-B9D8-F17E8B3C1B79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0510-4AA1-B9D8-F17E8B3C1B79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0510-4AA1-B9D8-F17E8B3C1B79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0510-4AA1-B9D8-F17E8B3C1B79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0510-4AA1-B9D8-F17E8B3C1B79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0510-4AA1-B9D8-F17E8B3C1B79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0510-4AA1-B9D8-F17E8B3C1B7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0510-4AA1-B9D8-F17E8B3C1B7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510-4AA1-B9D8-F17E8B3C1B7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0510-4AA1-B9D8-F17E8B3C1B79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0510-4AA1-B9D8-F17E8B3C1B7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510-4AA1-B9D8-F17E8B3C1B7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510-4AA1-B9D8-F17E8B3C1B7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510-4AA1-B9D8-F17E8B3C1B7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510-4AA1-B9D8-F17E8B3C1B79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510-4AA1-B9D8-F17E8B3C1B79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'9'!$G$7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'9'!$H$7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2-4F4D-A4E2-73576708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'9'!$G$8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'9'!$H$8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2-4F4D-A4E2-73576708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5"/>
          <c:order val="5"/>
          <c:tx>
            <c:strRef>
              <c:f>Totals!$AG$10</c:f>
              <c:strCache>
                <c:ptCount val="1"/>
                <c:pt idx="0">
                  <c:v>        FS10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Totals!$AH$10:$AN$10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47-4CB7-AAEF-4FF4CEE0D9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5047-4CB7-AAEF-4FF4CEE0D99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047-4CB7-AAEF-4FF4CEE0D99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5047-4CB7-AAEF-4FF4CEE0D99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5047-4CB7-AAEF-4FF4CEE0D99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5047-4CB7-AAEF-4FF4CEE0D99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5047-4CB7-AAEF-4FF4CEE0D99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5047-4CB7-AAEF-4FF4CEE0D99D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5"/>
          <c:order val="5"/>
          <c:tx>
            <c:strRef>
              <c:f>Totals!$P$10</c:f>
              <c:strCache>
                <c:ptCount val="1"/>
                <c:pt idx="0">
                  <c:v>        FS10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F049-4F84-9D31-2E293048C0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69F1-4FD1-8BBD-37CBB665EC5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B3-4E4B-9484-0350EE4BAF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Totals!$Q$10:$W$10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44.677696335078529</c:v>
                </c:pt>
                <c:pt idx="2">
                  <c:v>53.375172413793102</c:v>
                </c:pt>
                <c:pt idx="3">
                  <c:v>6.729712987817468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7-F049-4F84-9D31-2E293048C0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F049-4F84-9D31-2E293048C08D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F049-4F84-9D31-2E293048C08D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F049-4F84-9D31-2E293048C08D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F049-4F84-9D31-2E293048C08D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F049-4F84-9D31-2E293048C08D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F049-4F84-9D31-2E293048C08D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F049-4F84-9D31-2E293048C08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F049-4F84-9D31-2E293048C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049-4F84-9D31-2E293048C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F049-4F84-9D31-2E293048C08D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F049-4F84-9D31-2E293048C08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049-4F84-9D31-2E293048C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049-4F84-9D31-2E293048C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049-4F84-9D31-2E293048C08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049-4F84-9D31-2E293048C08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049-4F84-9D31-2E293048C08D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Totals!$P$10</c:f>
              <c:strCache>
                <c:ptCount val="1"/>
                <c:pt idx="0">
                  <c:v>        FS10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Totals!$Z$10:$AD$10</c:f>
              <c:numCache>
                <c:formatCode>_(* #,##0.00_);_(* \(#,##0.00\);_(* "-"??_);_(@_)</c:formatCode>
                <c:ptCount val="5"/>
                <c:pt idx="0">
                  <c:v>36.346468588694449</c:v>
                </c:pt>
                <c:pt idx="1">
                  <c:v>20.093620674295618</c:v>
                </c:pt>
                <c:pt idx="2">
                  <c:v>25.109947643979059</c:v>
                </c:pt>
                <c:pt idx="3">
                  <c:v>28.38668056175872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C632-47D1-B3D9-A5D5DDDC4D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632-47D1-B3D9-A5D5DDDC4DB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632-47D1-B3D9-A5D5DDDC4DB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632-47D1-B3D9-A5D5DDDC4DB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32-47D1-B3D9-A5D5DDDC4DB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632-47D1-B3D9-A5D5DDDC4DB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632-47D1-B3D9-A5D5DDDC4DB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632-47D1-B3D9-A5D5DDDC4DB2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'10'!$H$7</c:f>
              <c:numCache>
                <c:formatCode>0%</c:formatCode>
                <c:ptCount val="1"/>
                <c:pt idx="0">
                  <c:v>0.50068747135536018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B-42ED-9F79-9093FC95A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'10'!$G$8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'10'!$H$8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6B-42ED-9F79-9093FC95A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6"/>
          <c:order val="6"/>
          <c:tx>
            <c:strRef>
              <c:f>Totals!$AG$11</c:f>
              <c:strCache>
                <c:ptCount val="1"/>
                <c:pt idx="0">
                  <c:v>        FS12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Totals!$AH$11:$AN$11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36-421C-961D-D017CCC7779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7436-421C-961D-D017CCC7779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7436-421C-961D-D017CCC7779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7436-421C-961D-D017CCC7779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7436-421C-961D-D017CCC7779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436-421C-961D-D017CCC7779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436-421C-961D-D017CCC7779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436-421C-961D-D017CCC77792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6"/>
          <c:order val="6"/>
          <c:tx>
            <c:strRef>
              <c:f>Totals!$P$11</c:f>
              <c:strCache>
                <c:ptCount val="1"/>
                <c:pt idx="0">
                  <c:v>        FS12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014-4E62-A31B-46E2D2BE2EB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2369-4EAE-9884-A687DF2F3EB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369-4EAE-9884-A687DF2F3EBE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7827-4669-8F0C-2D21F53E68F2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CCA-4035-8DC8-725DF7A595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Totals!$Q$11:$W$11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35.265508684863519</c:v>
                </c:pt>
                <c:pt idx="2">
                  <c:v>51.46153846153846</c:v>
                </c:pt>
                <c:pt idx="3">
                  <c:v>68.34319526627219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8-B014-4E62-A31B-46E2D2BE2E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B014-4E62-A31B-46E2D2BE2EB5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B014-4E62-A31B-46E2D2BE2EB5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B014-4E62-A31B-46E2D2BE2EB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B014-4E62-A31B-46E2D2BE2EB5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B014-4E62-A31B-46E2D2BE2EB5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B014-4E62-A31B-46E2D2BE2EB5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B014-4E62-A31B-46E2D2BE2EB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B014-4E62-A31B-46E2D2BE2EB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014-4E62-A31B-46E2D2BE2EB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B014-4E62-A31B-46E2D2BE2EB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B014-4E62-A31B-46E2D2BE2EB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014-4E62-A31B-46E2D2BE2EB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014-4E62-A31B-46E2D2BE2EB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014-4E62-A31B-46E2D2BE2EB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014-4E62-A31B-46E2D2BE2EB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014-4E62-A31B-46E2D2BE2EB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Totals!$P$11</c:f>
              <c:strCache>
                <c:ptCount val="1"/>
                <c:pt idx="0">
                  <c:v>        FS12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Totals!$Z$11:$AD$11</c:f>
              <c:numCache>
                <c:formatCode>_(* #,##0.00_);_(* \(#,##0.00\);_(* "-"??_);_(@_)</c:formatCode>
                <c:ptCount val="5"/>
                <c:pt idx="0">
                  <c:v>43.222923749392912</c:v>
                </c:pt>
                <c:pt idx="1">
                  <c:v>37.242756503892167</c:v>
                </c:pt>
                <c:pt idx="2">
                  <c:v>25.259246456965091</c:v>
                </c:pt>
                <c:pt idx="3">
                  <c:v>43.466552069904026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6-CCC1-4AF2-B076-F3CD688C02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CC1-4AF2-B076-F3CD688C021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C1-4AF2-B076-F3CD688C021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CC1-4AF2-B076-F3CD688C021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CC1-4AF2-B076-F3CD688C021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CC1-4AF2-B076-F3CD688C021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C1-4AF2-B076-F3CD688C021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CC1-4AF2-B076-F3CD688C0217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'12'!$G$7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'12'!$H$7</c:f>
              <c:numCache>
                <c:formatCode>0%</c:formatCode>
                <c:ptCount val="1"/>
                <c:pt idx="0">
                  <c:v>0.38101078534439126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5-4C2F-8163-E5F277D1D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'12'!$G$8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'12'!$H$8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5-4C2F-8163-E5F277D1D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t"/>
        <c:majorTickMark val="out"/>
        <c:minorTickMark val="none"/>
        <c:tickLblPos val="nextTo"/>
        <c:crossAx val="190226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7"/>
          <c:order val="7"/>
          <c:tx>
            <c:strRef>
              <c:f>Totals!$AG$12</c:f>
              <c:strCache>
                <c:ptCount val="1"/>
                <c:pt idx="0">
                  <c:v>        FS14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Totals!$AH$12:$AN$12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ED-4A58-B826-CCF79CE5E6A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9DED-4A58-B826-CCF79CE5E6A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DED-4A58-B826-CCF79CE5E6A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DED-4A58-B826-CCF79CE5E6A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DED-4A58-B826-CCF79CE5E6A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DED-4A58-B826-CCF79CE5E6A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DED-4A58-B826-CCF79CE5E6A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DED-4A58-B826-CCF79CE5E6A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7"/>
          <c:order val="7"/>
          <c:tx>
            <c:strRef>
              <c:f>Totals!$P$12</c:f>
              <c:strCache>
                <c:ptCount val="1"/>
                <c:pt idx="0">
                  <c:v>        FS14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14C-4856-B17C-E26FB250346E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42A0-4828-BBBF-7B0BB50AFBF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E14C-4856-B17C-E26FB250346E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999-43DB-AA18-E2EB08FF163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999-43DB-AA18-E2EB08FF16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Totals!$Q$12:$W$12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14.228893058161351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9-E14C-4856-B17C-E26FB25034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E14C-4856-B17C-E26FB250346E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E14C-4856-B17C-E26FB250346E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E14C-4856-B17C-E26FB250346E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E14C-4856-B17C-E26FB250346E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E14C-4856-B17C-E26FB250346E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E14C-4856-B17C-E26FB250346E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E14C-4856-B17C-E26FB250346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E14C-4856-B17C-E26FB250346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14C-4856-B17C-E26FB250346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E14C-4856-B17C-E26FB250346E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E14C-4856-B17C-E26FB250346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14C-4856-B17C-E26FB250346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14C-4856-B17C-E26FB250346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14C-4856-B17C-E26FB250346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14C-4856-B17C-E26FB250346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14C-4856-B17C-E26FB250346E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7"/>
          <c:tx>
            <c:strRef>
              <c:f>Totals!$P$12</c:f>
              <c:strCache>
                <c:ptCount val="1"/>
                <c:pt idx="0">
                  <c:v>        FS14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Totals!$Z$12:$AD$12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7-8AFF-4FFF-9D48-83AE8E7815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AFF-4FFF-9D48-83AE8E78153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AFF-4FFF-9D48-83AE8E78153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AFF-4FFF-9D48-83AE8E78153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AFF-4FFF-9D48-83AE8E78153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AFF-4FFF-9D48-83AE8E78153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AFF-4FFF-9D48-83AE8E78153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AFF-4FFF-9D48-83AE8E781536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'14'!$G$7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'14'!$H$7</c:f>
              <c:numCache>
                <c:formatCode>0%</c:formatCode>
                <c:ptCount val="1"/>
                <c:pt idx="0">
                  <c:v>0.60566666666666669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0-46A6-B740-83C28D240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'14'!$G$8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'14'!$H$8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20-46A6-B740-83C28D240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640772</xdr:colOff>
      <xdr:row>18</xdr:row>
      <xdr:rowOff>103909</xdr:rowOff>
    </xdr:from>
    <xdr:to>
      <xdr:col>9</xdr:col>
      <xdr:colOff>597477</xdr:colOff>
      <xdr:row>18</xdr:row>
      <xdr:rowOff>103909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6648840-6AC4-426B-94A7-4B0E781F3BA6}"/>
            </a:ext>
          </a:extLst>
        </xdr:cNvPr>
        <xdr:cNvCxnSpPr/>
      </xdr:nvCxnSpPr>
      <xdr:spPr>
        <a:xfrm>
          <a:off x="388793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8659</xdr:colOff>
      <xdr:row>9</xdr:row>
      <xdr:rowOff>112568</xdr:rowOff>
    </xdr:from>
    <xdr:to>
      <xdr:col>4</xdr:col>
      <xdr:colOff>372340</xdr:colOff>
      <xdr:row>19</xdr:row>
      <xdr:rowOff>106853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C20D2C-9228-4C53-ADA6-BCECF04C0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9</xdr:row>
      <xdr:rowOff>114300</xdr:rowOff>
    </xdr:from>
    <xdr:to>
      <xdr:col>10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967E2-34A5-4784-AAAA-A94947996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8659</xdr:colOff>
      <xdr:row>9</xdr:row>
      <xdr:rowOff>114300</xdr:rowOff>
    </xdr:from>
    <xdr:to>
      <xdr:col>4</xdr:col>
      <xdr:colOff>372340</xdr:colOff>
      <xdr:row>19</xdr:row>
      <xdr:rowOff>108585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FC185C-E136-4A4B-99FD-1641C7B23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454343</xdr:colOff>
      <xdr:row>0</xdr:row>
      <xdr:rowOff>0</xdr:rowOff>
    </xdr:from>
    <xdr:to>
      <xdr:col>10</xdr:col>
      <xdr:colOff>790575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237704-E528-4CFB-98D6-07B35B530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572366</xdr:colOff>
      <xdr:row>21</xdr:row>
      <xdr:rowOff>183573</xdr:rowOff>
    </xdr:from>
    <xdr:to>
      <xdr:col>10</xdr:col>
      <xdr:colOff>908598</xdr:colOff>
      <xdr:row>30</xdr:row>
      <xdr:rowOff>72131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6BC699-6BE8-46E9-919F-9107C6B2E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649432</xdr:colOff>
      <xdr:row>18</xdr:row>
      <xdr:rowOff>103909</xdr:rowOff>
    </xdr:from>
    <xdr:to>
      <xdr:col>8</xdr:col>
      <xdr:colOff>606137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0C82AC-B259-475D-A448-1F4CCBBD62CE}"/>
            </a:ext>
          </a:extLst>
        </xdr:cNvPr>
        <xdr:cNvCxnSpPr/>
      </xdr:nvCxnSpPr>
      <xdr:spPr>
        <a:xfrm>
          <a:off x="389659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95250</xdr:rowOff>
    </xdr:from>
    <xdr:to>
      <xdr:col>3</xdr:col>
      <xdr:colOff>742950</xdr:colOff>
      <xdr:row>19</xdr:row>
      <xdr:rowOff>89535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FCAB9-F106-4EEE-B0EF-E50868F1A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100965</xdr:rowOff>
    </xdr:from>
    <xdr:to>
      <xdr:col>3</xdr:col>
      <xdr:colOff>752475</xdr:colOff>
      <xdr:row>19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055FCC-11D7-4792-945A-3819C829E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506729</xdr:colOff>
      <xdr:row>9</xdr:row>
      <xdr:rowOff>114301</xdr:rowOff>
    </xdr:from>
    <xdr:to>
      <xdr:col>9</xdr:col>
      <xdr:colOff>15240</xdr:colOff>
      <xdr:row>19</xdr:row>
      <xdr:rowOff>93347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56758A-B8D5-4C30-A408-3739D747F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D2D53F-55F2-4C9C-903D-2AF57E014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640773</xdr:colOff>
      <xdr:row>18</xdr:row>
      <xdr:rowOff>103909</xdr:rowOff>
    </xdr:from>
    <xdr:to>
      <xdr:col>8</xdr:col>
      <xdr:colOff>597478</xdr:colOff>
      <xdr:row>18</xdr:row>
      <xdr:rowOff>103909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D1F2D4E-AA61-4530-A51D-0B07B1299B73}"/>
            </a:ext>
          </a:extLst>
        </xdr:cNvPr>
        <xdr:cNvCxnSpPr/>
      </xdr:nvCxnSpPr>
      <xdr:spPr>
        <a:xfrm>
          <a:off x="3887932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95250</xdr:rowOff>
    </xdr:from>
    <xdr:to>
      <xdr:col>3</xdr:col>
      <xdr:colOff>742950</xdr:colOff>
      <xdr:row>19</xdr:row>
      <xdr:rowOff>89535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CD1D26-9BD5-4C61-ABA7-8D4CA5904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100965</xdr:rowOff>
    </xdr:from>
    <xdr:to>
      <xdr:col>3</xdr:col>
      <xdr:colOff>752475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475BD-FBBF-43E0-A6E2-E88C906BF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506729</xdr:colOff>
      <xdr:row>9</xdr:row>
      <xdr:rowOff>114301</xdr:rowOff>
    </xdr:from>
    <xdr:to>
      <xdr:col>9</xdr:col>
      <xdr:colOff>15240</xdr:colOff>
      <xdr:row>19</xdr:row>
      <xdr:rowOff>93347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B0075E-46D9-41C6-9762-3A719A019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543365-B004-4038-BECF-2856F230A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640772</xdr:colOff>
      <xdr:row>18</xdr:row>
      <xdr:rowOff>103909</xdr:rowOff>
    </xdr:from>
    <xdr:to>
      <xdr:col>8</xdr:col>
      <xdr:colOff>597477</xdr:colOff>
      <xdr:row>18</xdr:row>
      <xdr:rowOff>103909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AF5DA19-0B86-64CB-F644-940224EF49CD}"/>
            </a:ext>
          </a:extLst>
        </xdr:cNvPr>
        <xdr:cNvCxnSpPr/>
      </xdr:nvCxnSpPr>
      <xdr:spPr>
        <a:xfrm>
          <a:off x="388793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95250</xdr:rowOff>
    </xdr:from>
    <xdr:to>
      <xdr:col>3</xdr:col>
      <xdr:colOff>742950</xdr:colOff>
      <xdr:row>19</xdr:row>
      <xdr:rowOff>89535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1278A2-362C-4BDE-9E54-E5EF95E46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DC6AAB-B244-4070-A744-32E83B628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100965</xdr:rowOff>
    </xdr:from>
    <xdr:to>
      <xdr:col>3</xdr:col>
      <xdr:colOff>742950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CDF9F1-F81D-4D4B-B5AE-06286311E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D7BA7-8FA8-451E-9B87-A27E955DE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F0D5D4-B221-42E7-A6B8-4CB82322C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640773</xdr:colOff>
      <xdr:row>18</xdr:row>
      <xdr:rowOff>103909</xdr:rowOff>
    </xdr:from>
    <xdr:to>
      <xdr:col>8</xdr:col>
      <xdr:colOff>597478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74DF205-8878-48F6-A5E8-D22397044C70}"/>
            </a:ext>
          </a:extLst>
        </xdr:cNvPr>
        <xdr:cNvCxnSpPr/>
      </xdr:nvCxnSpPr>
      <xdr:spPr>
        <a:xfrm>
          <a:off x="3887932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4EDE44-0326-4626-8734-8F0DAE0BB0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531B24-8574-46A7-8170-2C86352DD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FF2B2-FDC7-45C7-9F86-7C727EDAB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10D09-0D0D-40ED-87D7-BE2E34A9B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649431</xdr:colOff>
      <xdr:row>18</xdr:row>
      <xdr:rowOff>103909</xdr:rowOff>
    </xdr:from>
    <xdr:to>
      <xdr:col>8</xdr:col>
      <xdr:colOff>606136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BFCB1D-44BB-4945-A63A-8935324D7D1F}"/>
            </a:ext>
          </a:extLst>
        </xdr:cNvPr>
        <xdr:cNvCxnSpPr/>
      </xdr:nvCxnSpPr>
      <xdr:spPr>
        <a:xfrm>
          <a:off x="3896590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9</xdr:row>
      <xdr:rowOff>114300</xdr:rowOff>
    </xdr:from>
    <xdr:to>
      <xdr:col>9</xdr:col>
      <xdr:colOff>22861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B4F511-2098-4971-AC95-431DA3720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AAC300-9B91-4E80-ABFB-BD4AF2937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8C8B08-5EA9-40FB-B402-7DD291E1C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ED4DB-A4A0-4831-9838-1B6C8FEAA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640772</xdr:colOff>
      <xdr:row>18</xdr:row>
      <xdr:rowOff>103909</xdr:rowOff>
    </xdr:from>
    <xdr:to>
      <xdr:col>8</xdr:col>
      <xdr:colOff>597477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112E8B1-740A-40A6-B43E-5C1B02287CF9}"/>
            </a:ext>
          </a:extLst>
        </xdr:cNvPr>
        <xdr:cNvCxnSpPr/>
      </xdr:nvCxnSpPr>
      <xdr:spPr>
        <a:xfrm>
          <a:off x="388793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F31AE5-08A0-44BC-8051-11A21BC4F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E15BCA-AA9D-4E52-98AC-828DC8284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8B7A16-76E1-4517-B156-CC504E506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5F388-8A5B-4599-91D3-42D676CE7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640773</xdr:colOff>
      <xdr:row>18</xdr:row>
      <xdr:rowOff>103909</xdr:rowOff>
    </xdr:from>
    <xdr:to>
      <xdr:col>8</xdr:col>
      <xdr:colOff>597478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AC19CD1-78BA-48D0-A8AC-907204794AF2}"/>
            </a:ext>
          </a:extLst>
        </xdr:cNvPr>
        <xdr:cNvCxnSpPr/>
      </xdr:nvCxnSpPr>
      <xdr:spPr>
        <a:xfrm>
          <a:off x="3887932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57172E-F8FF-447E-8FC4-D67346465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B6A151-9FEA-4915-B4A6-DCBA98276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BA7C52-4AF0-41D1-9FE7-6789026C9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5EA68C-7AAC-45A8-A678-0C089549E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649432</xdr:colOff>
      <xdr:row>18</xdr:row>
      <xdr:rowOff>112567</xdr:rowOff>
    </xdr:from>
    <xdr:to>
      <xdr:col>8</xdr:col>
      <xdr:colOff>606137</xdr:colOff>
      <xdr:row>18</xdr:row>
      <xdr:rowOff>112567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1E9A5D9-A9F2-4983-B2F9-D68E2D3017DC}"/>
            </a:ext>
          </a:extLst>
        </xdr:cNvPr>
        <xdr:cNvCxnSpPr/>
      </xdr:nvCxnSpPr>
      <xdr:spPr>
        <a:xfrm>
          <a:off x="3896591" y="3541567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4BB296-6EB9-477D-A460-ADB1DC635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514350</xdr:colOff>
      <xdr:row>9</xdr:row>
      <xdr:rowOff>123825</xdr:rowOff>
    </xdr:from>
    <xdr:to>
      <xdr:col>9</xdr:col>
      <xdr:colOff>22861</xdr:colOff>
      <xdr:row>19</xdr:row>
      <xdr:rowOff>102871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59064B-6706-46FC-B16F-49D1BE58D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2AEB0E-9391-4CCD-B672-15F3225BA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Winters/Daily%20Reports/DEMETER/Demeter%20Report%20by%20month%20FY22%20and%20FY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Winters/Daily%20Reports/DEMETER/YTD%20OEE%20FY23_PDF%20Deme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s"/>
      <sheetName val="WO's FY22 and FY23"/>
      <sheetName val="Production Downtime"/>
      <sheetName val="DT date range"/>
      <sheetName val="Current Month Summary"/>
      <sheetName val="OEE by Month-Day"/>
      <sheetName val="OEE vs Cases"/>
      <sheetName val="Top Six SKU's"/>
      <sheetName val="B Shift"/>
      <sheetName val="C Shift"/>
      <sheetName val="Item Desc"/>
      <sheetName val="labor  rates"/>
    </sheetNames>
    <sheetDataSet>
      <sheetData sheetId="0">
        <row r="4">
          <cell r="A4" t="str">
            <v>Code</v>
          </cell>
          <cell r="B4" t="str">
            <v>Month</v>
          </cell>
        </row>
        <row r="5">
          <cell r="A5" t="str">
            <v>P1</v>
          </cell>
          <cell r="B5" t="str">
            <v>July</v>
          </cell>
        </row>
        <row r="6">
          <cell r="A6" t="str">
            <v>P2</v>
          </cell>
          <cell r="B6" t="str">
            <v>August</v>
          </cell>
        </row>
        <row r="7">
          <cell r="A7" t="str">
            <v>P3</v>
          </cell>
          <cell r="B7" t="str">
            <v>September</v>
          </cell>
        </row>
        <row r="8">
          <cell r="A8" t="str">
            <v>P4</v>
          </cell>
          <cell r="B8" t="str">
            <v>October</v>
          </cell>
        </row>
        <row r="9">
          <cell r="A9" t="str">
            <v>P5</v>
          </cell>
          <cell r="B9" t="str">
            <v>November</v>
          </cell>
        </row>
        <row r="10">
          <cell r="A10" t="str">
            <v>P6</v>
          </cell>
          <cell r="B10" t="str">
            <v>December</v>
          </cell>
        </row>
        <row r="11">
          <cell r="A11" t="str">
            <v>P7</v>
          </cell>
          <cell r="B11" t="str">
            <v>January</v>
          </cell>
        </row>
        <row r="12">
          <cell r="A12" t="str">
            <v>P8</v>
          </cell>
          <cell r="B12" t="str">
            <v>February</v>
          </cell>
        </row>
        <row r="13">
          <cell r="A13" t="str">
            <v>P9</v>
          </cell>
          <cell r="B13" t="str">
            <v>March</v>
          </cell>
        </row>
        <row r="14">
          <cell r="A14" t="str">
            <v>P10</v>
          </cell>
          <cell r="B14" t="str">
            <v>April</v>
          </cell>
        </row>
        <row r="15">
          <cell r="A15" t="str">
            <v>P11</v>
          </cell>
          <cell r="B15" t="str">
            <v>May</v>
          </cell>
        </row>
        <row r="16">
          <cell r="A16" t="str">
            <v>P12</v>
          </cell>
          <cell r="B16" t="str">
            <v>June</v>
          </cell>
        </row>
      </sheetData>
      <sheetData sheetId="1"/>
      <sheetData sheetId="2"/>
      <sheetData sheetId="3">
        <row r="15">
          <cell r="A15">
            <v>44470</v>
          </cell>
        </row>
        <row r="17">
          <cell r="A17">
            <v>45015</v>
          </cell>
        </row>
        <row r="19">
          <cell r="A19" t="str">
            <v>Both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20000054</v>
          </cell>
          <cell r="D3" t="str">
            <v>MALI 42 120/50 PT SW 21 US</v>
          </cell>
          <cell r="E3" t="str">
            <v>FS03</v>
          </cell>
          <cell r="F3" t="str">
            <v>01FP08</v>
          </cell>
          <cell r="G3">
            <v>32511</v>
          </cell>
          <cell r="H3" t="str">
            <v>50</v>
          </cell>
          <cell r="I3" t="str">
            <v>MR01F03</v>
          </cell>
          <cell r="J3" t="str">
            <v>120</v>
          </cell>
          <cell r="K3">
            <v>3901320</v>
          </cell>
          <cell r="L3">
            <v>0.66669999999999996</v>
          </cell>
          <cell r="M3">
            <v>21675.083699999999</v>
          </cell>
          <cell r="N3">
            <v>4</v>
          </cell>
          <cell r="O3">
            <v>1</v>
          </cell>
          <cell r="P3">
            <v>0</v>
          </cell>
          <cell r="Q3">
            <v>5</v>
          </cell>
          <cell r="R3">
            <v>137.08000000000001</v>
          </cell>
          <cell r="S3">
            <v>43.49</v>
          </cell>
          <cell r="T3">
            <v>0</v>
          </cell>
          <cell r="U3">
            <v>180.57000000000002</v>
          </cell>
          <cell r="V3">
            <v>380</v>
          </cell>
          <cell r="W3">
            <v>22800</v>
          </cell>
          <cell r="X3">
            <v>0.45</v>
          </cell>
          <cell r="Y3">
            <v>10260</v>
          </cell>
          <cell r="Z3" t="str">
            <v>120</v>
          </cell>
          <cell r="AA3">
            <v>85.5</v>
          </cell>
          <cell r="AB3">
            <v>11.7</v>
          </cell>
          <cell r="AC3">
            <v>2.1126999999999998</v>
          </cell>
          <cell r="AD3">
            <v>68685.989699999991</v>
          </cell>
          <cell r="AE3">
            <v>39944</v>
          </cell>
          <cell r="AF3">
            <v>6</v>
          </cell>
          <cell r="AG3">
            <v>6657.3333300000004</v>
          </cell>
          <cell r="AH3">
            <v>120</v>
          </cell>
          <cell r="AI3">
            <v>2</v>
          </cell>
          <cell r="AJ3">
            <v>10</v>
          </cell>
          <cell r="AK3">
            <v>36.114000000000004</v>
          </cell>
          <cell r="AL3">
            <v>5.4199999999999998E-2</v>
          </cell>
          <cell r="AM3">
            <v>1762.0962</v>
          </cell>
          <cell r="AN3" t="str">
            <v>K968</v>
          </cell>
          <cell r="AO3">
            <v>2.2457999999999996</v>
          </cell>
          <cell r="AP3">
            <v>3.0095000000000005</v>
          </cell>
        </row>
        <row r="4">
          <cell r="C4">
            <v>20008177</v>
          </cell>
          <cell r="D4" t="str">
            <v>MALI 42 USA 12/750 21 US</v>
          </cell>
          <cell r="E4" t="str">
            <v>FS01</v>
          </cell>
          <cell r="F4" t="str">
            <v>01CG01S</v>
          </cell>
          <cell r="G4">
            <v>51425</v>
          </cell>
          <cell r="H4" t="str">
            <v>750</v>
          </cell>
          <cell r="I4" t="str">
            <v>MR01C01</v>
          </cell>
          <cell r="J4" t="str">
            <v>12</v>
          </cell>
          <cell r="K4">
            <v>617100</v>
          </cell>
          <cell r="L4">
            <v>1</v>
          </cell>
          <cell r="M4">
            <v>51425</v>
          </cell>
          <cell r="N4">
            <v>3</v>
          </cell>
          <cell r="O4">
            <v>1</v>
          </cell>
          <cell r="P4">
            <v>0</v>
          </cell>
          <cell r="Q4">
            <v>4</v>
          </cell>
          <cell r="R4">
            <v>102.81</v>
          </cell>
          <cell r="S4">
            <v>43.49</v>
          </cell>
          <cell r="T4">
            <v>0</v>
          </cell>
          <cell r="U4">
            <v>146.30000000000001</v>
          </cell>
          <cell r="V4">
            <v>165</v>
          </cell>
          <cell r="W4">
            <v>9900</v>
          </cell>
          <cell r="X4">
            <v>0.51</v>
          </cell>
          <cell r="Y4">
            <v>5049</v>
          </cell>
          <cell r="Z4" t="str">
            <v>12</v>
          </cell>
          <cell r="AA4">
            <v>420.75</v>
          </cell>
          <cell r="AB4">
            <v>2.38</v>
          </cell>
          <cell r="AC4">
            <v>0.34820000000000001</v>
          </cell>
          <cell r="AD4">
            <v>17906.185000000001</v>
          </cell>
          <cell r="AE4">
            <v>97109</v>
          </cell>
          <cell r="AF4">
            <v>9</v>
          </cell>
          <cell r="AG4">
            <v>10789.88889</v>
          </cell>
          <cell r="AH4">
            <v>120</v>
          </cell>
          <cell r="AI4">
            <v>2</v>
          </cell>
          <cell r="AJ4">
            <v>8</v>
          </cell>
          <cell r="AK4">
            <v>36.575000000000003</v>
          </cell>
          <cell r="AL4">
            <v>2.7099999999999999E-2</v>
          </cell>
          <cell r="AM4">
            <v>1393.6175000000001</v>
          </cell>
          <cell r="AN4" t="str">
            <v>K968</v>
          </cell>
          <cell r="AO4">
            <v>0.38170000000000004</v>
          </cell>
          <cell r="AP4">
            <v>2.4383333333333335</v>
          </cell>
        </row>
        <row r="5">
          <cell r="C5">
            <v>20008379</v>
          </cell>
          <cell r="D5" t="str">
            <v>MALI 40 12/750 LATAM GE</v>
          </cell>
          <cell r="E5" t="str">
            <v>FS01</v>
          </cell>
          <cell r="F5" t="str">
            <v>01CG01S</v>
          </cell>
          <cell r="G5">
            <v>45684</v>
          </cell>
          <cell r="H5" t="str">
            <v>750</v>
          </cell>
          <cell r="I5" t="str">
            <v>MR01C01</v>
          </cell>
          <cell r="J5" t="str">
            <v>12</v>
          </cell>
          <cell r="K5">
            <v>548208</v>
          </cell>
          <cell r="L5">
            <v>1</v>
          </cell>
          <cell r="M5">
            <v>45684</v>
          </cell>
          <cell r="N5">
            <v>3</v>
          </cell>
          <cell r="O5">
            <v>1</v>
          </cell>
          <cell r="P5">
            <v>0</v>
          </cell>
          <cell r="Q5">
            <v>4</v>
          </cell>
          <cell r="R5">
            <v>102.81</v>
          </cell>
          <cell r="S5">
            <v>43.49</v>
          </cell>
          <cell r="T5">
            <v>0</v>
          </cell>
          <cell r="U5">
            <v>146.30000000000001</v>
          </cell>
          <cell r="V5">
            <v>165</v>
          </cell>
          <cell r="W5">
            <v>9900</v>
          </cell>
          <cell r="X5">
            <v>0.51</v>
          </cell>
          <cell r="Y5">
            <v>5049</v>
          </cell>
          <cell r="Z5" t="str">
            <v>12</v>
          </cell>
          <cell r="AA5">
            <v>420.75</v>
          </cell>
          <cell r="AB5">
            <v>2.38</v>
          </cell>
          <cell r="AC5">
            <v>0.34820000000000001</v>
          </cell>
          <cell r="AD5">
            <v>15907.168800000001</v>
          </cell>
          <cell r="AE5">
            <v>97109</v>
          </cell>
          <cell r="AF5">
            <v>9</v>
          </cell>
          <cell r="AG5">
            <v>10789.88889</v>
          </cell>
          <cell r="AH5">
            <v>120</v>
          </cell>
          <cell r="AI5">
            <v>2</v>
          </cell>
          <cell r="AJ5">
            <v>8</v>
          </cell>
          <cell r="AK5">
            <v>36.575000000000003</v>
          </cell>
          <cell r="AL5">
            <v>2.7099999999999999E-2</v>
          </cell>
          <cell r="AM5">
            <v>1238.0364</v>
          </cell>
          <cell r="AN5" t="str">
            <v>K876</v>
          </cell>
          <cell r="AO5">
            <v>0.38250000000000001</v>
          </cell>
          <cell r="AP5">
            <v>2.4383333333333335</v>
          </cell>
        </row>
        <row r="6">
          <cell r="C6">
            <v>20012178</v>
          </cell>
          <cell r="D6" t="str">
            <v>MALI 42 USA 6/1.75 PT 21 US</v>
          </cell>
          <cell r="E6" t="str">
            <v>FS12</v>
          </cell>
          <cell r="F6" t="str">
            <v>01AP08</v>
          </cell>
          <cell r="G6">
            <v>59600</v>
          </cell>
          <cell r="H6">
            <v>1750</v>
          </cell>
          <cell r="I6" t="str">
            <v>MR01A12 PET</v>
          </cell>
          <cell r="J6" t="str">
            <v>6</v>
          </cell>
          <cell r="K6">
            <v>357600</v>
          </cell>
          <cell r="L6">
            <v>1.1667000000000001</v>
          </cell>
          <cell r="M6">
            <v>69535.320000000007</v>
          </cell>
          <cell r="N6">
            <v>3</v>
          </cell>
          <cell r="O6">
            <v>1</v>
          </cell>
          <cell r="P6">
            <v>0</v>
          </cell>
          <cell r="Q6">
            <v>4</v>
          </cell>
          <cell r="R6">
            <v>102.81</v>
          </cell>
          <cell r="S6">
            <v>43.49</v>
          </cell>
          <cell r="T6">
            <v>0</v>
          </cell>
          <cell r="U6">
            <v>146.30000000000001</v>
          </cell>
          <cell r="V6">
            <v>130</v>
          </cell>
          <cell r="W6">
            <v>7800</v>
          </cell>
          <cell r="X6">
            <v>0.68073519400953042</v>
          </cell>
          <cell r="Y6">
            <v>5309.7345132743376</v>
          </cell>
          <cell r="Z6" t="str">
            <v>6</v>
          </cell>
          <cell r="AA6">
            <v>884.9557522123896</v>
          </cell>
          <cell r="AB6">
            <v>1.1299999999999999</v>
          </cell>
          <cell r="AC6">
            <v>0.1653</v>
          </cell>
          <cell r="AD6">
            <v>9851.880000000001</v>
          </cell>
          <cell r="AE6">
            <v>118600</v>
          </cell>
          <cell r="AF6">
            <v>10</v>
          </cell>
          <cell r="AG6">
            <v>11860</v>
          </cell>
          <cell r="AH6">
            <v>120</v>
          </cell>
          <cell r="AI6">
            <v>2</v>
          </cell>
          <cell r="AJ6">
            <v>8</v>
          </cell>
          <cell r="AK6">
            <v>36.575000000000003</v>
          </cell>
          <cell r="AL6">
            <v>2.47E-2</v>
          </cell>
          <cell r="AM6">
            <v>1472.12</v>
          </cell>
          <cell r="AN6" t="str">
            <v>K968</v>
          </cell>
          <cell r="AO6">
            <v>0.19919999999999999</v>
          </cell>
          <cell r="AP6">
            <v>2.4383333333333335</v>
          </cell>
        </row>
        <row r="7">
          <cell r="C7">
            <v>20012179</v>
          </cell>
          <cell r="D7" t="str">
            <v>MALI 42USA 6/175 PT CLBSH 21US</v>
          </cell>
          <cell r="E7" t="str">
            <v>FS12</v>
          </cell>
          <cell r="F7" t="str">
            <v>01AP08</v>
          </cell>
          <cell r="G7">
            <v>59000</v>
          </cell>
          <cell r="H7">
            <v>1750</v>
          </cell>
          <cell r="I7" t="str">
            <v>MR08A12 CLBSHPR PT</v>
          </cell>
          <cell r="J7" t="str">
            <v>6</v>
          </cell>
          <cell r="K7">
            <v>354000</v>
          </cell>
          <cell r="L7">
            <v>1.1667000000000001</v>
          </cell>
          <cell r="M7">
            <v>68835.3</v>
          </cell>
          <cell r="N7">
            <v>5</v>
          </cell>
          <cell r="O7">
            <v>1</v>
          </cell>
          <cell r="P7">
            <v>0</v>
          </cell>
          <cell r="Q7">
            <v>6</v>
          </cell>
          <cell r="R7">
            <v>171.35000000000002</v>
          </cell>
          <cell r="S7">
            <v>43.49</v>
          </cell>
          <cell r="T7">
            <v>0</v>
          </cell>
          <cell r="U7">
            <v>214.84000000000003</v>
          </cell>
          <cell r="V7">
            <v>100</v>
          </cell>
          <cell r="W7">
            <v>6000</v>
          </cell>
          <cell r="X7">
            <v>0.55000000000000004</v>
          </cell>
          <cell r="Y7">
            <v>3300.0000000000005</v>
          </cell>
          <cell r="Z7" t="str">
            <v>6</v>
          </cell>
          <cell r="AA7">
            <v>550.00000000000011</v>
          </cell>
          <cell r="AB7">
            <v>1.82</v>
          </cell>
          <cell r="AC7">
            <v>0.39100000000000001</v>
          </cell>
          <cell r="AD7">
            <v>23069</v>
          </cell>
          <cell r="AE7">
            <v>118600</v>
          </cell>
          <cell r="AF7">
            <v>10</v>
          </cell>
          <cell r="AG7">
            <v>11860</v>
          </cell>
          <cell r="AH7">
            <v>120</v>
          </cell>
          <cell r="AI7">
            <v>2</v>
          </cell>
          <cell r="AJ7">
            <v>12</v>
          </cell>
          <cell r="AK7">
            <v>35.806666666666672</v>
          </cell>
          <cell r="AL7">
            <v>3.6200000000000003E-2</v>
          </cell>
          <cell r="AM7">
            <v>2135.8000000000002</v>
          </cell>
          <cell r="AN7" t="str">
            <v>K968</v>
          </cell>
          <cell r="AO7">
            <v>0.43810000000000004</v>
          </cell>
          <cell r="AP7">
            <v>3.5806666666666671</v>
          </cell>
        </row>
        <row r="8">
          <cell r="C8">
            <v>20712018</v>
          </cell>
          <cell r="D8" t="str">
            <v>MALI BLU HAW 25 6/1.75 PCHUS</v>
          </cell>
          <cell r="E8" t="str">
            <v>FS09</v>
          </cell>
          <cell r="F8" t="str">
            <v>01PDGP</v>
          </cell>
          <cell r="G8">
            <v>24686</v>
          </cell>
          <cell r="H8">
            <v>1750</v>
          </cell>
          <cell r="I8" t="str">
            <v>MR01P09</v>
          </cell>
          <cell r="J8" t="str">
            <v>6</v>
          </cell>
          <cell r="K8">
            <v>148116</v>
          </cell>
          <cell r="L8">
            <v>1.1667000000000001</v>
          </cell>
          <cell r="M8">
            <v>28801.156200000001</v>
          </cell>
          <cell r="N8">
            <v>4</v>
          </cell>
          <cell r="O8">
            <v>1</v>
          </cell>
          <cell r="P8">
            <v>5</v>
          </cell>
          <cell r="Q8">
            <v>10</v>
          </cell>
          <cell r="R8">
            <v>137.08000000000001</v>
          </cell>
          <cell r="S8">
            <v>43.49</v>
          </cell>
          <cell r="T8">
            <v>94.2</v>
          </cell>
          <cell r="U8">
            <v>274.77000000000004</v>
          </cell>
          <cell r="V8">
            <v>16</v>
          </cell>
          <cell r="W8">
            <v>960</v>
          </cell>
          <cell r="X8">
            <v>0.55000000000000004</v>
          </cell>
          <cell r="Y8">
            <v>528</v>
          </cell>
          <cell r="Z8" t="str">
            <v>6</v>
          </cell>
          <cell r="AA8">
            <v>88</v>
          </cell>
          <cell r="AB8">
            <v>11.36</v>
          </cell>
          <cell r="AC8">
            <v>3.1214</v>
          </cell>
          <cell r="AD8">
            <v>77054.880399999995</v>
          </cell>
          <cell r="AE8">
            <v>79999</v>
          </cell>
          <cell r="AF8">
            <v>15</v>
          </cell>
          <cell r="AG8">
            <v>5333.26667</v>
          </cell>
          <cell r="AH8">
            <v>120</v>
          </cell>
          <cell r="AI8">
            <v>2</v>
          </cell>
          <cell r="AJ8">
            <v>20</v>
          </cell>
          <cell r="AK8">
            <v>27.477000000000004</v>
          </cell>
          <cell r="AL8">
            <v>0.10299999999999999</v>
          </cell>
          <cell r="AM8">
            <v>2542.6579999999999</v>
          </cell>
          <cell r="AN8" t="str">
            <v>K922</v>
          </cell>
          <cell r="AO8">
            <v>3.5583</v>
          </cell>
          <cell r="AP8">
            <v>4.5795000000000003</v>
          </cell>
        </row>
        <row r="9">
          <cell r="C9">
            <v>20712022</v>
          </cell>
          <cell r="D9" t="str">
            <v>MALIRUMPUNC CKL 25 6/1.75PCHUS</v>
          </cell>
          <cell r="E9" t="str">
            <v>FS09</v>
          </cell>
          <cell r="F9" t="str">
            <v>01PDGP</v>
          </cell>
          <cell r="G9">
            <v>55313</v>
          </cell>
          <cell r="H9">
            <v>1750</v>
          </cell>
          <cell r="I9" t="str">
            <v>MR01P09</v>
          </cell>
          <cell r="J9" t="str">
            <v>6</v>
          </cell>
          <cell r="K9">
            <v>331878</v>
          </cell>
          <cell r="L9">
            <v>1.1667000000000001</v>
          </cell>
          <cell r="M9">
            <v>64533.677100000001</v>
          </cell>
          <cell r="N9">
            <v>4</v>
          </cell>
          <cell r="O9">
            <v>1</v>
          </cell>
          <cell r="P9">
            <v>5</v>
          </cell>
          <cell r="Q9">
            <v>10</v>
          </cell>
          <cell r="R9">
            <v>137.08000000000001</v>
          </cell>
          <cell r="S9">
            <v>43.49</v>
          </cell>
          <cell r="T9">
            <v>94.2</v>
          </cell>
          <cell r="U9">
            <v>274.77000000000004</v>
          </cell>
          <cell r="V9">
            <v>16</v>
          </cell>
          <cell r="W9">
            <v>960</v>
          </cell>
          <cell r="X9">
            <v>0.55000000000000004</v>
          </cell>
          <cell r="Y9">
            <v>528</v>
          </cell>
          <cell r="Z9" t="str">
            <v>6</v>
          </cell>
          <cell r="AA9">
            <v>88</v>
          </cell>
          <cell r="AB9">
            <v>11.36</v>
          </cell>
          <cell r="AC9">
            <v>3.1214</v>
          </cell>
          <cell r="AD9">
            <v>172653.9982</v>
          </cell>
          <cell r="AE9">
            <v>79999</v>
          </cell>
          <cell r="AF9">
            <v>15</v>
          </cell>
          <cell r="AG9">
            <v>5333.26667</v>
          </cell>
          <cell r="AH9">
            <v>120</v>
          </cell>
          <cell r="AI9">
            <v>2</v>
          </cell>
          <cell r="AJ9">
            <v>20</v>
          </cell>
          <cell r="AK9">
            <v>27.477000000000004</v>
          </cell>
          <cell r="AL9">
            <v>0.10299999999999999</v>
          </cell>
          <cell r="AM9">
            <v>5697.2389999999996</v>
          </cell>
          <cell r="AN9" t="str">
            <v>K873</v>
          </cell>
          <cell r="AO9">
            <v>3.4107000000000003</v>
          </cell>
          <cell r="AP9">
            <v>4.5795000000000003</v>
          </cell>
        </row>
        <row r="10">
          <cell r="C10">
            <v>21000030</v>
          </cell>
          <cell r="D10" t="str">
            <v>JAMESON 80 120/50 12/10PK US</v>
          </cell>
          <cell r="E10" t="str">
            <v>FS03</v>
          </cell>
          <cell r="F10" t="str">
            <v>57FG03</v>
          </cell>
          <cell r="G10">
            <v>80117</v>
          </cell>
          <cell r="H10" t="str">
            <v>50</v>
          </cell>
          <cell r="I10" t="str">
            <v>MR57CG03</v>
          </cell>
          <cell r="J10" t="str">
            <v>120</v>
          </cell>
          <cell r="K10">
            <v>9614040</v>
          </cell>
          <cell r="L10">
            <v>0.66669999999999996</v>
          </cell>
          <cell r="M10">
            <v>53414.003899999996</v>
          </cell>
          <cell r="N10">
            <v>4</v>
          </cell>
          <cell r="O10">
            <v>3</v>
          </cell>
          <cell r="P10">
            <v>3</v>
          </cell>
          <cell r="Q10">
            <v>10</v>
          </cell>
          <cell r="R10">
            <v>137.08000000000001</v>
          </cell>
          <cell r="S10">
            <v>130.47</v>
          </cell>
          <cell r="T10">
            <v>56.519999999999996</v>
          </cell>
          <cell r="U10">
            <v>324.07</v>
          </cell>
          <cell r="V10">
            <v>300</v>
          </cell>
          <cell r="W10">
            <v>18000</v>
          </cell>
          <cell r="X10">
            <v>0.55000000000000004</v>
          </cell>
          <cell r="Y10">
            <v>9900</v>
          </cell>
          <cell r="Z10" t="str">
            <v>120</v>
          </cell>
          <cell r="AA10">
            <v>82.5</v>
          </cell>
          <cell r="AB10">
            <v>12.12</v>
          </cell>
          <cell r="AC10">
            <v>3.9277000000000002</v>
          </cell>
          <cell r="AD10">
            <v>314675.54090000002</v>
          </cell>
          <cell r="AE10">
            <v>102910</v>
          </cell>
          <cell r="AF10">
            <v>10</v>
          </cell>
          <cell r="AG10">
            <v>10291</v>
          </cell>
          <cell r="AH10">
            <v>120</v>
          </cell>
          <cell r="AI10">
            <v>2</v>
          </cell>
          <cell r="AJ10">
            <v>20</v>
          </cell>
          <cell r="AK10">
            <v>32.406999999999996</v>
          </cell>
          <cell r="AL10">
            <v>6.3E-2</v>
          </cell>
          <cell r="AM10">
            <v>5047.3710000000001</v>
          </cell>
          <cell r="AN10" t="str">
            <v>J144</v>
          </cell>
          <cell r="AO10">
            <v>4.1525000000000007</v>
          </cell>
          <cell r="AP10">
            <v>5.4011666666666667</v>
          </cell>
        </row>
        <row r="11">
          <cell r="C11">
            <v>21000199</v>
          </cell>
          <cell r="D11" t="str">
            <v>JAMESON 80 120/50 12/10CRTPKUS UNF</v>
          </cell>
          <cell r="E11" t="str">
            <v>FS03</v>
          </cell>
          <cell r="F11" t="str">
            <v>57FG03</v>
          </cell>
          <cell r="G11">
            <v>22793</v>
          </cell>
          <cell r="H11" t="str">
            <v>50</v>
          </cell>
          <cell r="I11" t="str">
            <v>MR57F03-CP</v>
          </cell>
          <cell r="J11" t="str">
            <v>120</v>
          </cell>
          <cell r="K11">
            <v>2735160</v>
          </cell>
          <cell r="L11">
            <v>0.66669999999999996</v>
          </cell>
          <cell r="M11">
            <v>15196.093099999998</v>
          </cell>
          <cell r="N11">
            <v>4</v>
          </cell>
          <cell r="O11">
            <v>3</v>
          </cell>
          <cell r="P11">
            <v>3</v>
          </cell>
          <cell r="Q11">
            <v>10</v>
          </cell>
          <cell r="R11">
            <v>137.08000000000001</v>
          </cell>
          <cell r="S11">
            <v>130.47</v>
          </cell>
          <cell r="T11">
            <v>56.519999999999996</v>
          </cell>
          <cell r="U11">
            <v>324.07</v>
          </cell>
          <cell r="V11">
            <v>300</v>
          </cell>
          <cell r="W11">
            <v>18000</v>
          </cell>
          <cell r="X11">
            <v>0.55000000000000004</v>
          </cell>
          <cell r="Y11">
            <v>9900</v>
          </cell>
          <cell r="Z11" t="str">
            <v>120</v>
          </cell>
          <cell r="AA11">
            <v>82.5</v>
          </cell>
          <cell r="AB11">
            <v>12.12</v>
          </cell>
          <cell r="AC11">
            <v>3.9277000000000002</v>
          </cell>
          <cell r="AD11">
            <v>89524.066100000011</v>
          </cell>
          <cell r="AE11">
            <v>102910</v>
          </cell>
          <cell r="AF11">
            <v>10</v>
          </cell>
          <cell r="AG11">
            <v>10291</v>
          </cell>
          <cell r="AH11">
            <v>120</v>
          </cell>
          <cell r="AI11">
            <v>2</v>
          </cell>
          <cell r="AJ11">
            <v>20</v>
          </cell>
          <cell r="AK11">
            <v>32.406999999999996</v>
          </cell>
          <cell r="AL11">
            <v>6.3E-2</v>
          </cell>
          <cell r="AM11">
            <v>1435.9590000000001</v>
          </cell>
          <cell r="AN11" t="str">
            <v>J144</v>
          </cell>
          <cell r="AO11">
            <v>4.1613000000000007</v>
          </cell>
          <cell r="AP11">
            <v>5.4011666666666667</v>
          </cell>
        </row>
        <row r="12">
          <cell r="C12">
            <v>30000034</v>
          </cell>
          <cell r="D12" t="str">
            <v>SEAG GIN 80P 120/50 PT ND US</v>
          </cell>
          <cell r="E12" t="str">
            <v>FS03</v>
          </cell>
          <cell r="F12" t="str">
            <v>42FP01</v>
          </cell>
          <cell r="G12">
            <v>37213.932000000001</v>
          </cell>
          <cell r="H12" t="str">
            <v>50</v>
          </cell>
          <cell r="I12" t="str">
            <v>MR42F03</v>
          </cell>
          <cell r="J12" t="str">
            <v>120</v>
          </cell>
          <cell r="K12">
            <v>4465671.84</v>
          </cell>
          <cell r="L12">
            <v>0.66669999999999996</v>
          </cell>
          <cell r="M12">
            <v>24810.528464399998</v>
          </cell>
          <cell r="N12">
            <v>4</v>
          </cell>
          <cell r="O12">
            <v>1</v>
          </cell>
          <cell r="P12">
            <v>0</v>
          </cell>
          <cell r="Q12">
            <v>5</v>
          </cell>
          <cell r="R12">
            <v>137.08000000000001</v>
          </cell>
          <cell r="S12">
            <v>43.49</v>
          </cell>
          <cell r="T12">
            <v>0</v>
          </cell>
          <cell r="U12">
            <v>180.57000000000002</v>
          </cell>
          <cell r="V12">
            <v>380</v>
          </cell>
          <cell r="W12">
            <v>22800</v>
          </cell>
          <cell r="X12">
            <v>0.45</v>
          </cell>
          <cell r="Y12">
            <v>10260</v>
          </cell>
          <cell r="Z12" t="str">
            <v>120</v>
          </cell>
          <cell r="AA12">
            <v>85.5</v>
          </cell>
          <cell r="AB12">
            <v>11.7</v>
          </cell>
          <cell r="AC12">
            <v>2.1126999999999998</v>
          </cell>
          <cell r="AD12">
            <v>78621.874136399987</v>
          </cell>
          <cell r="AE12">
            <v>87418.664220680002</v>
          </cell>
          <cell r="AF12">
            <v>12</v>
          </cell>
          <cell r="AG12">
            <v>7284.8886899999998</v>
          </cell>
          <cell r="AH12">
            <v>120</v>
          </cell>
          <cell r="AI12">
            <v>2</v>
          </cell>
          <cell r="AJ12">
            <v>10</v>
          </cell>
          <cell r="AK12">
            <v>36.114000000000004</v>
          </cell>
          <cell r="AL12">
            <v>4.9599999999999998E-2</v>
          </cell>
          <cell r="AM12">
            <v>1845.8110271999999</v>
          </cell>
          <cell r="AN12" t="str">
            <v>K954</v>
          </cell>
          <cell r="AO12">
            <v>2.2495999999999996</v>
          </cell>
          <cell r="AP12">
            <v>3.0095000000000005</v>
          </cell>
        </row>
        <row r="13">
          <cell r="C13">
            <v>30001034</v>
          </cell>
          <cell r="D13" t="str">
            <v>SEAG GIN 80P 48/100 FSK ND US</v>
          </cell>
          <cell r="E13" t="str">
            <v>FS05</v>
          </cell>
          <cell r="F13" t="str">
            <v>42HG01</v>
          </cell>
          <cell r="G13">
            <v>97633.039000000004</v>
          </cell>
          <cell r="H13" t="str">
            <v>100</v>
          </cell>
          <cell r="I13" t="str">
            <v>MR42H05</v>
          </cell>
          <cell r="J13" t="str">
            <v>48</v>
          </cell>
          <cell r="K13">
            <v>4686385.8720000004</v>
          </cell>
          <cell r="L13">
            <v>0.5333</v>
          </cell>
          <cell r="M13">
            <v>52067.699698700002</v>
          </cell>
          <cell r="N13">
            <v>4</v>
          </cell>
          <cell r="O13">
            <v>1</v>
          </cell>
          <cell r="P13">
            <v>1</v>
          </cell>
          <cell r="Q13">
            <v>6</v>
          </cell>
          <cell r="R13">
            <v>137.08000000000001</v>
          </cell>
          <cell r="S13">
            <v>43.49</v>
          </cell>
          <cell r="T13">
            <v>18.84</v>
          </cell>
          <cell r="U13">
            <v>199.41000000000003</v>
          </cell>
          <cell r="V13">
            <v>250</v>
          </cell>
          <cell r="W13">
            <v>15000</v>
          </cell>
          <cell r="X13">
            <v>0.45</v>
          </cell>
          <cell r="Y13">
            <v>6750</v>
          </cell>
          <cell r="Z13" t="str">
            <v>48</v>
          </cell>
          <cell r="AA13">
            <v>140.625</v>
          </cell>
          <cell r="AB13">
            <v>7.11</v>
          </cell>
          <cell r="AC13">
            <v>1.4177999999999999</v>
          </cell>
          <cell r="AD13">
            <v>138424.12269419999</v>
          </cell>
          <cell r="AE13">
            <v>138330.16108689</v>
          </cell>
          <cell r="AF13">
            <v>15</v>
          </cell>
          <cell r="AG13">
            <v>9222.0107399999997</v>
          </cell>
          <cell r="AH13">
            <v>120</v>
          </cell>
          <cell r="AI13">
            <v>2</v>
          </cell>
          <cell r="AJ13">
            <v>12</v>
          </cell>
          <cell r="AK13">
            <v>33.235000000000007</v>
          </cell>
          <cell r="AL13">
            <v>4.3200000000000002E-2</v>
          </cell>
          <cell r="AM13">
            <v>4217.7472848000007</v>
          </cell>
          <cell r="AN13" t="str">
            <v>K954</v>
          </cell>
          <cell r="AO13">
            <v>1.4691999999999998</v>
          </cell>
          <cell r="AP13">
            <v>3.3235000000000006</v>
          </cell>
        </row>
        <row r="14">
          <cell r="C14">
            <v>30003034</v>
          </cell>
          <cell r="D14" t="str">
            <v>SEAG GIN 80P 48/200 FSK ND US</v>
          </cell>
          <cell r="E14" t="str">
            <v>FS05</v>
          </cell>
          <cell r="F14" t="str">
            <v>42EG01</v>
          </cell>
          <cell r="G14">
            <v>37367.546999999999</v>
          </cell>
          <cell r="H14" t="str">
            <v>200</v>
          </cell>
          <cell r="I14" t="str">
            <v>MR42E05</v>
          </cell>
          <cell r="J14" t="str">
            <v>48</v>
          </cell>
          <cell r="K14">
            <v>1793642.2560000001</v>
          </cell>
          <cell r="L14">
            <v>1.0667</v>
          </cell>
          <cell r="M14">
            <v>39859.962384899998</v>
          </cell>
          <cell r="N14">
            <v>4</v>
          </cell>
          <cell r="O14">
            <v>1</v>
          </cell>
          <cell r="P14">
            <v>1</v>
          </cell>
          <cell r="Q14">
            <v>6</v>
          </cell>
          <cell r="R14">
            <v>137.08000000000001</v>
          </cell>
          <cell r="S14">
            <v>43.49</v>
          </cell>
          <cell r="T14">
            <v>18.84</v>
          </cell>
          <cell r="U14">
            <v>199.41000000000003</v>
          </cell>
          <cell r="V14">
            <v>250</v>
          </cell>
          <cell r="W14">
            <v>15000</v>
          </cell>
          <cell r="X14">
            <v>0.45</v>
          </cell>
          <cell r="Y14">
            <v>6750</v>
          </cell>
          <cell r="Z14" t="str">
            <v>48</v>
          </cell>
          <cell r="AA14">
            <v>140.625</v>
          </cell>
          <cell r="AB14">
            <v>7.11</v>
          </cell>
          <cell r="AC14">
            <v>1.4177999999999999</v>
          </cell>
          <cell r="AD14">
            <v>52979.708136599998</v>
          </cell>
          <cell r="AE14">
            <v>191540.93765112999</v>
          </cell>
          <cell r="AF14">
            <v>12</v>
          </cell>
          <cell r="AG14">
            <v>15961.7448</v>
          </cell>
          <cell r="AH14">
            <v>120</v>
          </cell>
          <cell r="AI14">
            <v>2</v>
          </cell>
          <cell r="AJ14">
            <v>12</v>
          </cell>
          <cell r="AK14">
            <v>33.235000000000007</v>
          </cell>
          <cell r="AL14">
            <v>2.5000000000000001E-2</v>
          </cell>
          <cell r="AM14">
            <v>934.18867499999999</v>
          </cell>
          <cell r="AN14" t="str">
            <v>K954</v>
          </cell>
          <cell r="AO14">
            <v>1.4560999999999999</v>
          </cell>
          <cell r="AP14">
            <v>3.3235000000000006</v>
          </cell>
        </row>
        <row r="15">
          <cell r="C15">
            <v>30003235</v>
          </cell>
          <cell r="D15" t="str">
            <v>SEAG GIN 80 24/200 FSK ON US</v>
          </cell>
          <cell r="E15" t="str">
            <v>FS05</v>
          </cell>
          <cell r="F15" t="str">
            <v>42EG01</v>
          </cell>
          <cell r="G15">
            <v>14557.116</v>
          </cell>
          <cell r="H15" t="str">
            <v>200</v>
          </cell>
          <cell r="I15" t="str">
            <v>MR42E05-HALF PACK</v>
          </cell>
          <cell r="J15" t="str">
            <v>24</v>
          </cell>
          <cell r="K15">
            <v>349370.78399999999</v>
          </cell>
          <cell r="L15">
            <v>0.5333</v>
          </cell>
          <cell r="M15">
            <v>7763.3099628</v>
          </cell>
          <cell r="N15">
            <v>4</v>
          </cell>
          <cell r="O15">
            <v>1</v>
          </cell>
          <cell r="P15">
            <v>1</v>
          </cell>
          <cell r="Q15">
            <v>6</v>
          </cell>
          <cell r="R15">
            <v>137.08000000000001</v>
          </cell>
          <cell r="S15">
            <v>43.49</v>
          </cell>
          <cell r="T15">
            <v>18.84</v>
          </cell>
          <cell r="U15">
            <v>199.41000000000003</v>
          </cell>
          <cell r="V15">
            <v>250</v>
          </cell>
          <cell r="W15">
            <v>15000</v>
          </cell>
          <cell r="X15">
            <v>0.45</v>
          </cell>
          <cell r="Y15">
            <v>6750</v>
          </cell>
          <cell r="Z15" t="str">
            <v>24</v>
          </cell>
          <cell r="AA15">
            <v>281.25</v>
          </cell>
          <cell r="AB15">
            <v>3.56</v>
          </cell>
          <cell r="AC15">
            <v>0.70989999999999998</v>
          </cell>
          <cell r="AD15">
            <v>10334.0966484</v>
          </cell>
          <cell r="AE15">
            <v>191540.93765112999</v>
          </cell>
          <cell r="AF15">
            <v>12</v>
          </cell>
          <cell r="AG15">
            <v>15961.7448</v>
          </cell>
          <cell r="AH15">
            <v>120</v>
          </cell>
          <cell r="AI15">
            <v>2</v>
          </cell>
          <cell r="AJ15">
            <v>12</v>
          </cell>
          <cell r="AK15">
            <v>33.235000000000007</v>
          </cell>
          <cell r="AL15">
            <v>2.5000000000000001E-2</v>
          </cell>
          <cell r="AM15">
            <v>363.92790000000002</v>
          </cell>
          <cell r="AN15" t="str">
            <v>K954</v>
          </cell>
          <cell r="AO15">
            <v>0.76229999999999998</v>
          </cell>
          <cell r="AP15">
            <v>3.3235000000000006</v>
          </cell>
        </row>
        <row r="16">
          <cell r="C16">
            <v>30005034</v>
          </cell>
          <cell r="D16" t="str">
            <v>SEAG GIN 80P 24/375 FSK ND US</v>
          </cell>
          <cell r="E16" t="str">
            <v>FS04</v>
          </cell>
          <cell r="F16" t="str">
            <v>42GG01</v>
          </cell>
          <cell r="G16">
            <v>94057.067999999999</v>
          </cell>
          <cell r="H16" t="str">
            <v>375</v>
          </cell>
          <cell r="I16" t="str">
            <v>MR42G04</v>
          </cell>
          <cell r="J16" t="str">
            <v>24</v>
          </cell>
          <cell r="K16">
            <v>2257369.6320000002</v>
          </cell>
          <cell r="L16">
            <v>1</v>
          </cell>
          <cell r="M16">
            <v>94057.067999999999</v>
          </cell>
          <cell r="N16">
            <v>4</v>
          </cell>
          <cell r="O16">
            <v>1</v>
          </cell>
          <cell r="P16">
            <v>1</v>
          </cell>
          <cell r="Q16">
            <v>6</v>
          </cell>
          <cell r="R16">
            <v>137.08000000000001</v>
          </cell>
          <cell r="S16">
            <v>43.49</v>
          </cell>
          <cell r="T16">
            <v>18.84</v>
          </cell>
          <cell r="U16">
            <v>199.41000000000003</v>
          </cell>
          <cell r="V16">
            <v>230</v>
          </cell>
          <cell r="W16">
            <v>13800</v>
          </cell>
          <cell r="X16">
            <v>0.45</v>
          </cell>
          <cell r="Y16">
            <v>6210</v>
          </cell>
          <cell r="Z16" t="str">
            <v>24</v>
          </cell>
          <cell r="AA16">
            <v>258.75</v>
          </cell>
          <cell r="AB16">
            <v>3.86</v>
          </cell>
          <cell r="AC16">
            <v>0.76970000000000005</v>
          </cell>
          <cell r="AD16">
            <v>72395.725239600011</v>
          </cell>
          <cell r="AE16">
            <v>379933.98423121998</v>
          </cell>
          <cell r="AF16">
            <v>21</v>
          </cell>
          <cell r="AG16">
            <v>18092.094489999999</v>
          </cell>
          <cell r="AH16">
            <v>120</v>
          </cell>
          <cell r="AI16">
            <v>2</v>
          </cell>
          <cell r="AJ16">
            <v>12</v>
          </cell>
          <cell r="AK16">
            <v>33.235000000000007</v>
          </cell>
          <cell r="AL16">
            <v>2.1999999999999999E-2</v>
          </cell>
          <cell r="AM16">
            <v>2069.2554959999998</v>
          </cell>
          <cell r="AN16" t="str">
            <v>K954</v>
          </cell>
          <cell r="AO16">
            <v>0.79700000000000004</v>
          </cell>
          <cell r="AP16">
            <v>3.3235000000000006</v>
          </cell>
        </row>
        <row r="17">
          <cell r="C17">
            <v>30005167</v>
          </cell>
          <cell r="D17" t="str">
            <v>SEAG GIN 80P 24/375 FSK ND NC</v>
          </cell>
          <cell r="E17" t="str">
            <v>FS04</v>
          </cell>
          <cell r="F17" t="str">
            <v>42GG01</v>
          </cell>
          <cell r="G17">
            <v>6710.6480000000001</v>
          </cell>
          <cell r="H17" t="str">
            <v>375</v>
          </cell>
          <cell r="I17" t="str">
            <v>MR42G04</v>
          </cell>
          <cell r="J17" t="str">
            <v>24</v>
          </cell>
          <cell r="K17">
            <v>161055.552</v>
          </cell>
          <cell r="L17">
            <v>1</v>
          </cell>
          <cell r="M17">
            <v>6710.6480000000001</v>
          </cell>
          <cell r="N17">
            <v>4</v>
          </cell>
          <cell r="O17">
            <v>1</v>
          </cell>
          <cell r="P17">
            <v>1</v>
          </cell>
          <cell r="Q17">
            <v>6</v>
          </cell>
          <cell r="R17">
            <v>137.08000000000001</v>
          </cell>
          <cell r="S17">
            <v>43.49</v>
          </cell>
          <cell r="T17">
            <v>18.84</v>
          </cell>
          <cell r="U17">
            <v>199.41000000000003</v>
          </cell>
          <cell r="V17">
            <v>230</v>
          </cell>
          <cell r="W17">
            <v>13800</v>
          </cell>
          <cell r="X17">
            <v>0.45</v>
          </cell>
          <cell r="Y17">
            <v>6210</v>
          </cell>
          <cell r="Z17" t="str">
            <v>24</v>
          </cell>
          <cell r="AA17">
            <v>258.75</v>
          </cell>
          <cell r="AB17">
            <v>3.86</v>
          </cell>
          <cell r="AC17">
            <v>0.76970000000000005</v>
          </cell>
          <cell r="AD17">
            <v>5165.1857656000002</v>
          </cell>
          <cell r="AE17">
            <v>379933.98423121998</v>
          </cell>
          <cell r="AF17">
            <v>21</v>
          </cell>
          <cell r="AG17">
            <v>18092.094489999999</v>
          </cell>
          <cell r="AH17">
            <v>120</v>
          </cell>
          <cell r="AI17">
            <v>2</v>
          </cell>
          <cell r="AJ17">
            <v>12</v>
          </cell>
          <cell r="AK17">
            <v>33.235000000000007</v>
          </cell>
          <cell r="AL17">
            <v>2.1999999999999999E-2</v>
          </cell>
          <cell r="AM17">
            <v>147.63425599999999</v>
          </cell>
          <cell r="AN17" t="str">
            <v>K954</v>
          </cell>
          <cell r="AO17">
            <v>0.82140000000000002</v>
          </cell>
          <cell r="AP17">
            <v>3.3235000000000006</v>
          </cell>
        </row>
        <row r="18">
          <cell r="C18">
            <v>30008034</v>
          </cell>
          <cell r="D18" t="str">
            <v>SEAG GIN 80P 12/750 PTTF ND US</v>
          </cell>
          <cell r="E18" t="str">
            <v>FS01</v>
          </cell>
          <cell r="F18" t="str">
            <v>42CP01</v>
          </cell>
          <cell r="G18">
            <v>44831.374000000003</v>
          </cell>
          <cell r="H18" t="str">
            <v>750</v>
          </cell>
          <cell r="I18" t="str">
            <v>MR42C01-PET</v>
          </cell>
          <cell r="J18" t="str">
            <v>12</v>
          </cell>
          <cell r="K18">
            <v>537976.48800000001</v>
          </cell>
          <cell r="L18">
            <v>1</v>
          </cell>
          <cell r="M18">
            <v>44831.374000000003</v>
          </cell>
          <cell r="N18">
            <v>4</v>
          </cell>
          <cell r="O18">
            <v>1</v>
          </cell>
          <cell r="P18">
            <v>3</v>
          </cell>
          <cell r="Q18">
            <v>8</v>
          </cell>
          <cell r="R18">
            <v>137.08000000000001</v>
          </cell>
          <cell r="S18">
            <v>43.49</v>
          </cell>
          <cell r="T18">
            <v>56.519999999999996</v>
          </cell>
          <cell r="U18">
            <v>237.09000000000003</v>
          </cell>
          <cell r="V18">
            <v>70</v>
          </cell>
          <cell r="W18">
            <v>4200</v>
          </cell>
          <cell r="X18">
            <v>0.6</v>
          </cell>
          <cell r="Y18">
            <v>2520</v>
          </cell>
          <cell r="Z18" t="str">
            <v>12</v>
          </cell>
          <cell r="AA18">
            <v>210</v>
          </cell>
          <cell r="AB18">
            <v>4.76</v>
          </cell>
          <cell r="AC18">
            <v>1.1285000000000001</v>
          </cell>
          <cell r="AD18">
            <v>50592.205559000009</v>
          </cell>
          <cell r="AE18">
            <v>110746.77938659201</v>
          </cell>
          <cell r="AF18">
            <v>9</v>
          </cell>
          <cell r="AG18">
            <v>12305.19771</v>
          </cell>
          <cell r="AH18">
            <v>120</v>
          </cell>
          <cell r="AI18">
            <v>2</v>
          </cell>
          <cell r="AJ18">
            <v>16</v>
          </cell>
          <cell r="AK18">
            <v>29.636250000000004</v>
          </cell>
          <cell r="AL18">
            <v>3.85E-2</v>
          </cell>
          <cell r="AM18">
            <v>1726.0078990000002</v>
          </cell>
          <cell r="AN18" t="str">
            <v>K954</v>
          </cell>
          <cell r="AO18">
            <v>1.1908000000000001</v>
          </cell>
          <cell r="AP18">
            <v>3.9515000000000007</v>
          </cell>
        </row>
        <row r="19">
          <cell r="C19">
            <v>30008035</v>
          </cell>
          <cell r="D19" t="str">
            <v>SEAG GIN 80P 12/750 ND US</v>
          </cell>
          <cell r="E19" t="str">
            <v>FS01</v>
          </cell>
          <cell r="F19" t="str">
            <v>42CG01</v>
          </cell>
          <cell r="G19">
            <v>214717.46100000001</v>
          </cell>
          <cell r="H19" t="str">
            <v>750</v>
          </cell>
          <cell r="I19" t="str">
            <v>MR42C01-V</v>
          </cell>
          <cell r="J19" t="str">
            <v>12</v>
          </cell>
          <cell r="K19">
            <v>2576609.5320000001</v>
          </cell>
          <cell r="L19">
            <v>1</v>
          </cell>
          <cell r="M19">
            <v>214717.46100000001</v>
          </cell>
          <cell r="N19">
            <v>4</v>
          </cell>
          <cell r="O19">
            <v>1</v>
          </cell>
          <cell r="P19">
            <v>0</v>
          </cell>
          <cell r="Q19">
            <v>5</v>
          </cell>
          <cell r="R19">
            <v>137.08000000000001</v>
          </cell>
          <cell r="S19">
            <v>43.49</v>
          </cell>
          <cell r="T19">
            <v>0</v>
          </cell>
          <cell r="U19">
            <v>180.57000000000002</v>
          </cell>
          <cell r="V19">
            <v>165</v>
          </cell>
          <cell r="W19">
            <v>9900</v>
          </cell>
          <cell r="X19">
            <v>0.55000000000000004</v>
          </cell>
          <cell r="Y19">
            <v>5445</v>
          </cell>
          <cell r="Z19" t="str">
            <v>12</v>
          </cell>
          <cell r="AA19">
            <v>453.75</v>
          </cell>
          <cell r="AB19">
            <v>2.2000000000000002</v>
          </cell>
          <cell r="AC19">
            <v>0.39729999999999999</v>
          </cell>
          <cell r="AD19">
            <v>85307.247255299997</v>
          </cell>
          <cell r="AE19">
            <v>444313.4545310181</v>
          </cell>
          <cell r="AF19">
            <v>15</v>
          </cell>
          <cell r="AG19">
            <v>29620.896970000002</v>
          </cell>
          <cell r="AH19">
            <v>120</v>
          </cell>
          <cell r="AI19">
            <v>2</v>
          </cell>
          <cell r="AJ19">
            <v>10</v>
          </cell>
          <cell r="AK19">
            <v>36.114000000000004</v>
          </cell>
          <cell r="AL19">
            <v>1.2200000000000001E-2</v>
          </cell>
          <cell r="AM19">
            <v>2619.5530242000004</v>
          </cell>
          <cell r="AN19" t="str">
            <v>K954</v>
          </cell>
          <cell r="AO19">
            <v>0.41579999999999995</v>
          </cell>
          <cell r="AP19">
            <v>3.0095000000000005</v>
          </cell>
        </row>
        <row r="20">
          <cell r="C20">
            <v>30008167</v>
          </cell>
          <cell r="D20" t="str">
            <v>SEAG GIN 80P 12/750 PTTF ND NC</v>
          </cell>
          <cell r="E20" t="str">
            <v>FS01</v>
          </cell>
          <cell r="F20" t="str">
            <v>42CP01</v>
          </cell>
          <cell r="G20">
            <v>5271.3220000000001</v>
          </cell>
          <cell r="H20" t="str">
            <v>750</v>
          </cell>
          <cell r="I20" t="str">
            <v>MR42C01-PET</v>
          </cell>
          <cell r="J20" t="str">
            <v>12</v>
          </cell>
          <cell r="K20">
            <v>63255.864000000001</v>
          </cell>
          <cell r="L20">
            <v>1</v>
          </cell>
          <cell r="M20">
            <v>5271.3220000000001</v>
          </cell>
          <cell r="N20">
            <v>4</v>
          </cell>
          <cell r="O20">
            <v>1</v>
          </cell>
          <cell r="P20">
            <v>3</v>
          </cell>
          <cell r="Q20">
            <v>8</v>
          </cell>
          <cell r="R20">
            <v>137.08000000000001</v>
          </cell>
          <cell r="S20">
            <v>43.49</v>
          </cell>
          <cell r="T20">
            <v>56.519999999999996</v>
          </cell>
          <cell r="U20">
            <v>237.09000000000003</v>
          </cell>
          <cell r="V20">
            <v>70</v>
          </cell>
          <cell r="W20">
            <v>4200</v>
          </cell>
          <cell r="X20">
            <v>0.6</v>
          </cell>
          <cell r="Y20">
            <v>2520</v>
          </cell>
          <cell r="Z20" t="str">
            <v>12</v>
          </cell>
          <cell r="AA20">
            <v>210</v>
          </cell>
          <cell r="AB20">
            <v>4.76</v>
          </cell>
          <cell r="AC20">
            <v>1.1285000000000001</v>
          </cell>
          <cell r="AD20">
            <v>5948.6868770000001</v>
          </cell>
          <cell r="AE20">
            <v>110746.77938659201</v>
          </cell>
          <cell r="AF20">
            <v>9</v>
          </cell>
          <cell r="AG20">
            <v>12305.19771</v>
          </cell>
          <cell r="AH20">
            <v>120</v>
          </cell>
          <cell r="AI20">
            <v>2</v>
          </cell>
          <cell r="AJ20">
            <v>16</v>
          </cell>
          <cell r="AK20">
            <v>29.636250000000004</v>
          </cell>
          <cell r="AL20">
            <v>3.85E-2</v>
          </cell>
          <cell r="AM20">
            <v>202.945897</v>
          </cell>
          <cell r="AN20" t="str">
            <v>K954</v>
          </cell>
          <cell r="AO20">
            <v>1.212</v>
          </cell>
          <cell r="AP20">
            <v>3.9515000000000007</v>
          </cell>
        </row>
        <row r="21">
          <cell r="C21">
            <v>30009034</v>
          </cell>
          <cell r="D21" t="str">
            <v>SEAG GIN 80P 12/1L ND US</v>
          </cell>
          <cell r="E21" t="str">
            <v>FS01</v>
          </cell>
          <cell r="F21" t="str">
            <v>42BG01</v>
          </cell>
          <cell r="G21">
            <v>44092.160000000003</v>
          </cell>
          <cell r="H21">
            <v>1000</v>
          </cell>
          <cell r="I21" t="str">
            <v>MR42B01</v>
          </cell>
          <cell r="J21" t="str">
            <v>12</v>
          </cell>
          <cell r="K21">
            <v>529105.92000000004</v>
          </cell>
          <cell r="L21">
            <v>1.3332999999999999</v>
          </cell>
          <cell r="M21">
            <v>58788.076928000002</v>
          </cell>
          <cell r="N21">
            <v>4</v>
          </cell>
          <cell r="O21">
            <v>1</v>
          </cell>
          <cell r="P21">
            <v>0</v>
          </cell>
          <cell r="Q21">
            <v>5</v>
          </cell>
          <cell r="R21">
            <v>137.08000000000001</v>
          </cell>
          <cell r="S21">
            <v>43.49</v>
          </cell>
          <cell r="T21">
            <v>0</v>
          </cell>
          <cell r="U21">
            <v>180.57000000000002</v>
          </cell>
          <cell r="V21">
            <v>140</v>
          </cell>
          <cell r="W21">
            <v>8400</v>
          </cell>
          <cell r="X21">
            <v>0.5</v>
          </cell>
          <cell r="Y21">
            <v>4200</v>
          </cell>
          <cell r="Z21" t="str">
            <v>12</v>
          </cell>
          <cell r="AA21">
            <v>350</v>
          </cell>
          <cell r="AB21">
            <v>2.86</v>
          </cell>
          <cell r="AC21">
            <v>0.51639999999999997</v>
          </cell>
          <cell r="AD21">
            <v>22769.191424000001</v>
          </cell>
          <cell r="AE21">
            <v>101978.63212230999</v>
          </cell>
          <cell r="AF21">
            <v>10</v>
          </cell>
          <cell r="AG21">
            <v>10197.86321</v>
          </cell>
          <cell r="AH21">
            <v>120</v>
          </cell>
          <cell r="AI21">
            <v>2</v>
          </cell>
          <cell r="AJ21">
            <v>10</v>
          </cell>
          <cell r="AK21">
            <v>36.114000000000004</v>
          </cell>
          <cell r="AL21">
            <v>3.5400000000000001E-2</v>
          </cell>
          <cell r="AM21">
            <v>1560.8624640000003</v>
          </cell>
          <cell r="AN21" t="str">
            <v>K954</v>
          </cell>
          <cell r="AO21">
            <v>0.55999999999999994</v>
          </cell>
          <cell r="AP21">
            <v>3.0095000000000005</v>
          </cell>
        </row>
        <row r="22">
          <cell r="C22">
            <v>30012034</v>
          </cell>
          <cell r="D22" t="str">
            <v>SEAG GIN 80P 6/1.75L ND US</v>
          </cell>
          <cell r="E22" t="str">
            <v>FS12</v>
          </cell>
          <cell r="F22" t="str">
            <v>42AG01</v>
          </cell>
          <cell r="G22">
            <v>415379.61500000005</v>
          </cell>
          <cell r="H22">
            <v>1750</v>
          </cell>
          <cell r="I22" t="str">
            <v>MR42A12</v>
          </cell>
          <cell r="J22" t="str">
            <v>6</v>
          </cell>
          <cell r="K22">
            <v>2492277.6900000004</v>
          </cell>
          <cell r="L22">
            <v>1.1667000000000001</v>
          </cell>
          <cell r="M22">
            <v>484623.39682050009</v>
          </cell>
          <cell r="N22">
            <v>4</v>
          </cell>
          <cell r="O22">
            <v>1</v>
          </cell>
          <cell r="P22">
            <v>0</v>
          </cell>
          <cell r="Q22">
            <v>5</v>
          </cell>
          <cell r="R22">
            <v>137.08000000000001</v>
          </cell>
          <cell r="S22">
            <v>43.49</v>
          </cell>
          <cell r="T22">
            <v>0</v>
          </cell>
          <cell r="U22">
            <v>180.57000000000002</v>
          </cell>
          <cell r="V22">
            <v>130</v>
          </cell>
          <cell r="W22">
            <v>7800</v>
          </cell>
          <cell r="X22">
            <v>0.65</v>
          </cell>
          <cell r="Y22">
            <v>5070</v>
          </cell>
          <cell r="Z22" t="str">
            <v>6</v>
          </cell>
          <cell r="AA22">
            <v>845</v>
          </cell>
          <cell r="AB22">
            <v>1.18</v>
          </cell>
          <cell r="AC22">
            <v>0.21310000000000001</v>
          </cell>
          <cell r="AD22">
            <v>88517.395956500011</v>
          </cell>
          <cell r="AE22">
            <v>765583.68283178681</v>
          </cell>
          <cell r="AF22">
            <v>13</v>
          </cell>
          <cell r="AG22">
            <v>58891.052530000001</v>
          </cell>
          <cell r="AH22">
            <v>120</v>
          </cell>
          <cell r="AI22">
            <v>2</v>
          </cell>
          <cell r="AJ22">
            <v>10</v>
          </cell>
          <cell r="AK22">
            <v>36.114000000000004</v>
          </cell>
          <cell r="AL22">
            <v>6.1000000000000004E-3</v>
          </cell>
          <cell r="AM22">
            <v>2533.8156515000005</v>
          </cell>
          <cell r="AN22" t="str">
            <v>K954</v>
          </cell>
          <cell r="AO22">
            <v>0.222</v>
          </cell>
          <cell r="AP22">
            <v>3.0095000000000005</v>
          </cell>
        </row>
        <row r="23">
          <cell r="C23">
            <v>30012092</v>
          </cell>
          <cell r="D23" t="str">
            <v>SEAG GIN 80 6/1.75L PT US</v>
          </cell>
          <cell r="E23" t="str">
            <v>FS12</v>
          </cell>
          <cell r="F23" t="str">
            <v>42AP01</v>
          </cell>
          <cell r="G23">
            <v>32562.656000000003</v>
          </cell>
          <cell r="H23">
            <v>1750</v>
          </cell>
          <cell r="I23" t="str">
            <v>MR33A12</v>
          </cell>
          <cell r="J23" t="str">
            <v>6</v>
          </cell>
          <cell r="K23">
            <v>195375.93600000002</v>
          </cell>
          <cell r="L23">
            <v>1.1667000000000001</v>
          </cell>
          <cell r="M23">
            <v>37990.850755200008</v>
          </cell>
          <cell r="N23">
            <v>4</v>
          </cell>
          <cell r="O23">
            <v>1</v>
          </cell>
          <cell r="P23">
            <v>0</v>
          </cell>
          <cell r="Q23">
            <v>5</v>
          </cell>
          <cell r="R23">
            <v>137.08000000000001</v>
          </cell>
          <cell r="S23">
            <v>43.49</v>
          </cell>
          <cell r="T23">
            <v>0</v>
          </cell>
          <cell r="U23">
            <v>180.57000000000002</v>
          </cell>
          <cell r="V23">
            <v>130</v>
          </cell>
          <cell r="W23">
            <v>7800</v>
          </cell>
          <cell r="X23">
            <v>0.65</v>
          </cell>
          <cell r="Y23">
            <v>5070</v>
          </cell>
          <cell r="Z23" t="str">
            <v>6</v>
          </cell>
          <cell r="AA23">
            <v>845</v>
          </cell>
          <cell r="AB23">
            <v>1.18</v>
          </cell>
          <cell r="AC23">
            <v>0.21310000000000001</v>
          </cell>
          <cell r="AD23">
            <v>6939.1019936000012</v>
          </cell>
          <cell r="AE23">
            <v>373935.6726291831</v>
          </cell>
          <cell r="AF23">
            <v>14</v>
          </cell>
          <cell r="AG23">
            <v>26709.690900000001</v>
          </cell>
          <cell r="AH23">
            <v>120</v>
          </cell>
          <cell r="AI23">
            <v>2</v>
          </cell>
          <cell r="AJ23">
            <v>10</v>
          </cell>
          <cell r="AK23">
            <v>36.114000000000004</v>
          </cell>
          <cell r="AL23">
            <v>1.35E-2</v>
          </cell>
          <cell r="AM23">
            <v>439.59585600000003</v>
          </cell>
          <cell r="AN23" t="str">
            <v>K954</v>
          </cell>
          <cell r="AO23">
            <v>0.24320000000000003</v>
          </cell>
          <cell r="AP23">
            <v>3.0095000000000005</v>
          </cell>
        </row>
        <row r="24">
          <cell r="C24">
            <v>30201010</v>
          </cell>
          <cell r="D24" t="str">
            <v>SEAG LMTW GIN 70 48/100 FSK US</v>
          </cell>
          <cell r="E24" t="str">
            <v>FS05</v>
          </cell>
          <cell r="F24" t="str">
            <v>42HG01</v>
          </cell>
          <cell r="G24">
            <v>1957.319</v>
          </cell>
          <cell r="H24" t="str">
            <v>100</v>
          </cell>
          <cell r="I24" t="str">
            <v>MR42H05</v>
          </cell>
          <cell r="J24" t="str">
            <v>48</v>
          </cell>
          <cell r="K24">
            <v>93951.312000000005</v>
          </cell>
          <cell r="L24">
            <v>0.5333</v>
          </cell>
          <cell r="M24">
            <v>1043.8382227</v>
          </cell>
          <cell r="N24">
            <v>4</v>
          </cell>
          <cell r="O24">
            <v>1</v>
          </cell>
          <cell r="P24">
            <v>1</v>
          </cell>
          <cell r="Q24">
            <v>6</v>
          </cell>
          <cell r="R24">
            <v>137.08000000000001</v>
          </cell>
          <cell r="S24">
            <v>43.49</v>
          </cell>
          <cell r="T24">
            <v>18.84</v>
          </cell>
          <cell r="U24">
            <v>199.41000000000003</v>
          </cell>
          <cell r="V24">
            <v>250</v>
          </cell>
          <cell r="W24">
            <v>15000</v>
          </cell>
          <cell r="X24">
            <v>0.45</v>
          </cell>
          <cell r="Y24">
            <v>6750</v>
          </cell>
          <cell r="Z24" t="str">
            <v>48</v>
          </cell>
          <cell r="AA24">
            <v>140.625</v>
          </cell>
          <cell r="AB24">
            <v>7.11</v>
          </cell>
          <cell r="AC24">
            <v>1.4177999999999999</v>
          </cell>
          <cell r="AD24">
            <v>2775.0868781999998</v>
          </cell>
          <cell r="AE24">
            <v>138330.16108689</v>
          </cell>
          <cell r="AF24">
            <v>15</v>
          </cell>
          <cell r="AG24">
            <v>9222.0107399999997</v>
          </cell>
          <cell r="AH24">
            <v>120</v>
          </cell>
          <cell r="AI24">
            <v>2</v>
          </cell>
          <cell r="AJ24">
            <v>12</v>
          </cell>
          <cell r="AK24">
            <v>33.235000000000007</v>
          </cell>
          <cell r="AL24">
            <v>4.3200000000000002E-2</v>
          </cell>
          <cell r="AM24">
            <v>84.556180800000007</v>
          </cell>
          <cell r="AN24" t="str">
            <v>K958</v>
          </cell>
          <cell r="AO24">
            <v>1.5118999999999998</v>
          </cell>
          <cell r="AP24">
            <v>3.3235000000000006</v>
          </cell>
        </row>
        <row r="25">
          <cell r="C25">
            <v>30201011</v>
          </cell>
          <cell r="D25" t="str">
            <v>SEAG PCH TW GIN 70 48/100FSKUS</v>
          </cell>
          <cell r="E25" t="str">
            <v>FS05</v>
          </cell>
          <cell r="F25" t="str">
            <v>42HG01</v>
          </cell>
          <cell r="G25">
            <v>811.31399999999996</v>
          </cell>
          <cell r="H25" t="str">
            <v>100</v>
          </cell>
          <cell r="I25" t="str">
            <v>MR42H05-V</v>
          </cell>
          <cell r="J25" t="str">
            <v>48</v>
          </cell>
          <cell r="K25">
            <v>38943.072</v>
          </cell>
          <cell r="L25">
            <v>0.5333</v>
          </cell>
          <cell r="M25">
            <v>432.67375619999996</v>
          </cell>
          <cell r="N25">
            <v>4</v>
          </cell>
          <cell r="O25">
            <v>1</v>
          </cell>
          <cell r="P25">
            <v>1</v>
          </cell>
          <cell r="Q25">
            <v>6</v>
          </cell>
          <cell r="R25">
            <v>137.08000000000001</v>
          </cell>
          <cell r="S25">
            <v>43.49</v>
          </cell>
          <cell r="T25">
            <v>18.84</v>
          </cell>
          <cell r="U25">
            <v>199.41000000000003</v>
          </cell>
          <cell r="V25">
            <v>250</v>
          </cell>
          <cell r="W25">
            <v>15000</v>
          </cell>
          <cell r="X25">
            <v>0.45</v>
          </cell>
          <cell r="Y25">
            <v>6750</v>
          </cell>
          <cell r="Z25" t="str">
            <v>48</v>
          </cell>
          <cell r="AA25">
            <v>140.625</v>
          </cell>
          <cell r="AB25">
            <v>7.11</v>
          </cell>
          <cell r="AC25">
            <v>1.4177999999999999</v>
          </cell>
          <cell r="AD25">
            <v>1150.2809892</v>
          </cell>
          <cell r="AE25">
            <v>138330.16108689</v>
          </cell>
          <cell r="AF25">
            <v>15</v>
          </cell>
          <cell r="AG25">
            <v>9222.0107399999997</v>
          </cell>
          <cell r="AH25">
            <v>120</v>
          </cell>
          <cell r="AI25">
            <v>2</v>
          </cell>
          <cell r="AJ25">
            <v>12</v>
          </cell>
          <cell r="AK25">
            <v>33.235000000000007</v>
          </cell>
          <cell r="AL25">
            <v>4.3200000000000002E-2</v>
          </cell>
          <cell r="AM25">
            <v>35.048764800000001</v>
          </cell>
          <cell r="AN25" t="str">
            <v>K960</v>
          </cell>
          <cell r="AO25">
            <v>1.6452999999999998</v>
          </cell>
          <cell r="AP25">
            <v>3.3235000000000006</v>
          </cell>
        </row>
        <row r="26">
          <cell r="C26">
            <v>30201012</v>
          </cell>
          <cell r="D26" t="str">
            <v>SEAG PINETW GIN 70 48/100FSKUS</v>
          </cell>
          <cell r="E26" t="str">
            <v>FS05</v>
          </cell>
          <cell r="F26" t="str">
            <v>42HG01</v>
          </cell>
          <cell r="G26">
            <v>789.25699999999995</v>
          </cell>
          <cell r="H26" t="str">
            <v>100</v>
          </cell>
          <cell r="I26" t="str">
            <v>MR42H05-V</v>
          </cell>
          <cell r="J26" t="str">
            <v>48</v>
          </cell>
          <cell r="K26">
            <v>37884.335999999996</v>
          </cell>
          <cell r="L26">
            <v>0.5333</v>
          </cell>
          <cell r="M26">
            <v>420.91075809999995</v>
          </cell>
          <cell r="N26">
            <v>4</v>
          </cell>
          <cell r="O26">
            <v>1</v>
          </cell>
          <cell r="P26">
            <v>1</v>
          </cell>
          <cell r="Q26">
            <v>6</v>
          </cell>
          <cell r="R26">
            <v>137.08000000000001</v>
          </cell>
          <cell r="S26">
            <v>43.49</v>
          </cell>
          <cell r="T26">
            <v>18.84</v>
          </cell>
          <cell r="U26">
            <v>199.41000000000003</v>
          </cell>
          <cell r="V26">
            <v>250</v>
          </cell>
          <cell r="W26">
            <v>15000</v>
          </cell>
          <cell r="X26">
            <v>0.45</v>
          </cell>
          <cell r="Y26">
            <v>6750</v>
          </cell>
          <cell r="Z26" t="str">
            <v>48</v>
          </cell>
          <cell r="AA26">
            <v>140.625</v>
          </cell>
          <cell r="AB26">
            <v>7.11</v>
          </cell>
          <cell r="AC26">
            <v>1.4177999999999999</v>
          </cell>
          <cell r="AD26">
            <v>1119.0085746</v>
          </cell>
          <cell r="AE26">
            <v>138330.16108689</v>
          </cell>
          <cell r="AF26">
            <v>15</v>
          </cell>
          <cell r="AG26">
            <v>9222.0107399999997</v>
          </cell>
          <cell r="AH26">
            <v>120</v>
          </cell>
          <cell r="AI26">
            <v>2</v>
          </cell>
          <cell r="AJ26">
            <v>12</v>
          </cell>
          <cell r="AK26">
            <v>33.235000000000007</v>
          </cell>
          <cell r="AL26">
            <v>4.3200000000000002E-2</v>
          </cell>
          <cell r="AM26">
            <v>34.0959024</v>
          </cell>
          <cell r="AN26" t="str">
            <v>K959</v>
          </cell>
          <cell r="AO26">
            <v>1.8399999999999999</v>
          </cell>
          <cell r="AP26">
            <v>3.3235000000000006</v>
          </cell>
        </row>
        <row r="27">
          <cell r="C27">
            <v>30203062</v>
          </cell>
          <cell r="D27" t="str">
            <v>SEAG LMTW GIN 70 48/200FSKNDUS</v>
          </cell>
          <cell r="E27" t="str">
            <v>FS05</v>
          </cell>
          <cell r="F27" t="str">
            <v>42EG01</v>
          </cell>
          <cell r="G27">
            <v>1483.5729999999999</v>
          </cell>
          <cell r="H27" t="str">
            <v>200</v>
          </cell>
          <cell r="I27" t="str">
            <v>MR42E05</v>
          </cell>
          <cell r="J27" t="str">
            <v>48</v>
          </cell>
          <cell r="K27">
            <v>71211.503999999986</v>
          </cell>
          <cell r="L27">
            <v>1.0667</v>
          </cell>
          <cell r="M27">
            <v>1582.5273190999999</v>
          </cell>
          <cell r="N27">
            <v>4</v>
          </cell>
          <cell r="O27">
            <v>1</v>
          </cell>
          <cell r="P27">
            <v>1</v>
          </cell>
          <cell r="Q27">
            <v>6</v>
          </cell>
          <cell r="R27">
            <v>137.08000000000001</v>
          </cell>
          <cell r="S27">
            <v>43.49</v>
          </cell>
          <cell r="T27">
            <v>18.84</v>
          </cell>
          <cell r="U27">
            <v>199.41000000000003</v>
          </cell>
          <cell r="V27">
            <v>250</v>
          </cell>
          <cell r="W27">
            <v>15000</v>
          </cell>
          <cell r="X27">
            <v>0.45</v>
          </cell>
          <cell r="Y27">
            <v>6750</v>
          </cell>
          <cell r="Z27" t="str">
            <v>48</v>
          </cell>
          <cell r="AA27">
            <v>140.625</v>
          </cell>
          <cell r="AB27">
            <v>7.11</v>
          </cell>
          <cell r="AC27">
            <v>1.4177999999999999</v>
          </cell>
          <cell r="AD27">
            <v>2103.4097993999999</v>
          </cell>
          <cell r="AE27">
            <v>191540.93765112999</v>
          </cell>
          <cell r="AF27">
            <v>12</v>
          </cell>
          <cell r="AG27">
            <v>15961.7448</v>
          </cell>
          <cell r="AH27">
            <v>120</v>
          </cell>
          <cell r="AI27">
            <v>2</v>
          </cell>
          <cell r="AJ27">
            <v>12</v>
          </cell>
          <cell r="AK27">
            <v>33.235000000000007</v>
          </cell>
          <cell r="AL27">
            <v>2.5000000000000001E-2</v>
          </cell>
          <cell r="AM27">
            <v>37.089324999999995</v>
          </cell>
          <cell r="AN27" t="str">
            <v>K958</v>
          </cell>
          <cell r="AO27">
            <v>1.5099999999999998</v>
          </cell>
          <cell r="AP27">
            <v>3.3235000000000006</v>
          </cell>
        </row>
        <row r="28">
          <cell r="C28">
            <v>30203066</v>
          </cell>
          <cell r="D28" t="str">
            <v>SEAG PCHTWGIN 70 48/200FSKNDUS</v>
          </cell>
          <cell r="E28" t="str">
            <v>FS05</v>
          </cell>
          <cell r="F28" t="str">
            <v>42EG01</v>
          </cell>
          <cell r="G28">
            <v>1433.7049999999999</v>
          </cell>
          <cell r="H28" t="str">
            <v>200</v>
          </cell>
          <cell r="I28" t="str">
            <v>MR42E05</v>
          </cell>
          <cell r="J28" t="str">
            <v>48</v>
          </cell>
          <cell r="K28">
            <v>68817.84</v>
          </cell>
          <cell r="L28">
            <v>1.0667</v>
          </cell>
          <cell r="M28">
            <v>1529.3331234999998</v>
          </cell>
          <cell r="N28">
            <v>4</v>
          </cell>
          <cell r="O28">
            <v>1</v>
          </cell>
          <cell r="P28">
            <v>1</v>
          </cell>
          <cell r="Q28">
            <v>6</v>
          </cell>
          <cell r="R28">
            <v>137.08000000000001</v>
          </cell>
          <cell r="S28">
            <v>43.49</v>
          </cell>
          <cell r="T28">
            <v>18.84</v>
          </cell>
          <cell r="U28">
            <v>199.41000000000003</v>
          </cell>
          <cell r="V28">
            <v>250</v>
          </cell>
          <cell r="W28">
            <v>15000</v>
          </cell>
          <cell r="X28">
            <v>0.45</v>
          </cell>
          <cell r="Y28">
            <v>6750</v>
          </cell>
          <cell r="Z28" t="str">
            <v>48</v>
          </cell>
          <cell r="AA28">
            <v>140.625</v>
          </cell>
          <cell r="AB28">
            <v>7.11</v>
          </cell>
          <cell r="AC28">
            <v>1.4177999999999999</v>
          </cell>
          <cell r="AD28">
            <v>2032.7069489999999</v>
          </cell>
          <cell r="AE28">
            <v>191540.93765112999</v>
          </cell>
          <cell r="AF28">
            <v>12</v>
          </cell>
          <cell r="AG28">
            <v>15961.7448</v>
          </cell>
          <cell r="AH28">
            <v>120</v>
          </cell>
          <cell r="AI28">
            <v>2</v>
          </cell>
          <cell r="AJ28">
            <v>12</v>
          </cell>
          <cell r="AK28">
            <v>33.235000000000007</v>
          </cell>
          <cell r="AL28">
            <v>2.5000000000000001E-2</v>
          </cell>
          <cell r="AM28">
            <v>35.842624999999998</v>
          </cell>
          <cell r="AN28" t="str">
            <v>K960</v>
          </cell>
          <cell r="AO28">
            <v>1.5470999999999999</v>
          </cell>
          <cell r="AP28">
            <v>3.3235000000000006</v>
          </cell>
        </row>
        <row r="29">
          <cell r="C29">
            <v>30205062</v>
          </cell>
          <cell r="D29" t="str">
            <v>SEAG LMTW GIN 70 24/375FSKNDUS</v>
          </cell>
          <cell r="E29" t="str">
            <v>FS04</v>
          </cell>
          <cell r="F29" t="str">
            <v>42GG01</v>
          </cell>
          <cell r="G29">
            <v>10658.325999999999</v>
          </cell>
          <cell r="H29" t="str">
            <v>375</v>
          </cell>
          <cell r="I29" t="str">
            <v>MR42G04</v>
          </cell>
          <cell r="J29" t="str">
            <v>24</v>
          </cell>
          <cell r="K29">
            <v>255799.82399999996</v>
          </cell>
          <cell r="L29">
            <v>1</v>
          </cell>
          <cell r="M29">
            <v>10658.325999999999</v>
          </cell>
          <cell r="N29">
            <v>4</v>
          </cell>
          <cell r="O29">
            <v>1</v>
          </cell>
          <cell r="P29">
            <v>1</v>
          </cell>
          <cell r="Q29">
            <v>6</v>
          </cell>
          <cell r="R29">
            <v>137.08000000000001</v>
          </cell>
          <cell r="S29">
            <v>43.49</v>
          </cell>
          <cell r="T29">
            <v>18.84</v>
          </cell>
          <cell r="U29">
            <v>199.41000000000003</v>
          </cell>
          <cell r="V29">
            <v>230</v>
          </cell>
          <cell r="W29">
            <v>13800</v>
          </cell>
          <cell r="X29">
            <v>0.45</v>
          </cell>
          <cell r="Y29">
            <v>6210</v>
          </cell>
          <cell r="Z29" t="str">
            <v>24</v>
          </cell>
          <cell r="AA29">
            <v>258.75</v>
          </cell>
          <cell r="AB29">
            <v>3.86</v>
          </cell>
          <cell r="AC29">
            <v>0.76970000000000005</v>
          </cell>
          <cell r="AD29">
            <v>8203.7135221999997</v>
          </cell>
          <cell r="AE29">
            <v>379933.98423121998</v>
          </cell>
          <cell r="AF29">
            <v>21</v>
          </cell>
          <cell r="AG29">
            <v>18092.094489999999</v>
          </cell>
          <cell r="AH29">
            <v>120</v>
          </cell>
          <cell r="AI29">
            <v>2</v>
          </cell>
          <cell r="AJ29">
            <v>12</v>
          </cell>
          <cell r="AK29">
            <v>33.235000000000007</v>
          </cell>
          <cell r="AL29">
            <v>2.1999999999999999E-2</v>
          </cell>
          <cell r="AM29">
            <v>234.48317199999997</v>
          </cell>
          <cell r="AN29" t="str">
            <v>K958</v>
          </cell>
          <cell r="AO29">
            <v>0.82910000000000006</v>
          </cell>
          <cell r="AP29">
            <v>3.3235000000000006</v>
          </cell>
        </row>
        <row r="30">
          <cell r="C30">
            <v>30205063</v>
          </cell>
          <cell r="D30" t="str">
            <v>SEAG PINTWGIN 70 24/375FSKNDUS</v>
          </cell>
          <cell r="E30" t="str">
            <v>FS04</v>
          </cell>
          <cell r="F30" t="str">
            <v>42GG01</v>
          </cell>
          <cell r="G30">
            <v>1160.3899999999999</v>
          </cell>
          <cell r="H30" t="str">
            <v>375</v>
          </cell>
          <cell r="I30" t="str">
            <v>MR42G04-V</v>
          </cell>
          <cell r="J30" t="str">
            <v>24</v>
          </cell>
          <cell r="K30">
            <v>27849.359999999997</v>
          </cell>
          <cell r="L30">
            <v>1</v>
          </cell>
          <cell r="M30">
            <v>1160.3899999999999</v>
          </cell>
          <cell r="N30">
            <v>4</v>
          </cell>
          <cell r="O30">
            <v>1</v>
          </cell>
          <cell r="P30">
            <v>1</v>
          </cell>
          <cell r="Q30">
            <v>6</v>
          </cell>
          <cell r="R30">
            <v>137.08000000000001</v>
          </cell>
          <cell r="S30">
            <v>43.49</v>
          </cell>
          <cell r="T30">
            <v>18.84</v>
          </cell>
          <cell r="U30">
            <v>199.41000000000003</v>
          </cell>
          <cell r="V30">
            <v>230</v>
          </cell>
          <cell r="W30">
            <v>13800</v>
          </cell>
          <cell r="X30">
            <v>0.45</v>
          </cell>
          <cell r="Y30">
            <v>6210</v>
          </cell>
          <cell r="Z30" t="str">
            <v>24</v>
          </cell>
          <cell r="AA30">
            <v>258.75</v>
          </cell>
          <cell r="AB30">
            <v>3.86</v>
          </cell>
          <cell r="AC30">
            <v>0.76970000000000005</v>
          </cell>
          <cell r="AD30">
            <v>893.15218299999992</v>
          </cell>
          <cell r="AE30">
            <v>379933.98423121998</v>
          </cell>
          <cell r="AF30">
            <v>21</v>
          </cell>
          <cell r="AG30">
            <v>18092.094489999999</v>
          </cell>
          <cell r="AH30">
            <v>120</v>
          </cell>
          <cell r="AI30">
            <v>2</v>
          </cell>
          <cell r="AJ30">
            <v>12</v>
          </cell>
          <cell r="AK30">
            <v>33.235000000000007</v>
          </cell>
          <cell r="AL30">
            <v>2.1999999999999999E-2</v>
          </cell>
          <cell r="AM30">
            <v>25.528579999999994</v>
          </cell>
          <cell r="AN30" t="str">
            <v>K959</v>
          </cell>
          <cell r="AO30">
            <v>1.0495000000000001</v>
          </cell>
          <cell r="AP30">
            <v>3.3235000000000006</v>
          </cell>
        </row>
        <row r="31">
          <cell r="C31">
            <v>30208062</v>
          </cell>
          <cell r="D31" t="str">
            <v>SEAG LMTW GIN 70 12/750 ND US</v>
          </cell>
          <cell r="E31" t="str">
            <v>FS01</v>
          </cell>
          <cell r="F31" t="str">
            <v>42CG01</v>
          </cell>
          <cell r="G31">
            <v>39711.231</v>
          </cell>
          <cell r="H31" t="str">
            <v>750</v>
          </cell>
          <cell r="I31" t="str">
            <v>MR42C01</v>
          </cell>
          <cell r="J31" t="str">
            <v>12</v>
          </cell>
          <cell r="K31">
            <v>476534.772</v>
          </cell>
          <cell r="L31">
            <v>1</v>
          </cell>
          <cell r="M31">
            <v>39711.231</v>
          </cell>
          <cell r="N31">
            <v>4</v>
          </cell>
          <cell r="O31">
            <v>1</v>
          </cell>
          <cell r="P31">
            <v>0</v>
          </cell>
          <cell r="Q31">
            <v>5</v>
          </cell>
          <cell r="R31">
            <v>137.08000000000001</v>
          </cell>
          <cell r="S31">
            <v>43.49</v>
          </cell>
          <cell r="T31">
            <v>0</v>
          </cell>
          <cell r="U31">
            <v>180.57000000000002</v>
          </cell>
          <cell r="V31">
            <v>165</v>
          </cell>
          <cell r="W31">
            <v>9900</v>
          </cell>
          <cell r="X31">
            <v>0.51</v>
          </cell>
          <cell r="Y31">
            <v>5049</v>
          </cell>
          <cell r="Z31" t="str">
            <v>12</v>
          </cell>
          <cell r="AA31">
            <v>420.75</v>
          </cell>
          <cell r="AB31">
            <v>2.38</v>
          </cell>
          <cell r="AC31">
            <v>0.42980000000000002</v>
          </cell>
          <cell r="AD31">
            <v>17067.8870838</v>
          </cell>
          <cell r="AE31">
            <v>444313.4545310181</v>
          </cell>
          <cell r="AF31">
            <v>15</v>
          </cell>
          <cell r="AG31">
            <v>29620.896970000002</v>
          </cell>
          <cell r="AH31">
            <v>120</v>
          </cell>
          <cell r="AI31">
            <v>2</v>
          </cell>
          <cell r="AJ31">
            <v>10</v>
          </cell>
          <cell r="AK31">
            <v>36.114000000000004</v>
          </cell>
          <cell r="AL31">
            <v>1.2200000000000001E-2</v>
          </cell>
          <cell r="AM31">
            <v>484.47701820000003</v>
          </cell>
          <cell r="AN31" t="str">
            <v>K958</v>
          </cell>
          <cell r="AO31">
            <v>0.45340000000000003</v>
          </cell>
          <cell r="AP31">
            <v>3.0095000000000005</v>
          </cell>
        </row>
        <row r="32">
          <cell r="C32">
            <v>30208063</v>
          </cell>
          <cell r="D32" t="str">
            <v>SEAG PINE TW GIN 70 12/750NDUS</v>
          </cell>
          <cell r="E32" t="str">
            <v>FS01</v>
          </cell>
          <cell r="F32" t="str">
            <v>42CG01</v>
          </cell>
          <cell r="G32">
            <v>1322.461</v>
          </cell>
          <cell r="H32" t="str">
            <v>750</v>
          </cell>
          <cell r="I32" t="str">
            <v>MR42C01</v>
          </cell>
          <cell r="J32" t="str">
            <v>12</v>
          </cell>
          <cell r="K32">
            <v>15869.531999999999</v>
          </cell>
          <cell r="L32">
            <v>1</v>
          </cell>
          <cell r="M32">
            <v>1322.461</v>
          </cell>
          <cell r="N32">
            <v>4</v>
          </cell>
          <cell r="O32">
            <v>1</v>
          </cell>
          <cell r="P32">
            <v>0</v>
          </cell>
          <cell r="Q32">
            <v>5</v>
          </cell>
          <cell r="R32">
            <v>137.08000000000001</v>
          </cell>
          <cell r="S32">
            <v>43.49</v>
          </cell>
          <cell r="T32">
            <v>0</v>
          </cell>
          <cell r="U32">
            <v>180.57000000000002</v>
          </cell>
          <cell r="V32">
            <v>165</v>
          </cell>
          <cell r="W32">
            <v>9900</v>
          </cell>
          <cell r="X32">
            <v>0.51</v>
          </cell>
          <cell r="Y32">
            <v>5049</v>
          </cell>
          <cell r="Z32" t="str">
            <v>12</v>
          </cell>
          <cell r="AA32">
            <v>420.75</v>
          </cell>
          <cell r="AB32">
            <v>2.38</v>
          </cell>
          <cell r="AC32">
            <v>0.42980000000000002</v>
          </cell>
          <cell r="AD32">
            <v>568.39373780000005</v>
          </cell>
          <cell r="AE32">
            <v>444313.4545310181</v>
          </cell>
          <cell r="AF32">
            <v>15</v>
          </cell>
          <cell r="AG32">
            <v>29620.896970000002</v>
          </cell>
          <cell r="AH32">
            <v>120</v>
          </cell>
          <cell r="AI32">
            <v>2</v>
          </cell>
          <cell r="AJ32">
            <v>10</v>
          </cell>
          <cell r="AK32">
            <v>36.114000000000004</v>
          </cell>
          <cell r="AL32">
            <v>1.2200000000000001E-2</v>
          </cell>
          <cell r="AM32">
            <v>16.134024200000002</v>
          </cell>
          <cell r="AN32" t="str">
            <v>K959</v>
          </cell>
          <cell r="AO32">
            <v>0.64680000000000004</v>
          </cell>
          <cell r="AP32">
            <v>3.0095000000000005</v>
          </cell>
        </row>
        <row r="33">
          <cell r="C33">
            <v>30208065</v>
          </cell>
          <cell r="D33" t="str">
            <v>SEAG APLTW GIN 70 12/750 NDUS</v>
          </cell>
          <cell r="E33" t="str">
            <v>FS01</v>
          </cell>
          <cell r="F33" t="str">
            <v>42CG01</v>
          </cell>
          <cell r="G33">
            <v>1546.867</v>
          </cell>
          <cell r="H33" t="str">
            <v>750</v>
          </cell>
          <cell r="I33" t="str">
            <v>MR42C01</v>
          </cell>
          <cell r="J33" t="str">
            <v>12</v>
          </cell>
          <cell r="K33">
            <v>18562.403999999999</v>
          </cell>
          <cell r="L33">
            <v>1</v>
          </cell>
          <cell r="M33">
            <v>1546.867</v>
          </cell>
          <cell r="N33">
            <v>4</v>
          </cell>
          <cell r="O33">
            <v>1</v>
          </cell>
          <cell r="P33">
            <v>0</v>
          </cell>
          <cell r="Q33">
            <v>5</v>
          </cell>
          <cell r="R33">
            <v>137.08000000000001</v>
          </cell>
          <cell r="S33">
            <v>43.49</v>
          </cell>
          <cell r="T33">
            <v>0</v>
          </cell>
          <cell r="U33">
            <v>180.57000000000002</v>
          </cell>
          <cell r="V33">
            <v>165</v>
          </cell>
          <cell r="W33">
            <v>9900</v>
          </cell>
          <cell r="X33">
            <v>0.51</v>
          </cell>
          <cell r="Y33">
            <v>5049</v>
          </cell>
          <cell r="Z33" t="str">
            <v>12</v>
          </cell>
          <cell r="AA33">
            <v>420.75</v>
          </cell>
          <cell r="AB33">
            <v>2.38</v>
          </cell>
          <cell r="AC33">
            <v>0.42980000000000002</v>
          </cell>
          <cell r="AD33">
            <v>664.84343660000002</v>
          </cell>
          <cell r="AE33">
            <v>444313.4545310181</v>
          </cell>
          <cell r="AF33">
            <v>15</v>
          </cell>
          <cell r="AG33">
            <v>29620.896970000002</v>
          </cell>
          <cell r="AH33">
            <v>120</v>
          </cell>
          <cell r="AI33">
            <v>2</v>
          </cell>
          <cell r="AJ33">
            <v>10</v>
          </cell>
          <cell r="AK33">
            <v>36.114000000000004</v>
          </cell>
          <cell r="AL33">
            <v>1.2200000000000001E-2</v>
          </cell>
          <cell r="AM33">
            <v>18.871777399999999</v>
          </cell>
          <cell r="AN33" t="str">
            <v>K956</v>
          </cell>
          <cell r="AO33">
            <v>0.55869999999999997</v>
          </cell>
          <cell r="AP33">
            <v>3.0095000000000005</v>
          </cell>
        </row>
        <row r="34">
          <cell r="C34">
            <v>30208066</v>
          </cell>
          <cell r="D34" t="str">
            <v>SEAG PCH TW GIN 70 12/750 NDUS</v>
          </cell>
          <cell r="E34" t="str">
            <v>FS01</v>
          </cell>
          <cell r="F34" t="str">
            <v>42CG01</v>
          </cell>
          <cell r="G34">
            <v>5871.9569999999994</v>
          </cell>
          <cell r="H34" t="str">
            <v>750</v>
          </cell>
          <cell r="I34" t="str">
            <v>MR42C01</v>
          </cell>
          <cell r="J34" t="str">
            <v>12</v>
          </cell>
          <cell r="K34">
            <v>70463.483999999997</v>
          </cell>
          <cell r="L34">
            <v>1</v>
          </cell>
          <cell r="M34">
            <v>5871.9569999999994</v>
          </cell>
          <cell r="N34">
            <v>4</v>
          </cell>
          <cell r="O34">
            <v>1</v>
          </cell>
          <cell r="P34">
            <v>0</v>
          </cell>
          <cell r="Q34">
            <v>5</v>
          </cell>
          <cell r="R34">
            <v>137.08000000000001</v>
          </cell>
          <cell r="S34">
            <v>43.49</v>
          </cell>
          <cell r="T34">
            <v>0</v>
          </cell>
          <cell r="U34">
            <v>180.57000000000002</v>
          </cell>
          <cell r="V34">
            <v>165</v>
          </cell>
          <cell r="W34">
            <v>9900</v>
          </cell>
          <cell r="X34">
            <v>0.51</v>
          </cell>
          <cell r="Y34">
            <v>5049</v>
          </cell>
          <cell r="Z34" t="str">
            <v>12</v>
          </cell>
          <cell r="AA34">
            <v>420.75</v>
          </cell>
          <cell r="AB34">
            <v>2.38</v>
          </cell>
          <cell r="AC34">
            <v>0.42980000000000002</v>
          </cell>
          <cell r="AD34">
            <v>2523.7671185999998</v>
          </cell>
          <cell r="AE34">
            <v>444313.4545310181</v>
          </cell>
          <cell r="AF34">
            <v>15</v>
          </cell>
          <cell r="AG34">
            <v>29620.896970000002</v>
          </cell>
          <cell r="AH34">
            <v>120</v>
          </cell>
          <cell r="AI34">
            <v>2</v>
          </cell>
          <cell r="AJ34">
            <v>10</v>
          </cell>
          <cell r="AK34">
            <v>36.114000000000004</v>
          </cell>
          <cell r="AL34">
            <v>1.2200000000000001E-2</v>
          </cell>
          <cell r="AM34">
            <v>71.637875399999999</v>
          </cell>
          <cell r="AN34" t="str">
            <v>K960</v>
          </cell>
          <cell r="AO34">
            <v>0.48809999999999998</v>
          </cell>
          <cell r="AP34">
            <v>3.0095000000000005</v>
          </cell>
        </row>
        <row r="35">
          <cell r="C35">
            <v>30208250</v>
          </cell>
          <cell r="D35" t="str">
            <v>SEAG WTRMN TW GIN 70 12/750 US</v>
          </cell>
          <cell r="E35" t="str">
            <v>FS01</v>
          </cell>
          <cell r="F35" t="str">
            <v>42CG01</v>
          </cell>
          <cell r="G35">
            <v>2777.2639999999997</v>
          </cell>
          <cell r="H35" t="str">
            <v>750</v>
          </cell>
          <cell r="I35" t="str">
            <v>MR42C01</v>
          </cell>
          <cell r="J35" t="str">
            <v>12</v>
          </cell>
          <cell r="K35">
            <v>33327.167999999998</v>
          </cell>
          <cell r="L35">
            <v>1</v>
          </cell>
          <cell r="M35">
            <v>2777.2639999999997</v>
          </cell>
          <cell r="N35">
            <v>4</v>
          </cell>
          <cell r="O35">
            <v>1</v>
          </cell>
          <cell r="P35">
            <v>0</v>
          </cell>
          <cell r="Q35">
            <v>5</v>
          </cell>
          <cell r="R35">
            <v>137.08000000000001</v>
          </cell>
          <cell r="S35">
            <v>43.49</v>
          </cell>
          <cell r="T35">
            <v>0</v>
          </cell>
          <cell r="U35">
            <v>180.57000000000002</v>
          </cell>
          <cell r="V35">
            <v>165</v>
          </cell>
          <cell r="W35">
            <v>9900</v>
          </cell>
          <cell r="X35">
            <v>0.51</v>
          </cell>
          <cell r="Y35">
            <v>5049</v>
          </cell>
          <cell r="Z35" t="str">
            <v>12</v>
          </cell>
          <cell r="AA35">
            <v>420.75</v>
          </cell>
          <cell r="AB35">
            <v>2.38</v>
          </cell>
          <cell r="AC35">
            <v>0.42980000000000002</v>
          </cell>
          <cell r="AD35">
            <v>1193.6680672</v>
          </cell>
          <cell r="AE35">
            <v>444313.4545310181</v>
          </cell>
          <cell r="AF35">
            <v>15</v>
          </cell>
          <cell r="AG35">
            <v>29620.896970000002</v>
          </cell>
          <cell r="AH35">
            <v>120</v>
          </cell>
          <cell r="AI35">
            <v>2</v>
          </cell>
          <cell r="AJ35">
            <v>10</v>
          </cell>
          <cell r="AK35">
            <v>36.114000000000004</v>
          </cell>
          <cell r="AL35">
            <v>1.2200000000000001E-2</v>
          </cell>
          <cell r="AM35">
            <v>33.882620799999998</v>
          </cell>
          <cell r="AN35" t="str">
            <v>K963</v>
          </cell>
          <cell r="AO35">
            <v>0.49080000000000001</v>
          </cell>
          <cell r="AP35">
            <v>3.0095000000000005</v>
          </cell>
        </row>
        <row r="36">
          <cell r="C36">
            <v>30209062</v>
          </cell>
          <cell r="D36" t="str">
            <v>SEAG LMTW GIN 70 12/1L ND US</v>
          </cell>
          <cell r="E36" t="str">
            <v>FS01</v>
          </cell>
          <cell r="F36" t="str">
            <v>42BG01</v>
          </cell>
          <cell r="G36">
            <v>8829.512999999999</v>
          </cell>
          <cell r="H36">
            <v>1000</v>
          </cell>
          <cell r="I36" t="str">
            <v>MR42B01-V</v>
          </cell>
          <cell r="J36" t="str">
            <v>12</v>
          </cell>
          <cell r="K36">
            <v>105954.15599999999</v>
          </cell>
          <cell r="L36">
            <v>1.3332999999999999</v>
          </cell>
          <cell r="M36">
            <v>11772.389682899999</v>
          </cell>
          <cell r="N36">
            <v>4</v>
          </cell>
          <cell r="O36">
            <v>1</v>
          </cell>
          <cell r="P36">
            <v>0</v>
          </cell>
          <cell r="Q36">
            <v>5</v>
          </cell>
          <cell r="R36">
            <v>137.08000000000001</v>
          </cell>
          <cell r="S36">
            <v>43.49</v>
          </cell>
          <cell r="T36">
            <v>0</v>
          </cell>
          <cell r="U36">
            <v>180.57000000000002</v>
          </cell>
          <cell r="V36">
            <v>140</v>
          </cell>
          <cell r="W36">
            <v>8400</v>
          </cell>
          <cell r="X36">
            <v>0.5</v>
          </cell>
          <cell r="Y36">
            <v>4200</v>
          </cell>
          <cell r="Z36" t="str">
            <v>12</v>
          </cell>
          <cell r="AA36">
            <v>350</v>
          </cell>
          <cell r="AB36">
            <v>2.86</v>
          </cell>
          <cell r="AC36">
            <v>0.51639999999999997</v>
          </cell>
          <cell r="AD36">
            <v>4559.5605131999991</v>
          </cell>
          <cell r="AE36">
            <v>101978.63212230999</v>
          </cell>
          <cell r="AF36">
            <v>10</v>
          </cell>
          <cell r="AG36">
            <v>10197.86321</v>
          </cell>
          <cell r="AH36">
            <v>120</v>
          </cell>
          <cell r="AI36">
            <v>2</v>
          </cell>
          <cell r="AJ36">
            <v>10</v>
          </cell>
          <cell r="AK36">
            <v>36.114000000000004</v>
          </cell>
          <cell r="AL36">
            <v>3.5400000000000001E-2</v>
          </cell>
          <cell r="AM36">
            <v>312.56476019999997</v>
          </cell>
          <cell r="AN36" t="str">
            <v>K958</v>
          </cell>
          <cell r="AO36">
            <v>0.57229999999999992</v>
          </cell>
          <cell r="AP36">
            <v>3.0095000000000005</v>
          </cell>
        </row>
        <row r="37">
          <cell r="C37">
            <v>30212062</v>
          </cell>
          <cell r="D37" t="str">
            <v>SEAG LMTW GIN 70 6/1.75 ND US</v>
          </cell>
          <cell r="E37" t="str">
            <v>FS12</v>
          </cell>
          <cell r="F37" t="str">
            <v>42AG01</v>
          </cell>
          <cell r="G37">
            <v>83741.797999999995</v>
          </cell>
          <cell r="H37">
            <v>1750</v>
          </cell>
          <cell r="I37" t="str">
            <v>MR42A12</v>
          </cell>
          <cell r="J37" t="str">
            <v>6</v>
          </cell>
          <cell r="K37">
            <v>502450.78799999994</v>
          </cell>
          <cell r="L37">
            <v>1.1667000000000001</v>
          </cell>
          <cell r="M37">
            <v>97701.555726599996</v>
          </cell>
          <cell r="N37">
            <v>4</v>
          </cell>
          <cell r="O37">
            <v>1</v>
          </cell>
          <cell r="P37">
            <v>0</v>
          </cell>
          <cell r="Q37">
            <v>5</v>
          </cell>
          <cell r="R37">
            <v>137.08000000000001</v>
          </cell>
          <cell r="S37">
            <v>43.49</v>
          </cell>
          <cell r="T37">
            <v>0</v>
          </cell>
          <cell r="U37">
            <v>180.57000000000002</v>
          </cell>
          <cell r="V37">
            <v>130</v>
          </cell>
          <cell r="W37">
            <v>7800</v>
          </cell>
          <cell r="X37">
            <v>0.65</v>
          </cell>
          <cell r="Y37">
            <v>5070</v>
          </cell>
          <cell r="Z37" t="str">
            <v>6</v>
          </cell>
          <cell r="AA37">
            <v>845</v>
          </cell>
          <cell r="AB37">
            <v>1.18</v>
          </cell>
          <cell r="AC37">
            <v>0.21310000000000001</v>
          </cell>
          <cell r="AD37">
            <v>17845.3771538</v>
          </cell>
          <cell r="AE37">
            <v>765583.68283178681</v>
          </cell>
          <cell r="AF37">
            <v>13</v>
          </cell>
          <cell r="AG37">
            <v>58891.052530000001</v>
          </cell>
          <cell r="AH37">
            <v>120</v>
          </cell>
          <cell r="AI37">
            <v>2</v>
          </cell>
          <cell r="AJ37">
            <v>10</v>
          </cell>
          <cell r="AK37">
            <v>36.114000000000004</v>
          </cell>
          <cell r="AL37">
            <v>6.1000000000000004E-3</v>
          </cell>
          <cell r="AM37">
            <v>510.82496780000002</v>
          </cell>
          <cell r="AN37" t="str">
            <v>K958</v>
          </cell>
          <cell r="AO37">
            <v>0.2311</v>
          </cell>
          <cell r="AP37">
            <v>3.0095000000000005</v>
          </cell>
        </row>
        <row r="38">
          <cell r="C38">
            <v>30212063</v>
          </cell>
          <cell r="D38" t="str">
            <v>SEAG PINE TW GIN 70 6/1.75NDUS</v>
          </cell>
          <cell r="E38" t="str">
            <v>FS12</v>
          </cell>
          <cell r="F38" t="str">
            <v>42AG01</v>
          </cell>
          <cell r="G38">
            <v>2994.9569999999999</v>
          </cell>
          <cell r="H38">
            <v>1750</v>
          </cell>
          <cell r="I38" t="str">
            <v>MR42A12-V</v>
          </cell>
          <cell r="J38" t="str">
            <v>6</v>
          </cell>
          <cell r="K38">
            <v>17969.741999999998</v>
          </cell>
          <cell r="L38">
            <v>1.1667000000000001</v>
          </cell>
          <cell r="M38">
            <v>3494.2163319000001</v>
          </cell>
          <cell r="N38">
            <v>4</v>
          </cell>
          <cell r="O38">
            <v>1</v>
          </cell>
          <cell r="P38">
            <v>0</v>
          </cell>
          <cell r="Q38">
            <v>5</v>
          </cell>
          <cell r="R38">
            <v>137.08000000000001</v>
          </cell>
          <cell r="S38">
            <v>43.49</v>
          </cell>
          <cell r="T38">
            <v>0</v>
          </cell>
          <cell r="U38">
            <v>180.57000000000002</v>
          </cell>
          <cell r="V38">
            <v>130</v>
          </cell>
          <cell r="W38">
            <v>7800</v>
          </cell>
          <cell r="X38">
            <v>0.65</v>
          </cell>
          <cell r="Y38">
            <v>5070</v>
          </cell>
          <cell r="Z38" t="str">
            <v>6</v>
          </cell>
          <cell r="AA38">
            <v>845</v>
          </cell>
          <cell r="AB38">
            <v>1.18</v>
          </cell>
          <cell r="AC38">
            <v>0.21310000000000001</v>
          </cell>
          <cell r="AD38">
            <v>638.22533669999996</v>
          </cell>
          <cell r="AE38">
            <v>765583.68283178681</v>
          </cell>
          <cell r="AF38">
            <v>13</v>
          </cell>
          <cell r="AG38">
            <v>58891.052530000001</v>
          </cell>
          <cell r="AH38">
            <v>120</v>
          </cell>
          <cell r="AI38">
            <v>2</v>
          </cell>
          <cell r="AJ38">
            <v>10</v>
          </cell>
          <cell r="AK38">
            <v>36.114000000000004</v>
          </cell>
          <cell r="AL38">
            <v>6.1000000000000004E-3</v>
          </cell>
          <cell r="AM38">
            <v>18.269237700000001</v>
          </cell>
          <cell r="AN38" t="str">
            <v>K959</v>
          </cell>
          <cell r="AO38">
            <v>0.30959999999999999</v>
          </cell>
          <cell r="AP38">
            <v>3.0095000000000005</v>
          </cell>
        </row>
        <row r="39">
          <cell r="C39">
            <v>30212064</v>
          </cell>
          <cell r="D39" t="str">
            <v>SEAG GRPTW GIN 70 6/1.75 ND US</v>
          </cell>
          <cell r="E39" t="str">
            <v>FS12</v>
          </cell>
          <cell r="F39" t="str">
            <v>42AG01</v>
          </cell>
          <cell r="G39">
            <v>941.73799999999994</v>
          </cell>
          <cell r="H39">
            <v>1750</v>
          </cell>
          <cell r="I39" t="str">
            <v>MR42A12</v>
          </cell>
          <cell r="J39" t="str">
            <v>6</v>
          </cell>
          <cell r="K39">
            <v>5650.4279999999999</v>
          </cell>
          <cell r="L39">
            <v>1.1667000000000001</v>
          </cell>
          <cell r="M39">
            <v>1098.7257245999999</v>
          </cell>
          <cell r="N39">
            <v>4</v>
          </cell>
          <cell r="O39">
            <v>1</v>
          </cell>
          <cell r="P39">
            <v>0</v>
          </cell>
          <cell r="Q39">
            <v>5</v>
          </cell>
          <cell r="R39">
            <v>137.08000000000001</v>
          </cell>
          <cell r="S39">
            <v>43.49</v>
          </cell>
          <cell r="T39">
            <v>0</v>
          </cell>
          <cell r="U39">
            <v>180.57000000000002</v>
          </cell>
          <cell r="V39">
            <v>130</v>
          </cell>
          <cell r="W39">
            <v>7800</v>
          </cell>
          <cell r="X39">
            <v>0.65</v>
          </cell>
          <cell r="Y39">
            <v>5070</v>
          </cell>
          <cell r="Z39" t="str">
            <v>6</v>
          </cell>
          <cell r="AA39">
            <v>845</v>
          </cell>
          <cell r="AB39">
            <v>1.18</v>
          </cell>
          <cell r="AC39">
            <v>0.21310000000000001</v>
          </cell>
          <cell r="AD39">
            <v>200.68436779999999</v>
          </cell>
          <cell r="AE39">
            <v>765583.68283178681</v>
          </cell>
          <cell r="AF39">
            <v>13</v>
          </cell>
          <cell r="AG39">
            <v>58891.052530000001</v>
          </cell>
          <cell r="AH39">
            <v>120</v>
          </cell>
          <cell r="AI39">
            <v>2</v>
          </cell>
          <cell r="AJ39">
            <v>10</v>
          </cell>
          <cell r="AK39">
            <v>36.114000000000004</v>
          </cell>
          <cell r="AL39">
            <v>6.1000000000000004E-3</v>
          </cell>
          <cell r="AM39">
            <v>5.7446017999999999</v>
          </cell>
          <cell r="AN39" t="str">
            <v>K957</v>
          </cell>
          <cell r="AO39">
            <v>0.41090000000000004</v>
          </cell>
          <cell r="AP39">
            <v>3.0095000000000005</v>
          </cell>
        </row>
        <row r="40">
          <cell r="C40">
            <v>30212066</v>
          </cell>
          <cell r="D40" t="str">
            <v>SEAG PCH TW GIN 70 6/1.75 NDUS</v>
          </cell>
          <cell r="E40" t="str">
            <v>FS12</v>
          </cell>
          <cell r="F40" t="str">
            <v>42AG01</v>
          </cell>
          <cell r="G40">
            <v>2846.3119999999999</v>
          </cell>
          <cell r="H40">
            <v>1750</v>
          </cell>
          <cell r="I40" t="str">
            <v>MR42A12-V</v>
          </cell>
          <cell r="J40" t="str">
            <v>6</v>
          </cell>
          <cell r="K40">
            <v>17077.871999999999</v>
          </cell>
          <cell r="L40">
            <v>1.1667000000000001</v>
          </cell>
          <cell r="M40">
            <v>3320.7922103999999</v>
          </cell>
          <cell r="N40">
            <v>4</v>
          </cell>
          <cell r="O40">
            <v>1</v>
          </cell>
          <cell r="P40">
            <v>0</v>
          </cell>
          <cell r="Q40">
            <v>5</v>
          </cell>
          <cell r="R40">
            <v>137.08000000000001</v>
          </cell>
          <cell r="S40">
            <v>43.49</v>
          </cell>
          <cell r="T40">
            <v>0</v>
          </cell>
          <cell r="U40">
            <v>180.57000000000002</v>
          </cell>
          <cell r="V40">
            <v>130</v>
          </cell>
          <cell r="W40">
            <v>7800</v>
          </cell>
          <cell r="X40">
            <v>0.65</v>
          </cell>
          <cell r="Y40">
            <v>5070</v>
          </cell>
          <cell r="Z40" t="str">
            <v>6</v>
          </cell>
          <cell r="AA40">
            <v>845</v>
          </cell>
          <cell r="AB40">
            <v>1.18</v>
          </cell>
          <cell r="AC40">
            <v>0.21310000000000001</v>
          </cell>
          <cell r="AD40">
            <v>606.54908720000003</v>
          </cell>
          <cell r="AE40">
            <v>765583.68283178681</v>
          </cell>
          <cell r="AF40">
            <v>13</v>
          </cell>
          <cell r="AG40">
            <v>58891.052530000001</v>
          </cell>
          <cell r="AH40">
            <v>120</v>
          </cell>
          <cell r="AI40">
            <v>2</v>
          </cell>
          <cell r="AJ40">
            <v>10</v>
          </cell>
          <cell r="AK40">
            <v>36.114000000000004</v>
          </cell>
          <cell r="AL40">
            <v>6.1000000000000004E-3</v>
          </cell>
          <cell r="AM40">
            <v>17.362503199999999</v>
          </cell>
          <cell r="AN40" t="str">
            <v>K960</v>
          </cell>
          <cell r="AO40">
            <v>0.26680000000000004</v>
          </cell>
          <cell r="AP40">
            <v>3.0095000000000005</v>
          </cell>
        </row>
        <row r="41">
          <cell r="C41">
            <v>30212250</v>
          </cell>
          <cell r="D41" t="str">
            <v>SEAG WTRMN TW GIN 70 6/1.75 US</v>
          </cell>
          <cell r="E41" t="str">
            <v>FS12</v>
          </cell>
          <cell r="F41" t="str">
            <v>42AG01</v>
          </cell>
          <cell r="G41">
            <v>2823.2959999999998</v>
          </cell>
          <cell r="H41">
            <v>1750</v>
          </cell>
          <cell r="I41" t="str">
            <v>MR42A12</v>
          </cell>
          <cell r="J41" t="str">
            <v>6</v>
          </cell>
          <cell r="K41">
            <v>16939.775999999998</v>
          </cell>
          <cell r="L41">
            <v>1.1667000000000001</v>
          </cell>
          <cell r="M41">
            <v>3293.9394431999999</v>
          </cell>
          <cell r="N41">
            <v>4</v>
          </cell>
          <cell r="O41">
            <v>1</v>
          </cell>
          <cell r="P41">
            <v>0</v>
          </cell>
          <cell r="Q41">
            <v>5</v>
          </cell>
          <cell r="R41">
            <v>137.08000000000001</v>
          </cell>
          <cell r="S41">
            <v>43.49</v>
          </cell>
          <cell r="T41">
            <v>0</v>
          </cell>
          <cell r="U41">
            <v>180.57000000000002</v>
          </cell>
          <cell r="V41">
            <v>130</v>
          </cell>
          <cell r="W41">
            <v>7800</v>
          </cell>
          <cell r="X41">
            <v>0.65</v>
          </cell>
          <cell r="Y41">
            <v>5070</v>
          </cell>
          <cell r="Z41" t="str">
            <v>6</v>
          </cell>
          <cell r="AA41">
            <v>845</v>
          </cell>
          <cell r="AB41">
            <v>1.18</v>
          </cell>
          <cell r="AC41">
            <v>0.21310000000000001</v>
          </cell>
          <cell r="AD41">
            <v>601.64437759999998</v>
          </cell>
          <cell r="AE41">
            <v>765583.68283178681</v>
          </cell>
          <cell r="AF41">
            <v>13</v>
          </cell>
          <cell r="AG41">
            <v>58891.052530000001</v>
          </cell>
          <cell r="AH41">
            <v>120</v>
          </cell>
          <cell r="AI41">
            <v>2</v>
          </cell>
          <cell r="AJ41">
            <v>10</v>
          </cell>
          <cell r="AK41">
            <v>36.114000000000004</v>
          </cell>
          <cell r="AL41">
            <v>6.1000000000000004E-3</v>
          </cell>
          <cell r="AM41">
            <v>17.222105599999999</v>
          </cell>
          <cell r="AN41" t="str">
            <v>K963</v>
          </cell>
          <cell r="AO41">
            <v>0.26719999999999999</v>
          </cell>
          <cell r="AP41">
            <v>3.0095000000000005</v>
          </cell>
        </row>
        <row r="42">
          <cell r="C42">
            <v>30405006</v>
          </cell>
          <cell r="D42" t="str">
            <v>SEAG DSTRSVGIN94 24/375NDFSKUS</v>
          </cell>
          <cell r="E42" t="str">
            <v>FS04</v>
          </cell>
          <cell r="F42" t="str">
            <v>42GG09</v>
          </cell>
          <cell r="G42">
            <v>3226.6240000000003</v>
          </cell>
          <cell r="H42" t="str">
            <v>375</v>
          </cell>
          <cell r="I42" t="str">
            <v>MR42G04-V</v>
          </cell>
          <cell r="J42" t="str">
            <v>24</v>
          </cell>
          <cell r="K42">
            <v>77438.97600000001</v>
          </cell>
          <cell r="L42">
            <v>1</v>
          </cell>
          <cell r="M42">
            <v>3226.6240000000003</v>
          </cell>
          <cell r="N42">
            <v>4</v>
          </cell>
          <cell r="O42">
            <v>1</v>
          </cell>
          <cell r="P42">
            <v>1</v>
          </cell>
          <cell r="Q42">
            <v>6</v>
          </cell>
          <cell r="R42">
            <v>137.08000000000001</v>
          </cell>
          <cell r="S42">
            <v>43.49</v>
          </cell>
          <cell r="T42">
            <v>18.84</v>
          </cell>
          <cell r="U42">
            <v>199.41000000000003</v>
          </cell>
          <cell r="V42">
            <v>230</v>
          </cell>
          <cell r="W42">
            <v>13800</v>
          </cell>
          <cell r="X42">
            <v>0.45</v>
          </cell>
          <cell r="Y42">
            <v>6210</v>
          </cell>
          <cell r="Z42" t="str">
            <v>24</v>
          </cell>
          <cell r="AA42">
            <v>258.75</v>
          </cell>
          <cell r="AB42">
            <v>3.86</v>
          </cell>
          <cell r="AC42">
            <v>0.76970000000000005</v>
          </cell>
          <cell r="AD42">
            <v>2483.5324928000005</v>
          </cell>
          <cell r="AE42">
            <v>3226.6240000000003</v>
          </cell>
          <cell r="AF42">
            <v>1</v>
          </cell>
          <cell r="AG42">
            <v>3226.6239999999998</v>
          </cell>
          <cell r="AH42">
            <v>120</v>
          </cell>
          <cell r="AI42">
            <v>2</v>
          </cell>
          <cell r="AJ42">
            <v>12</v>
          </cell>
          <cell r="AK42">
            <v>33.235000000000007</v>
          </cell>
          <cell r="AL42">
            <v>0.1236</v>
          </cell>
          <cell r="AM42">
            <v>398.81072640000002</v>
          </cell>
          <cell r="AN42" t="str">
            <v>K955</v>
          </cell>
          <cell r="AO42">
            <v>0.92420000000000013</v>
          </cell>
          <cell r="AP42">
            <v>3.3235000000000006</v>
          </cell>
        </row>
        <row r="43">
          <cell r="C43">
            <v>30408006</v>
          </cell>
          <cell r="D43" t="str">
            <v>SEAG DSTRSVGIN94 12/750 ND US</v>
          </cell>
          <cell r="E43" t="str">
            <v>FS01</v>
          </cell>
          <cell r="F43" t="str">
            <v>42CG09</v>
          </cell>
          <cell r="G43">
            <v>7629.8240000000005</v>
          </cell>
          <cell r="H43" t="str">
            <v>750</v>
          </cell>
          <cell r="I43" t="str">
            <v>MR42C01</v>
          </cell>
          <cell r="J43" t="str">
            <v>12</v>
          </cell>
          <cell r="K43">
            <v>91557.888000000006</v>
          </cell>
          <cell r="L43">
            <v>1</v>
          </cell>
          <cell r="M43">
            <v>7629.8240000000005</v>
          </cell>
          <cell r="N43">
            <v>4</v>
          </cell>
          <cell r="O43">
            <v>1</v>
          </cell>
          <cell r="P43">
            <v>0</v>
          </cell>
          <cell r="Q43">
            <v>5</v>
          </cell>
          <cell r="R43">
            <v>137.08000000000001</v>
          </cell>
          <cell r="S43">
            <v>43.49</v>
          </cell>
          <cell r="T43">
            <v>0</v>
          </cell>
          <cell r="U43">
            <v>180.57000000000002</v>
          </cell>
          <cell r="V43">
            <v>165</v>
          </cell>
          <cell r="W43">
            <v>9900</v>
          </cell>
          <cell r="X43">
            <v>0.51</v>
          </cell>
          <cell r="Y43">
            <v>5049</v>
          </cell>
          <cell r="Z43" t="str">
            <v>12</v>
          </cell>
          <cell r="AA43">
            <v>420.75</v>
          </cell>
          <cell r="AB43">
            <v>2.38</v>
          </cell>
          <cell r="AC43">
            <v>0.42980000000000002</v>
          </cell>
          <cell r="AD43">
            <v>3279.2983552000005</v>
          </cell>
          <cell r="AE43">
            <v>7629.8240000000005</v>
          </cell>
          <cell r="AF43">
            <v>2</v>
          </cell>
          <cell r="AG43">
            <v>3814.9119999999998</v>
          </cell>
          <cell r="AH43">
            <v>120</v>
          </cell>
          <cell r="AI43">
            <v>2</v>
          </cell>
          <cell r="AJ43">
            <v>10</v>
          </cell>
          <cell r="AK43">
            <v>36.114000000000004</v>
          </cell>
          <cell r="AL43">
            <v>9.4700000000000006E-2</v>
          </cell>
          <cell r="AM43">
            <v>722.54433280000012</v>
          </cell>
          <cell r="AN43" t="str">
            <v>K955</v>
          </cell>
          <cell r="AO43">
            <v>0.54820000000000002</v>
          </cell>
          <cell r="AP43">
            <v>3.0095000000000005</v>
          </cell>
        </row>
        <row r="44">
          <cell r="C44">
            <v>30412006</v>
          </cell>
          <cell r="D44" t="str">
            <v>SEAG DSTRSVGIN 94 6/1.75 ND US</v>
          </cell>
          <cell r="E44" t="str">
            <v>FS12</v>
          </cell>
          <cell r="F44" t="str">
            <v>42AG09</v>
          </cell>
          <cell r="G44">
            <v>16021.504000000001</v>
          </cell>
          <cell r="H44">
            <v>1750</v>
          </cell>
          <cell r="I44" t="str">
            <v>MR42A12</v>
          </cell>
          <cell r="J44" t="str">
            <v>6</v>
          </cell>
          <cell r="K44">
            <v>96129.024000000005</v>
          </cell>
          <cell r="L44">
            <v>1.1667000000000001</v>
          </cell>
          <cell r="M44">
            <v>18692.288716800002</v>
          </cell>
          <cell r="N44">
            <v>4</v>
          </cell>
          <cell r="O44">
            <v>1</v>
          </cell>
          <cell r="P44">
            <v>0</v>
          </cell>
          <cell r="Q44">
            <v>5</v>
          </cell>
          <cell r="R44">
            <v>137.08000000000001</v>
          </cell>
          <cell r="S44">
            <v>43.49</v>
          </cell>
          <cell r="T44">
            <v>0</v>
          </cell>
          <cell r="U44">
            <v>180.57000000000002</v>
          </cell>
          <cell r="V44">
            <v>130</v>
          </cell>
          <cell r="W44">
            <v>7800</v>
          </cell>
          <cell r="X44">
            <v>0.65</v>
          </cell>
          <cell r="Y44">
            <v>5070</v>
          </cell>
          <cell r="Z44" t="str">
            <v>6</v>
          </cell>
          <cell r="AA44">
            <v>845</v>
          </cell>
          <cell r="AB44">
            <v>1.18</v>
          </cell>
          <cell r="AC44">
            <v>0.21310000000000001</v>
          </cell>
          <cell r="AD44">
            <v>3414.1825024000004</v>
          </cell>
          <cell r="AE44">
            <v>16021.504000000001</v>
          </cell>
          <cell r="AF44">
            <v>2</v>
          </cell>
          <cell r="AG44">
            <v>8010.7520000000004</v>
          </cell>
          <cell r="AH44">
            <v>120</v>
          </cell>
          <cell r="AI44">
            <v>2</v>
          </cell>
          <cell r="AJ44">
            <v>10</v>
          </cell>
          <cell r="AK44">
            <v>36.114000000000004</v>
          </cell>
          <cell r="AL44">
            <v>4.5100000000000001E-2</v>
          </cell>
          <cell r="AM44">
            <v>722.5698304</v>
          </cell>
          <cell r="AN44" t="str">
            <v>K955</v>
          </cell>
          <cell r="AO44">
            <v>0.26949999999999996</v>
          </cell>
          <cell r="AP44">
            <v>3.0095000000000005</v>
          </cell>
        </row>
        <row r="45">
          <cell r="C45">
            <v>45512006</v>
          </cell>
          <cell r="D45" t="str">
            <v>PASSPORT 80P 6/1.75 PT ND US</v>
          </cell>
          <cell r="E45" t="str">
            <v>FS12</v>
          </cell>
          <cell r="F45" t="str">
            <v>33AP03</v>
          </cell>
          <cell r="G45">
            <v>15000</v>
          </cell>
          <cell r="H45">
            <v>1750</v>
          </cell>
          <cell r="I45" t="str">
            <v>MR08A12</v>
          </cell>
          <cell r="J45" t="str">
            <v>6</v>
          </cell>
          <cell r="K45">
            <v>90000</v>
          </cell>
          <cell r="L45">
            <v>1.1667000000000001</v>
          </cell>
          <cell r="M45">
            <v>17500.5</v>
          </cell>
          <cell r="N45">
            <v>4</v>
          </cell>
          <cell r="O45">
            <v>1</v>
          </cell>
          <cell r="P45">
            <v>0</v>
          </cell>
          <cell r="Q45">
            <v>5</v>
          </cell>
          <cell r="R45">
            <v>137.08000000000001</v>
          </cell>
          <cell r="S45">
            <v>43.49</v>
          </cell>
          <cell r="T45">
            <v>0</v>
          </cell>
          <cell r="U45">
            <v>180.57000000000002</v>
          </cell>
          <cell r="V45">
            <v>110</v>
          </cell>
          <cell r="W45">
            <v>6600</v>
          </cell>
          <cell r="X45">
            <v>0.55000000000000004</v>
          </cell>
          <cell r="Y45">
            <v>3630.0000000000005</v>
          </cell>
          <cell r="Z45" t="str">
            <v>6</v>
          </cell>
          <cell r="AA45">
            <v>605.00000000000011</v>
          </cell>
          <cell r="AB45">
            <v>1.65</v>
          </cell>
          <cell r="AC45">
            <v>0.2979</v>
          </cell>
          <cell r="AD45">
            <v>4468.5</v>
          </cell>
          <cell r="AE45">
            <v>15000</v>
          </cell>
          <cell r="AF45">
            <v>3</v>
          </cell>
          <cell r="AG45">
            <v>5000</v>
          </cell>
          <cell r="AH45">
            <v>120</v>
          </cell>
          <cell r="AI45">
            <v>2</v>
          </cell>
          <cell r="AJ45">
            <v>10</v>
          </cell>
          <cell r="AK45">
            <v>36.114000000000004</v>
          </cell>
          <cell r="AL45">
            <v>7.22E-2</v>
          </cell>
          <cell r="AM45">
            <v>1083</v>
          </cell>
          <cell r="AN45" t="str">
            <v>J129</v>
          </cell>
          <cell r="AO45">
            <v>0.47839999999999999</v>
          </cell>
          <cell r="AP45">
            <v>3.0095000000000005</v>
          </cell>
        </row>
        <row r="46">
          <cell r="C46">
            <v>61000003</v>
          </cell>
          <cell r="D46" t="str">
            <v>HW BLKBDY 70 120/50 SW PT US</v>
          </cell>
          <cell r="E46" t="str">
            <v>FS03</v>
          </cell>
          <cell r="F46" t="str">
            <v>08FP02</v>
          </cell>
          <cell r="G46">
            <v>1283.6559999999999</v>
          </cell>
          <cell r="H46" t="str">
            <v>50</v>
          </cell>
          <cell r="I46" t="str">
            <v>MR08F03</v>
          </cell>
          <cell r="J46" t="str">
            <v>120</v>
          </cell>
          <cell r="K46">
            <v>154038.72</v>
          </cell>
          <cell r="L46">
            <v>0.66669999999999996</v>
          </cell>
          <cell r="M46">
            <v>855.81345519999991</v>
          </cell>
          <cell r="N46">
            <v>4</v>
          </cell>
          <cell r="O46">
            <v>1</v>
          </cell>
          <cell r="P46">
            <v>0</v>
          </cell>
          <cell r="Q46">
            <v>5</v>
          </cell>
          <cell r="R46">
            <v>137.08000000000001</v>
          </cell>
          <cell r="S46">
            <v>43.49</v>
          </cell>
          <cell r="T46">
            <v>0</v>
          </cell>
          <cell r="U46">
            <v>180.57000000000002</v>
          </cell>
          <cell r="V46">
            <v>380</v>
          </cell>
          <cell r="W46">
            <v>22800</v>
          </cell>
          <cell r="X46">
            <v>0.45</v>
          </cell>
          <cell r="Y46">
            <v>10260</v>
          </cell>
          <cell r="Z46" t="str">
            <v>120</v>
          </cell>
          <cell r="AA46">
            <v>85.5</v>
          </cell>
          <cell r="AB46">
            <v>11.7</v>
          </cell>
          <cell r="AC46">
            <v>2.1126999999999998</v>
          </cell>
          <cell r="AD46">
            <v>2711.9800311999998</v>
          </cell>
          <cell r="AE46">
            <v>1283.6559999999999</v>
          </cell>
          <cell r="AF46">
            <v>2</v>
          </cell>
          <cell r="AG46">
            <v>641.82799999999997</v>
          </cell>
          <cell r="AH46">
            <v>120</v>
          </cell>
          <cell r="AI46">
            <v>2</v>
          </cell>
          <cell r="AJ46">
            <v>10</v>
          </cell>
          <cell r="AK46">
            <v>36.114000000000004</v>
          </cell>
          <cell r="AL46">
            <v>0.56269999999999998</v>
          </cell>
          <cell r="AM46">
            <v>722.3132311999999</v>
          </cell>
          <cell r="AN46" t="str">
            <v>K578</v>
          </cell>
          <cell r="AO46">
            <v>2.8863999999999996</v>
          </cell>
          <cell r="AP46">
            <v>3.0095000000000005</v>
          </cell>
        </row>
        <row r="47">
          <cell r="C47">
            <v>61005002</v>
          </cell>
          <cell r="D47" t="str">
            <v>HW BLKBDY 70 24/375 NB FSK US</v>
          </cell>
          <cell r="E47" t="str">
            <v>FS04</v>
          </cell>
          <cell r="F47" t="str">
            <v>09GG02</v>
          </cell>
          <cell r="G47">
            <v>2487.8380000000002</v>
          </cell>
          <cell r="H47" t="str">
            <v>375</v>
          </cell>
          <cell r="I47" t="str">
            <v>MR09G04</v>
          </cell>
          <cell r="J47" t="str">
            <v>24</v>
          </cell>
          <cell r="K47">
            <v>59708.112000000008</v>
          </cell>
          <cell r="L47">
            <v>1</v>
          </cell>
          <cell r="M47">
            <v>2487.8380000000002</v>
          </cell>
          <cell r="N47">
            <v>4</v>
          </cell>
          <cell r="O47">
            <v>1</v>
          </cell>
          <cell r="P47">
            <v>1</v>
          </cell>
          <cell r="Q47">
            <v>6</v>
          </cell>
          <cell r="R47">
            <v>137.08000000000001</v>
          </cell>
          <cell r="S47">
            <v>43.49</v>
          </cell>
          <cell r="T47">
            <v>18.84</v>
          </cell>
          <cell r="U47">
            <v>199.41000000000003</v>
          </cell>
          <cell r="V47">
            <v>230</v>
          </cell>
          <cell r="W47">
            <v>13800</v>
          </cell>
          <cell r="X47">
            <v>0.45</v>
          </cell>
          <cell r="Y47">
            <v>6210</v>
          </cell>
          <cell r="Z47" t="str">
            <v>24</v>
          </cell>
          <cell r="AA47">
            <v>258.75</v>
          </cell>
          <cell r="AB47">
            <v>3.86</v>
          </cell>
          <cell r="AC47">
            <v>0.76970000000000005</v>
          </cell>
          <cell r="AD47">
            <v>1914.8889086000004</v>
          </cell>
          <cell r="AE47">
            <v>7622.2139999999999</v>
          </cell>
          <cell r="AF47">
            <v>3</v>
          </cell>
          <cell r="AG47">
            <v>2540.7379999999998</v>
          </cell>
          <cell r="AH47">
            <v>120</v>
          </cell>
          <cell r="AI47">
            <v>2</v>
          </cell>
          <cell r="AJ47">
            <v>12</v>
          </cell>
          <cell r="AK47">
            <v>33.235000000000007</v>
          </cell>
          <cell r="AL47">
            <v>0.157</v>
          </cell>
          <cell r="AM47">
            <v>390.59056600000002</v>
          </cell>
          <cell r="AN47" t="str">
            <v>K578</v>
          </cell>
          <cell r="AO47">
            <v>1.0069000000000001</v>
          </cell>
          <cell r="AP47">
            <v>3.3235000000000006</v>
          </cell>
        </row>
        <row r="48">
          <cell r="C48">
            <v>61005026</v>
          </cell>
          <cell r="D48" t="str">
            <v>HW PCHBDY 60 24/375 NB FSK US</v>
          </cell>
          <cell r="E48" t="str">
            <v>FS04</v>
          </cell>
          <cell r="F48" t="str">
            <v>09GG02</v>
          </cell>
          <cell r="G48">
            <v>805.80600000000004</v>
          </cell>
          <cell r="H48" t="str">
            <v>375</v>
          </cell>
          <cell r="I48" t="str">
            <v>MR09G04</v>
          </cell>
          <cell r="J48" t="str">
            <v>24</v>
          </cell>
          <cell r="K48">
            <v>19339.344000000001</v>
          </cell>
          <cell r="L48">
            <v>1</v>
          </cell>
          <cell r="M48">
            <v>805.80600000000004</v>
          </cell>
          <cell r="N48">
            <v>4</v>
          </cell>
          <cell r="O48">
            <v>1</v>
          </cell>
          <cell r="P48">
            <v>1</v>
          </cell>
          <cell r="Q48">
            <v>6</v>
          </cell>
          <cell r="R48">
            <v>137.08000000000001</v>
          </cell>
          <cell r="S48">
            <v>43.49</v>
          </cell>
          <cell r="T48">
            <v>18.84</v>
          </cell>
          <cell r="U48">
            <v>199.41000000000003</v>
          </cell>
          <cell r="V48">
            <v>230</v>
          </cell>
          <cell r="W48">
            <v>13800</v>
          </cell>
          <cell r="X48">
            <v>0.45</v>
          </cell>
          <cell r="Y48">
            <v>6210</v>
          </cell>
          <cell r="Z48" t="str">
            <v>24</v>
          </cell>
          <cell r="AA48">
            <v>258.75</v>
          </cell>
          <cell r="AB48">
            <v>3.86</v>
          </cell>
          <cell r="AC48">
            <v>0.76970000000000005</v>
          </cell>
          <cell r="AD48">
            <v>620.22887820000005</v>
          </cell>
          <cell r="AE48">
            <v>7622.2139999999999</v>
          </cell>
          <cell r="AF48">
            <v>3</v>
          </cell>
          <cell r="AG48">
            <v>2540.7379999999998</v>
          </cell>
          <cell r="AH48">
            <v>120</v>
          </cell>
          <cell r="AI48">
            <v>2</v>
          </cell>
          <cell r="AJ48">
            <v>12</v>
          </cell>
          <cell r="AK48">
            <v>33.235000000000007</v>
          </cell>
          <cell r="AL48">
            <v>0.157</v>
          </cell>
          <cell r="AM48">
            <v>126.51154200000001</v>
          </cell>
          <cell r="AN48" t="str">
            <v>K944</v>
          </cell>
          <cell r="AO48">
            <v>1.0504</v>
          </cell>
          <cell r="AP48">
            <v>3.3235000000000006</v>
          </cell>
        </row>
        <row r="49">
          <cell r="C49">
            <v>61008001</v>
          </cell>
          <cell r="D49" t="str">
            <v>HW BLKBDY 70 12/750 NB US</v>
          </cell>
          <cell r="E49" t="str">
            <v>FS10</v>
          </cell>
          <cell r="F49" t="str">
            <v>33CG02</v>
          </cell>
          <cell r="G49">
            <v>17368.59</v>
          </cell>
          <cell r="H49" t="str">
            <v>750</v>
          </cell>
          <cell r="I49" t="str">
            <v>MR33C10</v>
          </cell>
          <cell r="J49" t="str">
            <v>12</v>
          </cell>
          <cell r="K49">
            <v>208423.08000000002</v>
          </cell>
          <cell r="L49">
            <v>1</v>
          </cell>
          <cell r="M49">
            <v>17368.59</v>
          </cell>
          <cell r="N49">
            <v>6</v>
          </cell>
          <cell r="O49">
            <v>1</v>
          </cell>
          <cell r="P49">
            <v>0</v>
          </cell>
          <cell r="Q49">
            <v>7</v>
          </cell>
          <cell r="R49">
            <v>205.62</v>
          </cell>
          <cell r="S49">
            <v>43.49</v>
          </cell>
          <cell r="T49">
            <v>0</v>
          </cell>
          <cell r="U49">
            <v>249.11</v>
          </cell>
          <cell r="V49">
            <v>280</v>
          </cell>
          <cell r="W49">
            <v>16800</v>
          </cell>
          <cell r="X49">
            <v>0.5</v>
          </cell>
          <cell r="Y49">
            <v>8400</v>
          </cell>
          <cell r="Z49" t="str">
            <v>12</v>
          </cell>
          <cell r="AA49">
            <v>700</v>
          </cell>
          <cell r="AB49">
            <v>1.43</v>
          </cell>
          <cell r="AC49">
            <v>0.35620000000000002</v>
          </cell>
          <cell r="AD49">
            <v>6186.6917579999999</v>
          </cell>
          <cell r="AE49">
            <v>85485.88</v>
          </cell>
          <cell r="AF49">
            <v>12</v>
          </cell>
          <cell r="AG49">
            <v>7123.8233300000002</v>
          </cell>
          <cell r="AH49">
            <v>120</v>
          </cell>
          <cell r="AI49">
            <v>2</v>
          </cell>
          <cell r="AJ49">
            <v>14</v>
          </cell>
          <cell r="AK49">
            <v>35.587142857142858</v>
          </cell>
          <cell r="AL49">
            <v>6.9900000000000004E-2</v>
          </cell>
          <cell r="AM49">
            <v>1214.064441</v>
          </cell>
          <cell r="AN49" t="str">
            <v>K578</v>
          </cell>
          <cell r="AO49">
            <v>0.45480000000000004</v>
          </cell>
          <cell r="AP49">
            <v>4.1518333333333333</v>
          </cell>
        </row>
        <row r="50">
          <cell r="C50">
            <v>61008026</v>
          </cell>
          <cell r="D50" t="str">
            <v>HW APRCBDY 60 12/750 US</v>
          </cell>
          <cell r="E50" t="str">
            <v>FS10</v>
          </cell>
          <cell r="F50" t="str">
            <v>33CG02</v>
          </cell>
          <cell r="G50">
            <v>10053.964</v>
          </cell>
          <cell r="H50" t="str">
            <v>750</v>
          </cell>
          <cell r="I50" t="str">
            <v>MR33C10</v>
          </cell>
          <cell r="J50" t="str">
            <v>12</v>
          </cell>
          <cell r="K50">
            <v>120647.568</v>
          </cell>
          <cell r="L50">
            <v>1</v>
          </cell>
          <cell r="M50">
            <v>10053.964</v>
          </cell>
          <cell r="N50">
            <v>6</v>
          </cell>
          <cell r="O50">
            <v>1</v>
          </cell>
          <cell r="P50">
            <v>0</v>
          </cell>
          <cell r="Q50">
            <v>7</v>
          </cell>
          <cell r="R50">
            <v>205.62</v>
          </cell>
          <cell r="S50">
            <v>43.49</v>
          </cell>
          <cell r="T50">
            <v>0</v>
          </cell>
          <cell r="U50">
            <v>249.11</v>
          </cell>
          <cell r="V50">
            <v>280</v>
          </cell>
          <cell r="W50">
            <v>16800</v>
          </cell>
          <cell r="X50">
            <v>0.5</v>
          </cell>
          <cell r="Y50">
            <v>8400</v>
          </cell>
          <cell r="Z50" t="str">
            <v>12</v>
          </cell>
          <cell r="AA50">
            <v>700</v>
          </cell>
          <cell r="AB50">
            <v>1.43</v>
          </cell>
          <cell r="AC50">
            <v>0.35620000000000002</v>
          </cell>
          <cell r="AD50">
            <v>3581.2219768</v>
          </cell>
          <cell r="AE50">
            <v>85485.88</v>
          </cell>
          <cell r="AF50">
            <v>12</v>
          </cell>
          <cell r="AG50">
            <v>7123.8233300000002</v>
          </cell>
          <cell r="AH50">
            <v>120</v>
          </cell>
          <cell r="AI50">
            <v>2</v>
          </cell>
          <cell r="AJ50">
            <v>14</v>
          </cell>
          <cell r="AK50">
            <v>35.587142857142858</v>
          </cell>
          <cell r="AL50">
            <v>6.9900000000000004E-2</v>
          </cell>
          <cell r="AM50">
            <v>702.77208360000009</v>
          </cell>
          <cell r="AN50" t="str">
            <v>K827</v>
          </cell>
          <cell r="AO50">
            <v>0.48180000000000001</v>
          </cell>
          <cell r="AP50">
            <v>4.1518333333333333</v>
          </cell>
        </row>
        <row r="51">
          <cell r="C51">
            <v>61008038</v>
          </cell>
          <cell r="D51" t="str">
            <v>HW COFBDY 60 12/750 US</v>
          </cell>
          <cell r="E51" t="str">
            <v>FS10</v>
          </cell>
          <cell r="F51" t="str">
            <v>33CG02</v>
          </cell>
          <cell r="G51">
            <v>5439.442</v>
          </cell>
          <cell r="H51" t="str">
            <v>750</v>
          </cell>
          <cell r="I51" t="str">
            <v>MR33C10</v>
          </cell>
          <cell r="J51" t="str">
            <v>12</v>
          </cell>
          <cell r="K51">
            <v>65273.304000000004</v>
          </cell>
          <cell r="L51">
            <v>1</v>
          </cell>
          <cell r="M51">
            <v>5439.442</v>
          </cell>
          <cell r="N51">
            <v>6</v>
          </cell>
          <cell r="O51">
            <v>1</v>
          </cell>
          <cell r="P51">
            <v>0</v>
          </cell>
          <cell r="Q51">
            <v>7</v>
          </cell>
          <cell r="R51">
            <v>205.62</v>
          </cell>
          <cell r="S51">
            <v>43.49</v>
          </cell>
          <cell r="T51">
            <v>0</v>
          </cell>
          <cell r="U51">
            <v>249.11</v>
          </cell>
          <cell r="V51">
            <v>280</v>
          </cell>
          <cell r="W51">
            <v>16800</v>
          </cell>
          <cell r="X51">
            <v>0.5</v>
          </cell>
          <cell r="Y51">
            <v>8400</v>
          </cell>
          <cell r="Z51" t="str">
            <v>12</v>
          </cell>
          <cell r="AA51">
            <v>700</v>
          </cell>
          <cell r="AB51">
            <v>1.43</v>
          </cell>
          <cell r="AC51">
            <v>0.35620000000000002</v>
          </cell>
          <cell r="AD51">
            <v>1937.5292404000002</v>
          </cell>
          <cell r="AE51">
            <v>85485.88</v>
          </cell>
          <cell r="AF51">
            <v>12</v>
          </cell>
          <cell r="AG51">
            <v>7123.8233300000002</v>
          </cell>
          <cell r="AH51">
            <v>120</v>
          </cell>
          <cell r="AI51">
            <v>2</v>
          </cell>
          <cell r="AJ51">
            <v>14</v>
          </cell>
          <cell r="AK51">
            <v>35.587142857142858</v>
          </cell>
          <cell r="AL51">
            <v>6.9900000000000004E-2</v>
          </cell>
          <cell r="AM51">
            <v>380.21699580000001</v>
          </cell>
          <cell r="AN51" t="str">
            <v>K611</v>
          </cell>
          <cell r="AO51">
            <v>0.47190000000000004</v>
          </cell>
          <cell r="AP51">
            <v>4.1518333333333333</v>
          </cell>
        </row>
        <row r="52">
          <cell r="C52">
            <v>61008049</v>
          </cell>
          <cell r="D52" t="str">
            <v>HW PCHBDY 60 12/750 US</v>
          </cell>
          <cell r="E52" t="str">
            <v>FS10</v>
          </cell>
          <cell r="F52" t="str">
            <v>33CG02</v>
          </cell>
          <cell r="G52">
            <v>4886.1419999999998</v>
          </cell>
          <cell r="H52" t="str">
            <v>750</v>
          </cell>
          <cell r="I52" t="str">
            <v>MR33C10</v>
          </cell>
          <cell r="J52" t="str">
            <v>12</v>
          </cell>
          <cell r="K52">
            <v>58633.703999999998</v>
          </cell>
          <cell r="L52">
            <v>1</v>
          </cell>
          <cell r="M52">
            <v>4886.1419999999998</v>
          </cell>
          <cell r="N52">
            <v>6</v>
          </cell>
          <cell r="O52">
            <v>1</v>
          </cell>
          <cell r="P52">
            <v>0</v>
          </cell>
          <cell r="Q52">
            <v>7</v>
          </cell>
          <cell r="R52">
            <v>205.62</v>
          </cell>
          <cell r="S52">
            <v>43.49</v>
          </cell>
          <cell r="T52">
            <v>0</v>
          </cell>
          <cell r="U52">
            <v>249.11</v>
          </cell>
          <cell r="V52">
            <v>280</v>
          </cell>
          <cell r="W52">
            <v>16800</v>
          </cell>
          <cell r="X52">
            <v>0.5</v>
          </cell>
          <cell r="Y52">
            <v>8400</v>
          </cell>
          <cell r="Z52" t="str">
            <v>12</v>
          </cell>
          <cell r="AA52">
            <v>700</v>
          </cell>
          <cell r="AB52">
            <v>1.43</v>
          </cell>
          <cell r="AC52">
            <v>0.35620000000000002</v>
          </cell>
          <cell r="AD52">
            <v>1740.4437803999999</v>
          </cell>
          <cell r="AE52">
            <v>85485.88</v>
          </cell>
          <cell r="AF52">
            <v>12</v>
          </cell>
          <cell r="AG52">
            <v>7123.8233300000002</v>
          </cell>
          <cell r="AH52">
            <v>120</v>
          </cell>
          <cell r="AI52">
            <v>2</v>
          </cell>
          <cell r="AJ52">
            <v>14</v>
          </cell>
          <cell r="AK52">
            <v>35.587142857142858</v>
          </cell>
          <cell r="AL52">
            <v>6.9900000000000004E-2</v>
          </cell>
          <cell r="AM52">
            <v>341.54132579999998</v>
          </cell>
          <cell r="AN52" t="str">
            <v>K944</v>
          </cell>
          <cell r="AO52">
            <v>0.47710000000000002</v>
          </cell>
          <cell r="AP52">
            <v>4.1518333333333333</v>
          </cell>
        </row>
        <row r="53">
          <cell r="C53">
            <v>61009001</v>
          </cell>
          <cell r="D53" t="str">
            <v>HW BLKBDY 70 12/1L NB US</v>
          </cell>
          <cell r="E53" t="str">
            <v>FS10</v>
          </cell>
          <cell r="F53" t="str">
            <v>33BG02</v>
          </cell>
          <cell r="G53">
            <v>4567.24</v>
          </cell>
          <cell r="H53">
            <v>1000</v>
          </cell>
          <cell r="I53" t="str">
            <v>MR33B10</v>
          </cell>
          <cell r="J53" t="str">
            <v>12</v>
          </cell>
          <cell r="K53">
            <v>54806.879999999997</v>
          </cell>
          <cell r="L53">
            <v>1.3332999999999999</v>
          </cell>
          <cell r="M53">
            <v>6089.5010919999995</v>
          </cell>
          <cell r="N53">
            <v>6</v>
          </cell>
          <cell r="O53">
            <v>1</v>
          </cell>
          <cell r="P53">
            <v>0</v>
          </cell>
          <cell r="Q53">
            <v>7</v>
          </cell>
          <cell r="R53">
            <v>205.62</v>
          </cell>
          <cell r="S53">
            <v>43.49</v>
          </cell>
          <cell r="T53">
            <v>0</v>
          </cell>
          <cell r="U53">
            <v>249.11</v>
          </cell>
          <cell r="V53">
            <v>280</v>
          </cell>
          <cell r="W53">
            <v>16800</v>
          </cell>
          <cell r="X53">
            <v>0.55000000000000004</v>
          </cell>
          <cell r="Y53">
            <v>9240</v>
          </cell>
          <cell r="Z53" t="str">
            <v>12</v>
          </cell>
          <cell r="AA53">
            <v>770</v>
          </cell>
          <cell r="AB53">
            <v>1.3</v>
          </cell>
          <cell r="AC53">
            <v>0.32379999999999998</v>
          </cell>
          <cell r="AD53">
            <v>1478.8723119999997</v>
          </cell>
          <cell r="AE53">
            <v>143150.696</v>
          </cell>
          <cell r="AF53">
            <v>12</v>
          </cell>
          <cell r="AG53">
            <v>11929.22467</v>
          </cell>
          <cell r="AH53">
            <v>120</v>
          </cell>
          <cell r="AI53">
            <v>2</v>
          </cell>
          <cell r="AJ53">
            <v>14</v>
          </cell>
          <cell r="AK53">
            <v>35.587142857142858</v>
          </cell>
          <cell r="AL53">
            <v>4.1799999999999997E-2</v>
          </cell>
          <cell r="AM53">
            <v>190.91063199999996</v>
          </cell>
          <cell r="AN53" t="str">
            <v>K578</v>
          </cell>
          <cell r="AO53">
            <v>0.42009999999999997</v>
          </cell>
          <cell r="AP53">
            <v>4.1518333333333333</v>
          </cell>
        </row>
        <row r="54">
          <cell r="C54">
            <v>61009010</v>
          </cell>
          <cell r="D54" t="str">
            <v>HW COFBDY 60 12/1L US</v>
          </cell>
          <cell r="E54" t="str">
            <v>FS10</v>
          </cell>
          <cell r="F54" t="str">
            <v>33BG02</v>
          </cell>
          <cell r="G54">
            <v>2457.6579999999999</v>
          </cell>
          <cell r="H54">
            <v>1000</v>
          </cell>
          <cell r="I54" t="str">
            <v>MR33B10</v>
          </cell>
          <cell r="J54" t="str">
            <v>12</v>
          </cell>
          <cell r="K54">
            <v>29491.896000000001</v>
          </cell>
          <cell r="L54">
            <v>1.3332999999999999</v>
          </cell>
          <cell r="M54">
            <v>3276.7954113999999</v>
          </cell>
          <cell r="N54">
            <v>6</v>
          </cell>
          <cell r="O54">
            <v>1</v>
          </cell>
          <cell r="P54">
            <v>0</v>
          </cell>
          <cell r="Q54">
            <v>7</v>
          </cell>
          <cell r="R54">
            <v>205.62</v>
          </cell>
          <cell r="S54">
            <v>43.49</v>
          </cell>
          <cell r="T54">
            <v>0</v>
          </cell>
          <cell r="U54">
            <v>249.11</v>
          </cell>
          <cell r="V54">
            <v>280</v>
          </cell>
          <cell r="W54">
            <v>16800</v>
          </cell>
          <cell r="X54">
            <v>0.55000000000000004</v>
          </cell>
          <cell r="Y54">
            <v>9240</v>
          </cell>
          <cell r="Z54" t="str">
            <v>12</v>
          </cell>
          <cell r="AA54">
            <v>770</v>
          </cell>
          <cell r="AB54">
            <v>1.3</v>
          </cell>
          <cell r="AC54">
            <v>0.32379999999999998</v>
          </cell>
          <cell r="AD54">
            <v>795.78966039999989</v>
          </cell>
          <cell r="AE54">
            <v>143150.696</v>
          </cell>
          <cell r="AF54">
            <v>12</v>
          </cell>
          <cell r="AG54">
            <v>11929.22467</v>
          </cell>
          <cell r="AH54">
            <v>120</v>
          </cell>
          <cell r="AI54">
            <v>2</v>
          </cell>
          <cell r="AJ54">
            <v>14</v>
          </cell>
          <cell r="AK54">
            <v>35.587142857142858</v>
          </cell>
          <cell r="AL54">
            <v>4.1799999999999997E-2</v>
          </cell>
          <cell r="AM54">
            <v>102.73010439999999</v>
          </cell>
          <cell r="AN54" t="str">
            <v>K611</v>
          </cell>
          <cell r="AO54">
            <v>0.4163</v>
          </cell>
          <cell r="AP54">
            <v>4.1518333333333333</v>
          </cell>
        </row>
        <row r="55">
          <cell r="C55">
            <v>61009021</v>
          </cell>
          <cell r="D55" t="str">
            <v>HW APRCBDY 60 12/1L US</v>
          </cell>
          <cell r="E55" t="str">
            <v>FS10</v>
          </cell>
          <cell r="F55" t="str">
            <v>33BG02</v>
          </cell>
          <cell r="G55">
            <v>3062.2640000000001</v>
          </cell>
          <cell r="H55">
            <v>1000</v>
          </cell>
          <cell r="I55" t="str">
            <v>MR33B10</v>
          </cell>
          <cell r="J55" t="str">
            <v>12</v>
          </cell>
          <cell r="K55">
            <v>36747.168000000005</v>
          </cell>
          <cell r="L55">
            <v>1.3332999999999999</v>
          </cell>
          <cell r="M55">
            <v>4082.9165911999999</v>
          </cell>
          <cell r="N55">
            <v>6</v>
          </cell>
          <cell r="O55">
            <v>1</v>
          </cell>
          <cell r="P55">
            <v>0</v>
          </cell>
          <cell r="Q55">
            <v>7</v>
          </cell>
          <cell r="R55">
            <v>205.62</v>
          </cell>
          <cell r="S55">
            <v>43.49</v>
          </cell>
          <cell r="T55">
            <v>0</v>
          </cell>
          <cell r="U55">
            <v>249.11</v>
          </cell>
          <cell r="V55">
            <v>280</v>
          </cell>
          <cell r="W55">
            <v>16800</v>
          </cell>
          <cell r="X55">
            <v>0.55000000000000004</v>
          </cell>
          <cell r="Y55">
            <v>9240</v>
          </cell>
          <cell r="Z55" t="str">
            <v>12</v>
          </cell>
          <cell r="AA55">
            <v>770</v>
          </cell>
          <cell r="AB55">
            <v>1.3</v>
          </cell>
          <cell r="AC55">
            <v>0.32379999999999998</v>
          </cell>
          <cell r="AD55">
            <v>991.56108319999998</v>
          </cell>
          <cell r="AE55">
            <v>143150.696</v>
          </cell>
          <cell r="AF55">
            <v>12</v>
          </cell>
          <cell r="AG55">
            <v>11929.22467</v>
          </cell>
          <cell r="AH55">
            <v>120</v>
          </cell>
          <cell r="AI55">
            <v>2</v>
          </cell>
          <cell r="AJ55">
            <v>14</v>
          </cell>
          <cell r="AK55">
            <v>35.587142857142858</v>
          </cell>
          <cell r="AL55">
            <v>4.1799999999999997E-2</v>
          </cell>
          <cell r="AM55">
            <v>128.00263519999999</v>
          </cell>
          <cell r="AN55" t="str">
            <v>K827</v>
          </cell>
          <cell r="AO55">
            <v>0.48759999999999998</v>
          </cell>
          <cell r="AP55">
            <v>4.1518333333333333</v>
          </cell>
        </row>
        <row r="56">
          <cell r="C56">
            <v>61009033</v>
          </cell>
          <cell r="D56" t="str">
            <v>HW PCHBDY 60 12/1L US</v>
          </cell>
          <cell r="E56" t="str">
            <v>FS10</v>
          </cell>
          <cell r="F56" t="str">
            <v>33BG02</v>
          </cell>
          <cell r="G56">
            <v>1429.5260000000001</v>
          </cell>
          <cell r="H56">
            <v>1000</v>
          </cell>
          <cell r="I56" t="str">
            <v>MR33B10-V</v>
          </cell>
          <cell r="J56" t="str">
            <v>12</v>
          </cell>
          <cell r="K56">
            <v>17154.312000000002</v>
          </cell>
          <cell r="L56">
            <v>1.3332999999999999</v>
          </cell>
          <cell r="M56">
            <v>1905.9870157999999</v>
          </cell>
          <cell r="N56">
            <v>6</v>
          </cell>
          <cell r="O56">
            <v>1</v>
          </cell>
          <cell r="P56">
            <v>0</v>
          </cell>
          <cell r="Q56">
            <v>7</v>
          </cell>
          <cell r="R56">
            <v>205.62</v>
          </cell>
          <cell r="S56">
            <v>43.49</v>
          </cell>
          <cell r="T56">
            <v>0</v>
          </cell>
          <cell r="U56">
            <v>249.11</v>
          </cell>
          <cell r="V56">
            <v>280</v>
          </cell>
          <cell r="W56">
            <v>16800</v>
          </cell>
          <cell r="X56">
            <v>0.55000000000000004</v>
          </cell>
          <cell r="Y56">
            <v>9240</v>
          </cell>
          <cell r="Z56" t="str">
            <v>12</v>
          </cell>
          <cell r="AA56">
            <v>770</v>
          </cell>
          <cell r="AB56">
            <v>1.3</v>
          </cell>
          <cell r="AC56">
            <v>0.32379999999999998</v>
          </cell>
          <cell r="AD56">
            <v>462.8805188</v>
          </cell>
          <cell r="AE56">
            <v>143150.696</v>
          </cell>
          <cell r="AF56">
            <v>12</v>
          </cell>
          <cell r="AG56">
            <v>11929.22467</v>
          </cell>
          <cell r="AH56">
            <v>120</v>
          </cell>
          <cell r="AI56">
            <v>2</v>
          </cell>
          <cell r="AJ56">
            <v>14</v>
          </cell>
          <cell r="AK56">
            <v>35.587142857142858</v>
          </cell>
          <cell r="AL56">
            <v>4.1799999999999997E-2</v>
          </cell>
          <cell r="AM56">
            <v>59.754186799999999</v>
          </cell>
          <cell r="AN56" t="str">
            <v>K944</v>
          </cell>
          <cell r="AO56">
            <v>0.45269999999999999</v>
          </cell>
          <cell r="AP56">
            <v>4.1518333333333333</v>
          </cell>
        </row>
        <row r="57">
          <cell r="C57">
            <v>61012001</v>
          </cell>
          <cell r="D57" t="str">
            <v>HW BLKBDY 70 6/1.75 PT US</v>
          </cell>
          <cell r="E57" t="str">
            <v>FS12</v>
          </cell>
          <cell r="F57" t="str">
            <v>08AP02</v>
          </cell>
          <cell r="G57">
            <v>15337.476000000001</v>
          </cell>
          <cell r="H57">
            <v>1750</v>
          </cell>
          <cell r="I57" t="str">
            <v>MR08A12</v>
          </cell>
          <cell r="J57" t="str">
            <v>6</v>
          </cell>
          <cell r="K57">
            <v>92024.856</v>
          </cell>
          <cell r="L57">
            <v>1.1667000000000001</v>
          </cell>
          <cell r="M57">
            <v>17894.233249200002</v>
          </cell>
          <cell r="N57">
            <v>4</v>
          </cell>
          <cell r="O57">
            <v>1</v>
          </cell>
          <cell r="P57">
            <v>0</v>
          </cell>
          <cell r="Q57">
            <v>5</v>
          </cell>
          <cell r="R57">
            <v>137.08000000000001</v>
          </cell>
          <cell r="S57">
            <v>43.49</v>
          </cell>
          <cell r="T57">
            <v>0</v>
          </cell>
          <cell r="U57">
            <v>180.57000000000002</v>
          </cell>
          <cell r="V57">
            <v>110</v>
          </cell>
          <cell r="W57">
            <v>6600</v>
          </cell>
          <cell r="X57">
            <v>0.55000000000000004</v>
          </cell>
          <cell r="Y57">
            <v>3630.0000000000005</v>
          </cell>
          <cell r="Z57" t="str">
            <v>6</v>
          </cell>
          <cell r="AA57">
            <v>605.00000000000011</v>
          </cell>
          <cell r="AB57">
            <v>1.65</v>
          </cell>
          <cell r="AC57">
            <v>0.2979</v>
          </cell>
          <cell r="AD57">
            <v>4569.0341004000002</v>
          </cell>
          <cell r="AE57">
            <v>58764.480000000003</v>
          </cell>
          <cell r="AF57">
            <v>9</v>
          </cell>
          <cell r="AG57">
            <v>6529.3866699999999</v>
          </cell>
          <cell r="AH57">
            <v>120</v>
          </cell>
          <cell r="AI57">
            <v>2</v>
          </cell>
          <cell r="AJ57">
            <v>10</v>
          </cell>
          <cell r="AK57">
            <v>36.114000000000004</v>
          </cell>
          <cell r="AL57">
            <v>5.5300000000000002E-2</v>
          </cell>
          <cell r="AM57">
            <v>848.16242280000006</v>
          </cell>
          <cell r="AN57" t="str">
            <v>K578</v>
          </cell>
          <cell r="AO57">
            <v>0.37670000000000003</v>
          </cell>
          <cell r="AP57">
            <v>3.0095000000000005</v>
          </cell>
        </row>
        <row r="58">
          <cell r="C58">
            <v>61012007</v>
          </cell>
          <cell r="D58" t="str">
            <v>HW APRCBDY 60 6/1.75 PT US</v>
          </cell>
          <cell r="E58" t="str">
            <v>FS12</v>
          </cell>
          <cell r="F58" t="str">
            <v>08AP02</v>
          </cell>
          <cell r="G58">
            <v>4593.3959999999997</v>
          </cell>
          <cell r="H58">
            <v>1750</v>
          </cell>
          <cell r="I58" t="str">
            <v>MR08A12</v>
          </cell>
          <cell r="J58" t="str">
            <v>6</v>
          </cell>
          <cell r="K58">
            <v>27560.375999999997</v>
          </cell>
          <cell r="L58">
            <v>1.1667000000000001</v>
          </cell>
          <cell r="M58">
            <v>5359.1151132000005</v>
          </cell>
          <cell r="N58">
            <v>4</v>
          </cell>
          <cell r="O58">
            <v>1</v>
          </cell>
          <cell r="P58">
            <v>0</v>
          </cell>
          <cell r="Q58">
            <v>5</v>
          </cell>
          <cell r="R58">
            <v>137.08000000000001</v>
          </cell>
          <cell r="S58">
            <v>43.49</v>
          </cell>
          <cell r="T58">
            <v>0</v>
          </cell>
          <cell r="U58">
            <v>180.57000000000002</v>
          </cell>
          <cell r="V58">
            <v>110</v>
          </cell>
          <cell r="W58">
            <v>6600</v>
          </cell>
          <cell r="X58">
            <v>0.55000000000000004</v>
          </cell>
          <cell r="Y58">
            <v>3630.0000000000005</v>
          </cell>
          <cell r="Z58" t="str">
            <v>6</v>
          </cell>
          <cell r="AA58">
            <v>605.00000000000011</v>
          </cell>
          <cell r="AB58">
            <v>1.65</v>
          </cell>
          <cell r="AC58">
            <v>0.2979</v>
          </cell>
          <cell r="AD58">
            <v>1368.3726683999998</v>
          </cell>
          <cell r="AE58">
            <v>58764.480000000003</v>
          </cell>
          <cell r="AF58">
            <v>9</v>
          </cell>
          <cell r="AG58">
            <v>6529.3866699999999</v>
          </cell>
          <cell r="AH58">
            <v>120</v>
          </cell>
          <cell r="AI58">
            <v>2</v>
          </cell>
          <cell r="AJ58">
            <v>10</v>
          </cell>
          <cell r="AK58">
            <v>36.114000000000004</v>
          </cell>
          <cell r="AL58">
            <v>5.5300000000000002E-2</v>
          </cell>
          <cell r="AM58">
            <v>254.01479879999999</v>
          </cell>
          <cell r="AN58" t="str">
            <v>K827</v>
          </cell>
          <cell r="AO58">
            <v>0.41220000000000001</v>
          </cell>
          <cell r="AP58">
            <v>3.0095000000000005</v>
          </cell>
        </row>
        <row r="59">
          <cell r="C59">
            <v>61012012</v>
          </cell>
          <cell r="D59" t="str">
            <v>HW COFBDY 60 6/1.75 PT US</v>
          </cell>
          <cell r="E59" t="str">
            <v>FS12</v>
          </cell>
          <cell r="F59" t="str">
            <v>08AP02</v>
          </cell>
          <cell r="G59">
            <v>12703.768</v>
          </cell>
          <cell r="H59">
            <v>1750</v>
          </cell>
          <cell r="I59" t="str">
            <v>MR08A12</v>
          </cell>
          <cell r="J59" t="str">
            <v>6</v>
          </cell>
          <cell r="K59">
            <v>76222.608000000007</v>
          </cell>
          <cell r="L59">
            <v>1.1667000000000001</v>
          </cell>
          <cell r="M59">
            <v>14821.4861256</v>
          </cell>
          <cell r="N59">
            <v>4</v>
          </cell>
          <cell r="O59">
            <v>1</v>
          </cell>
          <cell r="P59">
            <v>0</v>
          </cell>
          <cell r="Q59">
            <v>5</v>
          </cell>
          <cell r="R59">
            <v>137.08000000000001</v>
          </cell>
          <cell r="S59">
            <v>43.49</v>
          </cell>
          <cell r="T59">
            <v>0</v>
          </cell>
          <cell r="U59">
            <v>180.57000000000002</v>
          </cell>
          <cell r="V59">
            <v>110</v>
          </cell>
          <cell r="W59">
            <v>6600</v>
          </cell>
          <cell r="X59">
            <v>0.55000000000000004</v>
          </cell>
          <cell r="Y59">
            <v>3630.0000000000005</v>
          </cell>
          <cell r="Z59" t="str">
            <v>6</v>
          </cell>
          <cell r="AA59">
            <v>605.00000000000011</v>
          </cell>
          <cell r="AB59">
            <v>1.65</v>
          </cell>
          <cell r="AC59">
            <v>0.2979</v>
          </cell>
          <cell r="AD59">
            <v>3784.4524872000002</v>
          </cell>
          <cell r="AE59">
            <v>58764.480000000003</v>
          </cell>
          <cell r="AF59">
            <v>9</v>
          </cell>
          <cell r="AG59">
            <v>6529.3866699999999</v>
          </cell>
          <cell r="AH59">
            <v>120</v>
          </cell>
          <cell r="AI59">
            <v>2</v>
          </cell>
          <cell r="AJ59">
            <v>10</v>
          </cell>
          <cell r="AK59">
            <v>36.114000000000004</v>
          </cell>
          <cell r="AL59">
            <v>5.5300000000000002E-2</v>
          </cell>
          <cell r="AM59">
            <v>702.51837039999998</v>
          </cell>
          <cell r="AN59" t="str">
            <v>K611</v>
          </cell>
          <cell r="AO59">
            <v>0.38159999999999999</v>
          </cell>
          <cell r="AP59">
            <v>3.0095000000000005</v>
          </cell>
        </row>
        <row r="60">
          <cell r="C60">
            <v>61108030</v>
          </cell>
          <cell r="D60" t="str">
            <v>HW AMAR 30 12/750 NB US</v>
          </cell>
          <cell r="E60" t="str">
            <v>FS10</v>
          </cell>
          <cell r="F60" t="str">
            <v>33CG01</v>
          </cell>
          <cell r="G60">
            <v>1252.6019999999999</v>
          </cell>
          <cell r="H60" t="str">
            <v>750</v>
          </cell>
          <cell r="I60" t="str">
            <v>MR33C10</v>
          </cell>
          <cell r="J60" t="str">
            <v>12</v>
          </cell>
          <cell r="K60">
            <v>15031.223999999998</v>
          </cell>
          <cell r="L60">
            <v>1</v>
          </cell>
          <cell r="M60">
            <v>1252.6019999999999</v>
          </cell>
          <cell r="N60">
            <v>6</v>
          </cell>
          <cell r="O60">
            <v>1</v>
          </cell>
          <cell r="P60">
            <v>0</v>
          </cell>
          <cell r="Q60">
            <v>7</v>
          </cell>
          <cell r="R60">
            <v>205.62</v>
          </cell>
          <cell r="S60">
            <v>43.49</v>
          </cell>
          <cell r="T60">
            <v>0</v>
          </cell>
          <cell r="U60">
            <v>249.11</v>
          </cell>
          <cell r="V60">
            <v>280</v>
          </cell>
          <cell r="W60">
            <v>16800</v>
          </cell>
          <cell r="X60">
            <v>0.5</v>
          </cell>
          <cell r="Y60">
            <v>8400</v>
          </cell>
          <cell r="Z60" t="str">
            <v>12</v>
          </cell>
          <cell r="AA60">
            <v>700</v>
          </cell>
          <cell r="AB60">
            <v>1.43</v>
          </cell>
          <cell r="AC60">
            <v>0.35620000000000002</v>
          </cell>
          <cell r="AD60">
            <v>446.17683239999997</v>
          </cell>
          <cell r="AE60">
            <v>66913.505999999994</v>
          </cell>
          <cell r="AF60">
            <v>10</v>
          </cell>
          <cell r="AG60">
            <v>6691.3505999999998</v>
          </cell>
          <cell r="AH60">
            <v>120</v>
          </cell>
          <cell r="AI60">
            <v>2</v>
          </cell>
          <cell r="AJ60">
            <v>14</v>
          </cell>
          <cell r="AK60">
            <v>35.587142857142858</v>
          </cell>
          <cell r="AL60">
            <v>7.4499999999999997E-2</v>
          </cell>
          <cell r="AM60">
            <v>93.318848999999986</v>
          </cell>
          <cell r="AN60" t="str">
            <v>K583</v>
          </cell>
          <cell r="AO60">
            <v>0.53010000000000002</v>
          </cell>
          <cell r="AP60">
            <v>4.1518333333333333</v>
          </cell>
        </row>
        <row r="61">
          <cell r="C61">
            <v>61108065</v>
          </cell>
          <cell r="D61" t="str">
            <v>HW AMAR 50 12/750 NB US</v>
          </cell>
          <cell r="E61" t="str">
            <v>FS10</v>
          </cell>
          <cell r="F61" t="str">
            <v>33CG01</v>
          </cell>
          <cell r="G61">
            <v>2292.462</v>
          </cell>
          <cell r="H61" t="str">
            <v>750</v>
          </cell>
          <cell r="I61" t="str">
            <v>MR33C10</v>
          </cell>
          <cell r="J61" t="str">
            <v>12</v>
          </cell>
          <cell r="K61">
            <v>27509.544000000002</v>
          </cell>
          <cell r="L61">
            <v>1</v>
          </cell>
          <cell r="M61">
            <v>2292.462</v>
          </cell>
          <cell r="N61">
            <v>6</v>
          </cell>
          <cell r="O61">
            <v>1</v>
          </cell>
          <cell r="P61">
            <v>0</v>
          </cell>
          <cell r="Q61">
            <v>7</v>
          </cell>
          <cell r="R61">
            <v>205.62</v>
          </cell>
          <cell r="S61">
            <v>43.49</v>
          </cell>
          <cell r="T61">
            <v>0</v>
          </cell>
          <cell r="U61">
            <v>249.11</v>
          </cell>
          <cell r="V61">
            <v>280</v>
          </cell>
          <cell r="W61">
            <v>16800</v>
          </cell>
          <cell r="X61">
            <v>0.5</v>
          </cell>
          <cell r="Y61">
            <v>8400</v>
          </cell>
          <cell r="Z61" t="str">
            <v>12</v>
          </cell>
          <cell r="AA61">
            <v>700</v>
          </cell>
          <cell r="AB61">
            <v>1.43</v>
          </cell>
          <cell r="AC61">
            <v>0.35620000000000002</v>
          </cell>
          <cell r="AD61">
            <v>816.5749644</v>
          </cell>
          <cell r="AE61">
            <v>66913.505999999994</v>
          </cell>
          <cell r="AF61">
            <v>10</v>
          </cell>
          <cell r="AG61">
            <v>6691.3505999999998</v>
          </cell>
          <cell r="AH61">
            <v>120</v>
          </cell>
          <cell r="AI61">
            <v>2</v>
          </cell>
          <cell r="AJ61">
            <v>14</v>
          </cell>
          <cell r="AK61">
            <v>35.587142857142858</v>
          </cell>
          <cell r="AL61">
            <v>7.4499999999999997E-2</v>
          </cell>
          <cell r="AM61">
            <v>170.788419</v>
          </cell>
          <cell r="AN61" t="str">
            <v>K580</v>
          </cell>
          <cell r="AO61">
            <v>0.48500000000000004</v>
          </cell>
          <cell r="AP61">
            <v>4.1518333333333333</v>
          </cell>
        </row>
        <row r="62">
          <cell r="C62">
            <v>61108110</v>
          </cell>
          <cell r="D62" t="str">
            <v>HW ANISET WH 60 12/750 NB US</v>
          </cell>
          <cell r="E62" t="str">
            <v>FS10</v>
          </cell>
          <cell r="F62" t="str">
            <v>33CG01</v>
          </cell>
          <cell r="G62">
            <v>3066.1559999999999</v>
          </cell>
          <cell r="H62" t="str">
            <v>750</v>
          </cell>
          <cell r="I62" t="str">
            <v>MR33C10</v>
          </cell>
          <cell r="J62" t="str">
            <v>12</v>
          </cell>
          <cell r="K62">
            <v>36793.872000000003</v>
          </cell>
          <cell r="L62">
            <v>1</v>
          </cell>
          <cell r="M62">
            <v>3066.1559999999999</v>
          </cell>
          <cell r="N62">
            <v>6</v>
          </cell>
          <cell r="O62">
            <v>1</v>
          </cell>
          <cell r="P62">
            <v>0</v>
          </cell>
          <cell r="Q62">
            <v>7</v>
          </cell>
          <cell r="R62">
            <v>205.62</v>
          </cell>
          <cell r="S62">
            <v>43.49</v>
          </cell>
          <cell r="T62">
            <v>0</v>
          </cell>
          <cell r="U62">
            <v>249.11</v>
          </cell>
          <cell r="V62">
            <v>280</v>
          </cell>
          <cell r="W62">
            <v>16800</v>
          </cell>
          <cell r="X62">
            <v>0.5</v>
          </cell>
          <cell r="Y62">
            <v>8400</v>
          </cell>
          <cell r="Z62" t="str">
            <v>12</v>
          </cell>
          <cell r="AA62">
            <v>700</v>
          </cell>
          <cell r="AB62">
            <v>1.43</v>
          </cell>
          <cell r="AC62">
            <v>0.35620000000000002</v>
          </cell>
          <cell r="AD62">
            <v>1092.1647672000001</v>
          </cell>
          <cell r="AE62">
            <v>66913.505999999994</v>
          </cell>
          <cell r="AF62">
            <v>10</v>
          </cell>
          <cell r="AG62">
            <v>6691.3505999999998</v>
          </cell>
          <cell r="AH62">
            <v>120</v>
          </cell>
          <cell r="AI62">
            <v>2</v>
          </cell>
          <cell r="AJ62">
            <v>14</v>
          </cell>
          <cell r="AK62">
            <v>35.587142857142858</v>
          </cell>
          <cell r="AL62">
            <v>7.4499999999999997E-2</v>
          </cell>
          <cell r="AM62">
            <v>228.42862199999999</v>
          </cell>
          <cell r="AN62" t="str">
            <v>K329</v>
          </cell>
          <cell r="AO62">
            <v>0.47130000000000005</v>
          </cell>
          <cell r="AP62">
            <v>4.1518333333333333</v>
          </cell>
        </row>
        <row r="63">
          <cell r="C63">
            <v>61108130</v>
          </cell>
          <cell r="D63" t="str">
            <v>HW BLUCUR 30 12/750 NB US</v>
          </cell>
          <cell r="E63" t="str">
            <v>FS10</v>
          </cell>
          <cell r="F63" t="str">
            <v>33CG01</v>
          </cell>
          <cell r="G63">
            <v>14120.153999999999</v>
          </cell>
          <cell r="H63" t="str">
            <v>750</v>
          </cell>
          <cell r="I63" t="str">
            <v>MR33C10-200</v>
          </cell>
          <cell r="J63" t="str">
            <v>12</v>
          </cell>
          <cell r="K63">
            <v>169441.848</v>
          </cell>
          <cell r="L63">
            <v>1</v>
          </cell>
          <cell r="M63">
            <v>14120.153999999999</v>
          </cell>
          <cell r="N63">
            <v>6</v>
          </cell>
          <cell r="O63">
            <v>1</v>
          </cell>
          <cell r="P63">
            <v>0</v>
          </cell>
          <cell r="Q63">
            <v>7</v>
          </cell>
          <cell r="R63">
            <v>205.62</v>
          </cell>
          <cell r="S63">
            <v>43.49</v>
          </cell>
          <cell r="T63">
            <v>0</v>
          </cell>
          <cell r="U63">
            <v>249.11</v>
          </cell>
          <cell r="V63">
            <v>200</v>
          </cell>
          <cell r="W63">
            <v>12000</v>
          </cell>
          <cell r="X63">
            <v>0.5</v>
          </cell>
          <cell r="Y63">
            <v>6000</v>
          </cell>
          <cell r="Z63" t="str">
            <v>12</v>
          </cell>
          <cell r="AA63">
            <v>500</v>
          </cell>
          <cell r="AB63">
            <v>2</v>
          </cell>
          <cell r="AC63">
            <v>0.49819999999999998</v>
          </cell>
          <cell r="AD63">
            <v>7034.6607227999993</v>
          </cell>
          <cell r="AE63">
            <v>66913.505999999994</v>
          </cell>
          <cell r="AF63">
            <v>10</v>
          </cell>
          <cell r="AG63">
            <v>6691.3505999999998</v>
          </cell>
          <cell r="AH63">
            <v>120</v>
          </cell>
          <cell r="AI63">
            <v>2</v>
          </cell>
          <cell r="AJ63">
            <v>14</v>
          </cell>
          <cell r="AK63">
            <v>35.587142857142858</v>
          </cell>
          <cell r="AL63">
            <v>7.4499999999999997E-2</v>
          </cell>
          <cell r="AM63">
            <v>1051.9514729999999</v>
          </cell>
          <cell r="AN63" t="str">
            <v>K581</v>
          </cell>
          <cell r="AO63">
            <v>0.64329999999999998</v>
          </cell>
          <cell r="AP63">
            <v>4.1518333333333333</v>
          </cell>
        </row>
        <row r="64">
          <cell r="C64">
            <v>61108170</v>
          </cell>
          <cell r="D64" t="str">
            <v>HW CD BAN 30 12/750 NB US</v>
          </cell>
          <cell r="E64" t="str">
            <v>FS10</v>
          </cell>
          <cell r="F64" t="str">
            <v>33CG01</v>
          </cell>
          <cell r="G64">
            <v>2206.6019999999999</v>
          </cell>
          <cell r="H64" t="str">
            <v>750</v>
          </cell>
          <cell r="I64" t="str">
            <v>MR33C10</v>
          </cell>
          <cell r="J64" t="str">
            <v>12</v>
          </cell>
          <cell r="K64">
            <v>26479.223999999998</v>
          </cell>
          <cell r="L64">
            <v>1</v>
          </cell>
          <cell r="M64">
            <v>2206.6019999999999</v>
          </cell>
          <cell r="N64">
            <v>6</v>
          </cell>
          <cell r="O64">
            <v>1</v>
          </cell>
          <cell r="P64">
            <v>0</v>
          </cell>
          <cell r="Q64">
            <v>7</v>
          </cell>
          <cell r="R64">
            <v>205.62</v>
          </cell>
          <cell r="S64">
            <v>43.49</v>
          </cell>
          <cell r="T64">
            <v>0</v>
          </cell>
          <cell r="U64">
            <v>249.11</v>
          </cell>
          <cell r="V64">
            <v>280</v>
          </cell>
          <cell r="W64">
            <v>16800</v>
          </cell>
          <cell r="X64">
            <v>0.5</v>
          </cell>
          <cell r="Y64">
            <v>8400</v>
          </cell>
          <cell r="Z64" t="str">
            <v>12</v>
          </cell>
          <cell r="AA64">
            <v>700</v>
          </cell>
          <cell r="AB64">
            <v>1.43</v>
          </cell>
          <cell r="AC64">
            <v>0.35620000000000002</v>
          </cell>
          <cell r="AD64">
            <v>785.99163239999996</v>
          </cell>
          <cell r="AE64">
            <v>66913.505999999994</v>
          </cell>
          <cell r="AF64">
            <v>10</v>
          </cell>
          <cell r="AG64">
            <v>6691.3505999999998</v>
          </cell>
          <cell r="AH64">
            <v>120</v>
          </cell>
          <cell r="AI64">
            <v>2</v>
          </cell>
          <cell r="AJ64">
            <v>14</v>
          </cell>
          <cell r="AK64">
            <v>35.587142857142858</v>
          </cell>
          <cell r="AL64">
            <v>7.4499999999999997E-2</v>
          </cell>
          <cell r="AM64">
            <v>164.39184899999998</v>
          </cell>
          <cell r="AN64" t="str">
            <v>K620</v>
          </cell>
          <cell r="AO64">
            <v>0.54360000000000008</v>
          </cell>
          <cell r="AP64">
            <v>4.1518333333333333</v>
          </cell>
        </row>
        <row r="65">
          <cell r="C65">
            <v>61108228</v>
          </cell>
          <cell r="D65" t="str">
            <v>HW CD CACBR 30 12/750 NB US</v>
          </cell>
          <cell r="E65" t="str">
            <v>FS10</v>
          </cell>
          <cell r="F65" t="str">
            <v>33CG01</v>
          </cell>
          <cell r="G65">
            <v>3877.056</v>
          </cell>
          <cell r="H65" t="str">
            <v>750</v>
          </cell>
          <cell r="I65" t="str">
            <v>MR33C10-150</v>
          </cell>
          <cell r="J65" t="str">
            <v>12</v>
          </cell>
          <cell r="K65">
            <v>46524.671999999999</v>
          </cell>
          <cell r="L65">
            <v>1</v>
          </cell>
          <cell r="M65">
            <v>3877.056</v>
          </cell>
          <cell r="N65">
            <v>6</v>
          </cell>
          <cell r="O65">
            <v>1</v>
          </cell>
          <cell r="P65">
            <v>0</v>
          </cell>
          <cell r="Q65">
            <v>7</v>
          </cell>
          <cell r="R65">
            <v>205.62</v>
          </cell>
          <cell r="S65">
            <v>43.49</v>
          </cell>
          <cell r="T65">
            <v>0</v>
          </cell>
          <cell r="U65">
            <v>249.11</v>
          </cell>
          <cell r="V65">
            <v>150</v>
          </cell>
          <cell r="W65">
            <v>9000</v>
          </cell>
          <cell r="X65">
            <v>0.5</v>
          </cell>
          <cell r="Y65">
            <v>4500</v>
          </cell>
          <cell r="Z65" t="str">
            <v>12</v>
          </cell>
          <cell r="AA65">
            <v>375</v>
          </cell>
          <cell r="AB65">
            <v>2.67</v>
          </cell>
          <cell r="AC65">
            <v>0.66510000000000002</v>
          </cell>
          <cell r="AD65">
            <v>2578.6299456000002</v>
          </cell>
          <cell r="AE65">
            <v>66913.505999999994</v>
          </cell>
          <cell r="AF65">
            <v>10</v>
          </cell>
          <cell r="AG65">
            <v>6691.3505999999998</v>
          </cell>
          <cell r="AH65">
            <v>120</v>
          </cell>
          <cell r="AI65">
            <v>2</v>
          </cell>
          <cell r="AJ65">
            <v>14</v>
          </cell>
          <cell r="AK65">
            <v>35.587142857142858</v>
          </cell>
          <cell r="AL65">
            <v>7.4499999999999997E-2</v>
          </cell>
          <cell r="AM65">
            <v>288.84067199999998</v>
          </cell>
          <cell r="AN65" t="str">
            <v>K938</v>
          </cell>
          <cell r="AO65">
            <v>0.80390000000000006</v>
          </cell>
          <cell r="AP65">
            <v>4.1518333333333333</v>
          </cell>
        </row>
        <row r="66">
          <cell r="C66">
            <v>61108235</v>
          </cell>
          <cell r="D66" t="str">
            <v>HW CD CACWH 30 12/750 NB US</v>
          </cell>
          <cell r="E66" t="str">
            <v>FS10</v>
          </cell>
          <cell r="F66" t="str">
            <v>33CG01</v>
          </cell>
          <cell r="G66">
            <v>3381.93</v>
          </cell>
          <cell r="H66" t="str">
            <v>750</v>
          </cell>
          <cell r="I66" t="str">
            <v>MR33C10-200</v>
          </cell>
          <cell r="J66" t="str">
            <v>12</v>
          </cell>
          <cell r="K66">
            <v>40583.159999999996</v>
          </cell>
          <cell r="L66">
            <v>1</v>
          </cell>
          <cell r="M66">
            <v>3381.93</v>
          </cell>
          <cell r="N66">
            <v>6</v>
          </cell>
          <cell r="O66">
            <v>1</v>
          </cell>
          <cell r="P66">
            <v>0</v>
          </cell>
          <cell r="Q66">
            <v>7</v>
          </cell>
          <cell r="R66">
            <v>205.62</v>
          </cell>
          <cell r="S66">
            <v>43.49</v>
          </cell>
          <cell r="T66">
            <v>0</v>
          </cell>
          <cell r="U66">
            <v>249.11</v>
          </cell>
          <cell r="V66">
            <v>200</v>
          </cell>
          <cell r="W66">
            <v>12000</v>
          </cell>
          <cell r="X66">
            <v>0.5</v>
          </cell>
          <cell r="Y66">
            <v>6000</v>
          </cell>
          <cell r="Z66" t="str">
            <v>12</v>
          </cell>
          <cell r="AA66">
            <v>500</v>
          </cell>
          <cell r="AB66">
            <v>2</v>
          </cell>
          <cell r="AC66">
            <v>0.49819999999999998</v>
          </cell>
          <cell r="AD66">
            <v>1684.8775259999998</v>
          </cell>
          <cell r="AE66">
            <v>66913.505999999994</v>
          </cell>
          <cell r="AF66">
            <v>10</v>
          </cell>
          <cell r="AG66">
            <v>6691.3505999999998</v>
          </cell>
          <cell r="AH66">
            <v>120</v>
          </cell>
          <cell r="AI66">
            <v>2</v>
          </cell>
          <cell r="AJ66">
            <v>14</v>
          </cell>
          <cell r="AK66">
            <v>35.587142857142858</v>
          </cell>
          <cell r="AL66">
            <v>7.4499999999999997E-2</v>
          </cell>
          <cell r="AM66">
            <v>251.95378499999998</v>
          </cell>
          <cell r="AN66" t="str">
            <v>K881</v>
          </cell>
          <cell r="AO66">
            <v>0.64639999999999997</v>
          </cell>
          <cell r="AP66">
            <v>4.1518333333333333</v>
          </cell>
        </row>
        <row r="67">
          <cell r="C67">
            <v>61108285</v>
          </cell>
          <cell r="D67" t="str">
            <v>HW CDM GR 30 12/750 NB US</v>
          </cell>
          <cell r="E67" t="str">
            <v>FS10</v>
          </cell>
          <cell r="F67" t="str">
            <v>33CG01</v>
          </cell>
          <cell r="G67">
            <v>1847.8979999999999</v>
          </cell>
          <cell r="H67" t="str">
            <v>750</v>
          </cell>
          <cell r="I67" t="str">
            <v>MR33C10</v>
          </cell>
          <cell r="J67" t="str">
            <v>12</v>
          </cell>
          <cell r="K67">
            <v>22174.775999999998</v>
          </cell>
          <cell r="L67">
            <v>1</v>
          </cell>
          <cell r="M67">
            <v>1847.8979999999999</v>
          </cell>
          <cell r="N67">
            <v>6</v>
          </cell>
          <cell r="O67">
            <v>1</v>
          </cell>
          <cell r="P67">
            <v>0</v>
          </cell>
          <cell r="Q67">
            <v>7</v>
          </cell>
          <cell r="R67">
            <v>205.62</v>
          </cell>
          <cell r="S67">
            <v>43.49</v>
          </cell>
          <cell r="T67">
            <v>0</v>
          </cell>
          <cell r="U67">
            <v>249.11</v>
          </cell>
          <cell r="V67">
            <v>280</v>
          </cell>
          <cell r="W67">
            <v>16800</v>
          </cell>
          <cell r="X67">
            <v>0.5</v>
          </cell>
          <cell r="Y67">
            <v>8400</v>
          </cell>
          <cell r="Z67" t="str">
            <v>12</v>
          </cell>
          <cell r="AA67">
            <v>700</v>
          </cell>
          <cell r="AB67">
            <v>1.43</v>
          </cell>
          <cell r="AC67">
            <v>0.35620000000000002</v>
          </cell>
          <cell r="AD67">
            <v>658.22126760000003</v>
          </cell>
          <cell r="AE67">
            <v>66913.505999999994</v>
          </cell>
          <cell r="AF67">
            <v>10</v>
          </cell>
          <cell r="AG67">
            <v>6691.3505999999998</v>
          </cell>
          <cell r="AH67">
            <v>120</v>
          </cell>
          <cell r="AI67">
            <v>2</v>
          </cell>
          <cell r="AJ67">
            <v>14</v>
          </cell>
          <cell r="AK67">
            <v>35.587142857142858</v>
          </cell>
          <cell r="AL67">
            <v>7.4499999999999997E-2</v>
          </cell>
          <cell r="AM67">
            <v>137.66840099999999</v>
          </cell>
          <cell r="AN67" t="str">
            <v>K607</v>
          </cell>
          <cell r="AO67">
            <v>0.5655</v>
          </cell>
          <cell r="AP67">
            <v>4.1518333333333333</v>
          </cell>
        </row>
        <row r="68">
          <cell r="C68">
            <v>61108310</v>
          </cell>
          <cell r="D68" t="str">
            <v>HW CDM WH 30 12/750 NB US</v>
          </cell>
          <cell r="E68" t="str">
            <v>FS10</v>
          </cell>
          <cell r="F68" t="str">
            <v>33CG01</v>
          </cell>
          <cell r="G68">
            <v>1618.9379999999999</v>
          </cell>
          <cell r="H68" t="str">
            <v>750</v>
          </cell>
          <cell r="I68" t="str">
            <v>MR33C10</v>
          </cell>
          <cell r="J68" t="str">
            <v>12</v>
          </cell>
          <cell r="K68">
            <v>19427.255999999998</v>
          </cell>
          <cell r="L68">
            <v>1</v>
          </cell>
          <cell r="M68">
            <v>1618.9379999999999</v>
          </cell>
          <cell r="N68">
            <v>6</v>
          </cell>
          <cell r="O68">
            <v>1</v>
          </cell>
          <cell r="P68">
            <v>0</v>
          </cell>
          <cell r="Q68">
            <v>7</v>
          </cell>
          <cell r="R68">
            <v>205.62</v>
          </cell>
          <cell r="S68">
            <v>43.49</v>
          </cell>
          <cell r="T68">
            <v>0</v>
          </cell>
          <cell r="U68">
            <v>249.11</v>
          </cell>
          <cell r="V68">
            <v>280</v>
          </cell>
          <cell r="W68">
            <v>16800</v>
          </cell>
          <cell r="X68">
            <v>0.5</v>
          </cell>
          <cell r="Y68">
            <v>8400</v>
          </cell>
          <cell r="Z68" t="str">
            <v>12</v>
          </cell>
          <cell r="AA68">
            <v>700</v>
          </cell>
          <cell r="AB68">
            <v>1.43</v>
          </cell>
          <cell r="AC68">
            <v>0.35620000000000002</v>
          </cell>
          <cell r="AD68">
            <v>576.6657156</v>
          </cell>
          <cell r="AE68">
            <v>66913.505999999994</v>
          </cell>
          <cell r="AF68">
            <v>10</v>
          </cell>
          <cell r="AG68">
            <v>6691.3505999999998</v>
          </cell>
          <cell r="AH68">
            <v>120</v>
          </cell>
          <cell r="AI68">
            <v>2</v>
          </cell>
          <cell r="AJ68">
            <v>14</v>
          </cell>
          <cell r="AK68">
            <v>35.587142857142858</v>
          </cell>
          <cell r="AL68">
            <v>7.4499999999999997E-2</v>
          </cell>
          <cell r="AM68">
            <v>120.61088099999999</v>
          </cell>
          <cell r="AN68" t="str">
            <v>K319</v>
          </cell>
          <cell r="AO68">
            <v>0.58460000000000001</v>
          </cell>
          <cell r="AP68">
            <v>4.1518333333333333</v>
          </cell>
        </row>
        <row r="69">
          <cell r="C69">
            <v>61108425</v>
          </cell>
          <cell r="D69" t="str">
            <v>HW KIRSH 90 12/750 NB US</v>
          </cell>
          <cell r="E69" t="str">
            <v>FS10</v>
          </cell>
          <cell r="F69" t="str">
            <v>33CG01</v>
          </cell>
          <cell r="G69">
            <v>922.51799999999992</v>
          </cell>
          <cell r="H69" t="str">
            <v>750</v>
          </cell>
          <cell r="I69" t="str">
            <v>MR33C10</v>
          </cell>
          <cell r="J69" t="str">
            <v>12</v>
          </cell>
          <cell r="K69">
            <v>11070.215999999999</v>
          </cell>
          <cell r="L69">
            <v>1</v>
          </cell>
          <cell r="M69">
            <v>922.51799999999992</v>
          </cell>
          <cell r="N69">
            <v>6</v>
          </cell>
          <cell r="O69">
            <v>1</v>
          </cell>
          <cell r="P69">
            <v>0</v>
          </cell>
          <cell r="Q69">
            <v>7</v>
          </cell>
          <cell r="R69">
            <v>205.62</v>
          </cell>
          <cell r="S69">
            <v>43.49</v>
          </cell>
          <cell r="T69">
            <v>0</v>
          </cell>
          <cell r="U69">
            <v>249.11</v>
          </cell>
          <cell r="V69">
            <v>280</v>
          </cell>
          <cell r="W69">
            <v>16800</v>
          </cell>
          <cell r="X69">
            <v>0.5</v>
          </cell>
          <cell r="Y69">
            <v>8400</v>
          </cell>
          <cell r="Z69" t="str">
            <v>12</v>
          </cell>
          <cell r="AA69">
            <v>700</v>
          </cell>
          <cell r="AB69">
            <v>1.43</v>
          </cell>
          <cell r="AC69">
            <v>0.35620000000000002</v>
          </cell>
          <cell r="AD69">
            <v>328.60091159999996</v>
          </cell>
          <cell r="AE69">
            <v>66913.505999999994</v>
          </cell>
          <cell r="AF69">
            <v>10</v>
          </cell>
          <cell r="AG69">
            <v>6691.3505999999998</v>
          </cell>
          <cell r="AH69">
            <v>120</v>
          </cell>
          <cell r="AI69">
            <v>2</v>
          </cell>
          <cell r="AJ69">
            <v>14</v>
          </cell>
          <cell r="AK69">
            <v>35.587142857142858</v>
          </cell>
          <cell r="AL69">
            <v>7.4499999999999997E-2</v>
          </cell>
          <cell r="AM69">
            <v>68.72759099999999</v>
          </cell>
          <cell r="AN69" t="str">
            <v>K054</v>
          </cell>
          <cell r="AO69">
            <v>0.56570000000000009</v>
          </cell>
          <cell r="AP69">
            <v>4.1518333333333333</v>
          </cell>
        </row>
        <row r="70">
          <cell r="C70">
            <v>61108435</v>
          </cell>
          <cell r="D70" t="str">
            <v>HW ORG CUR 30 12/750 NB US</v>
          </cell>
          <cell r="E70" t="str">
            <v>FS10</v>
          </cell>
          <cell r="F70" t="str">
            <v>33CG02</v>
          </cell>
          <cell r="G70">
            <v>2779.002</v>
          </cell>
          <cell r="H70" t="str">
            <v>750</v>
          </cell>
          <cell r="I70" t="str">
            <v>MR33C10</v>
          </cell>
          <cell r="J70" t="str">
            <v>12</v>
          </cell>
          <cell r="K70">
            <v>33348.023999999998</v>
          </cell>
          <cell r="L70">
            <v>1</v>
          </cell>
          <cell r="M70">
            <v>2779.002</v>
          </cell>
          <cell r="N70">
            <v>6</v>
          </cell>
          <cell r="O70">
            <v>1</v>
          </cell>
          <cell r="P70">
            <v>0</v>
          </cell>
          <cell r="Q70">
            <v>7</v>
          </cell>
          <cell r="R70">
            <v>205.62</v>
          </cell>
          <cell r="S70">
            <v>43.49</v>
          </cell>
          <cell r="T70">
            <v>0</v>
          </cell>
          <cell r="U70">
            <v>249.11</v>
          </cell>
          <cell r="V70">
            <v>280</v>
          </cell>
          <cell r="W70">
            <v>16800</v>
          </cell>
          <cell r="X70">
            <v>0.5</v>
          </cell>
          <cell r="Y70">
            <v>8400</v>
          </cell>
          <cell r="Z70" t="str">
            <v>12</v>
          </cell>
          <cell r="AA70">
            <v>700</v>
          </cell>
          <cell r="AB70">
            <v>1.43</v>
          </cell>
          <cell r="AC70">
            <v>0.35620000000000002</v>
          </cell>
          <cell r="AD70">
            <v>989.88051240000004</v>
          </cell>
          <cell r="AE70">
            <v>85485.88</v>
          </cell>
          <cell r="AF70">
            <v>12</v>
          </cell>
          <cell r="AG70">
            <v>7123.8233300000002</v>
          </cell>
          <cell r="AH70">
            <v>120</v>
          </cell>
          <cell r="AI70">
            <v>2</v>
          </cell>
          <cell r="AJ70">
            <v>14</v>
          </cell>
          <cell r="AK70">
            <v>35.587142857142858</v>
          </cell>
          <cell r="AL70">
            <v>6.9900000000000004E-2</v>
          </cell>
          <cell r="AM70">
            <v>194.25223980000001</v>
          </cell>
          <cell r="AN70" t="str">
            <v>K943</v>
          </cell>
          <cell r="AO70">
            <v>0.47090000000000004</v>
          </cell>
          <cell r="AP70">
            <v>4.1518333333333333</v>
          </cell>
        </row>
        <row r="71">
          <cell r="C71">
            <v>61109030</v>
          </cell>
          <cell r="D71" t="str">
            <v>HW AMAR 30 12/1L NB US</v>
          </cell>
          <cell r="E71" t="str">
            <v>FS10</v>
          </cell>
          <cell r="F71" t="str">
            <v>33BG01</v>
          </cell>
          <cell r="G71">
            <v>1826.9099999999999</v>
          </cell>
          <cell r="H71">
            <v>1000</v>
          </cell>
          <cell r="I71" t="str">
            <v>MR33B10</v>
          </cell>
          <cell r="J71" t="str">
            <v>12</v>
          </cell>
          <cell r="K71">
            <v>21922.92</v>
          </cell>
          <cell r="L71">
            <v>1.3332999999999999</v>
          </cell>
          <cell r="M71">
            <v>2435.8191029999998</v>
          </cell>
          <cell r="N71">
            <v>6</v>
          </cell>
          <cell r="O71">
            <v>1</v>
          </cell>
          <cell r="P71">
            <v>0</v>
          </cell>
          <cell r="Q71">
            <v>7</v>
          </cell>
          <cell r="R71">
            <v>205.62</v>
          </cell>
          <cell r="S71">
            <v>43.49</v>
          </cell>
          <cell r="T71">
            <v>0</v>
          </cell>
          <cell r="U71">
            <v>249.11</v>
          </cell>
          <cell r="V71">
            <v>280</v>
          </cell>
          <cell r="W71">
            <v>16800</v>
          </cell>
          <cell r="X71">
            <v>0.55000000000000004</v>
          </cell>
          <cell r="Y71">
            <v>9240</v>
          </cell>
          <cell r="Z71" t="str">
            <v>12</v>
          </cell>
          <cell r="AA71">
            <v>770</v>
          </cell>
          <cell r="AB71">
            <v>1.3</v>
          </cell>
          <cell r="AC71">
            <v>0.32379999999999998</v>
          </cell>
          <cell r="AD71">
            <v>591.55345799999986</v>
          </cell>
          <cell r="AE71">
            <v>30735.94</v>
          </cell>
          <cell r="AF71">
            <v>10</v>
          </cell>
          <cell r="AG71">
            <v>3073.5940000000001</v>
          </cell>
          <cell r="AH71">
            <v>120</v>
          </cell>
          <cell r="AI71">
            <v>2</v>
          </cell>
          <cell r="AJ71">
            <v>14</v>
          </cell>
          <cell r="AK71">
            <v>35.587142857142858</v>
          </cell>
          <cell r="AL71">
            <v>0.16209999999999999</v>
          </cell>
          <cell r="AM71">
            <v>296.14211099999994</v>
          </cell>
          <cell r="AN71" t="str">
            <v>K583</v>
          </cell>
          <cell r="AO71">
            <v>0.55410000000000004</v>
          </cell>
          <cell r="AP71">
            <v>4.1518333333333333</v>
          </cell>
        </row>
        <row r="72">
          <cell r="C72">
            <v>61109050</v>
          </cell>
          <cell r="D72" t="str">
            <v>HW AMAR 50 12/1L NB US</v>
          </cell>
          <cell r="E72" t="str">
            <v>FS10</v>
          </cell>
          <cell r="F72" t="str">
            <v>33BG01</v>
          </cell>
          <cell r="G72">
            <v>1818.3239999999998</v>
          </cell>
          <cell r="H72">
            <v>1000</v>
          </cell>
          <cell r="I72" t="str">
            <v>MR33B10</v>
          </cell>
          <cell r="J72" t="str">
            <v>12</v>
          </cell>
          <cell r="K72">
            <v>21819.887999999999</v>
          </cell>
          <cell r="L72">
            <v>1.3332999999999999</v>
          </cell>
          <cell r="M72">
            <v>2424.3713891999996</v>
          </cell>
          <cell r="N72">
            <v>6</v>
          </cell>
          <cell r="O72">
            <v>1</v>
          </cell>
          <cell r="P72">
            <v>0</v>
          </cell>
          <cell r="Q72">
            <v>7</v>
          </cell>
          <cell r="R72">
            <v>205.62</v>
          </cell>
          <cell r="S72">
            <v>43.49</v>
          </cell>
          <cell r="T72">
            <v>0</v>
          </cell>
          <cell r="U72">
            <v>249.11</v>
          </cell>
          <cell r="V72">
            <v>280</v>
          </cell>
          <cell r="W72">
            <v>16800</v>
          </cell>
          <cell r="X72">
            <v>0.55000000000000004</v>
          </cell>
          <cell r="Y72">
            <v>9240</v>
          </cell>
          <cell r="Z72" t="str">
            <v>12</v>
          </cell>
          <cell r="AA72">
            <v>770</v>
          </cell>
          <cell r="AB72">
            <v>1.3</v>
          </cell>
          <cell r="AC72">
            <v>0.32379999999999998</v>
          </cell>
          <cell r="AD72">
            <v>588.77331119999985</v>
          </cell>
          <cell r="AE72">
            <v>30735.94</v>
          </cell>
          <cell r="AF72">
            <v>10</v>
          </cell>
          <cell r="AG72">
            <v>3073.5940000000001</v>
          </cell>
          <cell r="AH72">
            <v>120</v>
          </cell>
          <cell r="AI72">
            <v>2</v>
          </cell>
          <cell r="AJ72">
            <v>14</v>
          </cell>
          <cell r="AK72">
            <v>35.587142857142858</v>
          </cell>
          <cell r="AL72">
            <v>0.16209999999999999</v>
          </cell>
          <cell r="AM72">
            <v>294.75032039999996</v>
          </cell>
          <cell r="AN72" t="str">
            <v>K580</v>
          </cell>
          <cell r="AO72">
            <v>0.5544</v>
          </cell>
          <cell r="AP72">
            <v>4.1518333333333333</v>
          </cell>
        </row>
        <row r="73">
          <cell r="C73">
            <v>61109125</v>
          </cell>
          <cell r="D73" t="str">
            <v>HW BLUCUR 30 12/1L NB US</v>
          </cell>
          <cell r="E73" t="str">
            <v>FS10</v>
          </cell>
          <cell r="F73" t="str">
            <v>33BG01</v>
          </cell>
          <cell r="G73">
            <v>9445.5540000000001</v>
          </cell>
          <cell r="H73">
            <v>1000</v>
          </cell>
          <cell r="I73" t="str">
            <v>MR33B10-S</v>
          </cell>
          <cell r="J73" t="str">
            <v>12</v>
          </cell>
          <cell r="K73">
            <v>113346.648</v>
          </cell>
          <cell r="L73">
            <v>1.3332999999999999</v>
          </cell>
          <cell r="M73">
            <v>12593.7571482</v>
          </cell>
          <cell r="N73">
            <v>6</v>
          </cell>
          <cell r="O73">
            <v>1</v>
          </cell>
          <cell r="P73">
            <v>0</v>
          </cell>
          <cell r="Q73">
            <v>7</v>
          </cell>
          <cell r="R73">
            <v>205.62</v>
          </cell>
          <cell r="S73">
            <v>43.49</v>
          </cell>
          <cell r="T73">
            <v>0</v>
          </cell>
          <cell r="U73">
            <v>249.11</v>
          </cell>
          <cell r="V73">
            <v>280</v>
          </cell>
          <cell r="W73">
            <v>16800</v>
          </cell>
          <cell r="X73">
            <v>0.55000000000000004</v>
          </cell>
          <cell r="Y73">
            <v>9240</v>
          </cell>
          <cell r="Z73" t="str">
            <v>12</v>
          </cell>
          <cell r="AA73">
            <v>770</v>
          </cell>
          <cell r="AB73">
            <v>1.3</v>
          </cell>
          <cell r="AC73">
            <v>0.32379999999999998</v>
          </cell>
          <cell r="AD73">
            <v>3058.4703851999998</v>
          </cell>
          <cell r="AE73">
            <v>30735.94</v>
          </cell>
          <cell r="AF73">
            <v>10</v>
          </cell>
          <cell r="AG73">
            <v>3073.5940000000001</v>
          </cell>
          <cell r="AH73">
            <v>120</v>
          </cell>
          <cell r="AI73">
            <v>2</v>
          </cell>
          <cell r="AJ73">
            <v>14</v>
          </cell>
          <cell r="AK73">
            <v>35.587142857142858</v>
          </cell>
          <cell r="AL73">
            <v>0.16209999999999999</v>
          </cell>
          <cell r="AM73">
            <v>1531.1243033999999</v>
          </cell>
          <cell r="AN73" t="str">
            <v>K581</v>
          </cell>
          <cell r="AO73">
            <v>0.53859999999999997</v>
          </cell>
          <cell r="AP73">
            <v>4.1518333333333333</v>
          </cell>
        </row>
        <row r="74">
          <cell r="C74">
            <v>61109165</v>
          </cell>
          <cell r="D74" t="str">
            <v>HW CD BAN 30 12/1L NB US</v>
          </cell>
          <cell r="E74" t="str">
            <v>FS10</v>
          </cell>
          <cell r="F74" t="str">
            <v>33BG01</v>
          </cell>
          <cell r="G74">
            <v>951.13799999999992</v>
          </cell>
          <cell r="H74">
            <v>1000</v>
          </cell>
          <cell r="I74" t="str">
            <v>MR33B10</v>
          </cell>
          <cell r="J74" t="str">
            <v>12</v>
          </cell>
          <cell r="K74">
            <v>11413.655999999999</v>
          </cell>
          <cell r="L74">
            <v>1.3332999999999999</v>
          </cell>
          <cell r="M74">
            <v>1268.1522953999997</v>
          </cell>
          <cell r="N74">
            <v>6</v>
          </cell>
          <cell r="O74">
            <v>1</v>
          </cell>
          <cell r="P74">
            <v>0</v>
          </cell>
          <cell r="Q74">
            <v>7</v>
          </cell>
          <cell r="R74">
            <v>205.62</v>
          </cell>
          <cell r="S74">
            <v>43.49</v>
          </cell>
          <cell r="T74">
            <v>0</v>
          </cell>
          <cell r="U74">
            <v>249.11</v>
          </cell>
          <cell r="V74">
            <v>280</v>
          </cell>
          <cell r="W74">
            <v>16800</v>
          </cell>
          <cell r="X74">
            <v>0.55000000000000004</v>
          </cell>
          <cell r="Y74">
            <v>9240</v>
          </cell>
          <cell r="Z74" t="str">
            <v>12</v>
          </cell>
          <cell r="AA74">
            <v>770</v>
          </cell>
          <cell r="AB74">
            <v>1.3</v>
          </cell>
          <cell r="AC74">
            <v>0.32379999999999998</v>
          </cell>
          <cell r="AD74">
            <v>307.97848439999996</v>
          </cell>
          <cell r="AE74">
            <v>30735.94</v>
          </cell>
          <cell r="AF74">
            <v>10</v>
          </cell>
          <cell r="AG74">
            <v>3073.5940000000001</v>
          </cell>
          <cell r="AH74">
            <v>120</v>
          </cell>
          <cell r="AI74">
            <v>2</v>
          </cell>
          <cell r="AJ74">
            <v>14</v>
          </cell>
          <cell r="AK74">
            <v>35.587142857142858</v>
          </cell>
          <cell r="AL74">
            <v>0.16209999999999999</v>
          </cell>
          <cell r="AM74">
            <v>154.17946979999999</v>
          </cell>
          <cell r="AN74" t="str">
            <v>K620</v>
          </cell>
          <cell r="AO74">
            <v>0.6169</v>
          </cell>
          <cell r="AP74">
            <v>4.1518333333333333</v>
          </cell>
        </row>
        <row r="75">
          <cell r="C75">
            <v>61109227</v>
          </cell>
          <cell r="D75" t="str">
            <v>HW CD CACBR 30 12/1L NB US</v>
          </cell>
          <cell r="E75" t="str">
            <v>FS10</v>
          </cell>
          <cell r="F75" t="str">
            <v>33BG01</v>
          </cell>
          <cell r="G75">
            <v>2812.3919999999998</v>
          </cell>
          <cell r="H75">
            <v>1000</v>
          </cell>
          <cell r="I75" t="str">
            <v>MR33B10</v>
          </cell>
          <cell r="J75" t="str">
            <v>12</v>
          </cell>
          <cell r="K75">
            <v>33748.703999999998</v>
          </cell>
          <cell r="L75">
            <v>1.3332999999999999</v>
          </cell>
          <cell r="M75">
            <v>3749.7622535999994</v>
          </cell>
          <cell r="N75">
            <v>6</v>
          </cell>
          <cell r="O75">
            <v>1</v>
          </cell>
          <cell r="P75">
            <v>0</v>
          </cell>
          <cell r="Q75">
            <v>7</v>
          </cell>
          <cell r="R75">
            <v>205.62</v>
          </cell>
          <cell r="S75">
            <v>43.49</v>
          </cell>
          <cell r="T75">
            <v>0</v>
          </cell>
          <cell r="U75">
            <v>249.11</v>
          </cell>
          <cell r="V75">
            <v>280</v>
          </cell>
          <cell r="W75">
            <v>16800</v>
          </cell>
          <cell r="X75">
            <v>0.55000000000000004</v>
          </cell>
          <cell r="Y75">
            <v>9240</v>
          </cell>
          <cell r="Z75" t="str">
            <v>12</v>
          </cell>
          <cell r="AA75">
            <v>770</v>
          </cell>
          <cell r="AB75">
            <v>1.3</v>
          </cell>
          <cell r="AC75">
            <v>0.32379999999999998</v>
          </cell>
          <cell r="AD75">
            <v>910.65252959999987</v>
          </cell>
          <cell r="AE75">
            <v>30735.94</v>
          </cell>
          <cell r="AF75">
            <v>10</v>
          </cell>
          <cell r="AG75">
            <v>3073.5940000000001</v>
          </cell>
          <cell r="AH75">
            <v>120</v>
          </cell>
          <cell r="AI75">
            <v>2</v>
          </cell>
          <cell r="AJ75">
            <v>14</v>
          </cell>
          <cell r="AK75">
            <v>35.587142857142858</v>
          </cell>
          <cell r="AL75">
            <v>0.16209999999999999</v>
          </cell>
          <cell r="AM75">
            <v>455.88874319999996</v>
          </cell>
          <cell r="AN75" t="str">
            <v>K938</v>
          </cell>
          <cell r="AO75">
            <v>0.57450000000000001</v>
          </cell>
          <cell r="AP75">
            <v>4.1518333333333333</v>
          </cell>
        </row>
        <row r="76">
          <cell r="C76">
            <v>61109285</v>
          </cell>
          <cell r="D76" t="str">
            <v>HW CDM GR 30 12/1L NB US</v>
          </cell>
          <cell r="E76" t="str">
            <v>FS10</v>
          </cell>
          <cell r="F76" t="str">
            <v>33BG01</v>
          </cell>
          <cell r="G76">
            <v>628.68599999999992</v>
          </cell>
          <cell r="H76">
            <v>1000</v>
          </cell>
          <cell r="I76" t="str">
            <v>MR33B10</v>
          </cell>
          <cell r="J76" t="str">
            <v>12</v>
          </cell>
          <cell r="K76">
            <v>7544.2319999999991</v>
          </cell>
          <cell r="L76">
            <v>1.3332999999999999</v>
          </cell>
          <cell r="M76">
            <v>838.22704379999982</v>
          </cell>
          <cell r="N76">
            <v>6</v>
          </cell>
          <cell r="O76">
            <v>1</v>
          </cell>
          <cell r="P76">
            <v>0</v>
          </cell>
          <cell r="Q76">
            <v>7</v>
          </cell>
          <cell r="R76">
            <v>205.62</v>
          </cell>
          <cell r="S76">
            <v>43.49</v>
          </cell>
          <cell r="T76">
            <v>0</v>
          </cell>
          <cell r="U76">
            <v>249.11</v>
          </cell>
          <cell r="V76">
            <v>280</v>
          </cell>
          <cell r="W76">
            <v>16800</v>
          </cell>
          <cell r="X76">
            <v>0.55000000000000004</v>
          </cell>
          <cell r="Y76">
            <v>9240</v>
          </cell>
          <cell r="Z76" t="str">
            <v>12</v>
          </cell>
          <cell r="AA76">
            <v>770</v>
          </cell>
          <cell r="AB76">
            <v>1.3</v>
          </cell>
          <cell r="AC76">
            <v>0.32379999999999998</v>
          </cell>
          <cell r="AD76">
            <v>203.56852679999997</v>
          </cell>
          <cell r="AE76">
            <v>30735.94</v>
          </cell>
          <cell r="AF76">
            <v>10</v>
          </cell>
          <cell r="AG76">
            <v>3073.5940000000001</v>
          </cell>
          <cell r="AH76">
            <v>120</v>
          </cell>
          <cell r="AI76">
            <v>2</v>
          </cell>
          <cell r="AJ76">
            <v>14</v>
          </cell>
          <cell r="AK76">
            <v>35.587142857142858</v>
          </cell>
          <cell r="AL76">
            <v>0.16209999999999999</v>
          </cell>
          <cell r="AM76">
            <v>101.91000059999999</v>
          </cell>
          <cell r="AN76" t="str">
            <v>K607</v>
          </cell>
          <cell r="AO76">
            <v>0.68399999999999994</v>
          </cell>
          <cell r="AP76">
            <v>4.1518333333333333</v>
          </cell>
        </row>
        <row r="77">
          <cell r="C77">
            <v>61109310</v>
          </cell>
          <cell r="D77" t="str">
            <v>HW CDM WH 30 12/1L NB US</v>
          </cell>
          <cell r="E77" t="str">
            <v>FS10</v>
          </cell>
          <cell r="F77" t="str">
            <v>33BG01</v>
          </cell>
          <cell r="G77">
            <v>712.63799999999992</v>
          </cell>
          <cell r="H77">
            <v>1000</v>
          </cell>
          <cell r="I77" t="str">
            <v>MR33B10</v>
          </cell>
          <cell r="J77" t="str">
            <v>12</v>
          </cell>
          <cell r="K77">
            <v>8551.655999999999</v>
          </cell>
          <cell r="L77">
            <v>1.3332999999999999</v>
          </cell>
          <cell r="M77">
            <v>950.16024539999989</v>
          </cell>
          <cell r="N77">
            <v>6</v>
          </cell>
          <cell r="O77">
            <v>1</v>
          </cell>
          <cell r="P77">
            <v>0</v>
          </cell>
          <cell r="Q77">
            <v>7</v>
          </cell>
          <cell r="R77">
            <v>205.62</v>
          </cell>
          <cell r="S77">
            <v>43.49</v>
          </cell>
          <cell r="T77">
            <v>0</v>
          </cell>
          <cell r="U77">
            <v>249.11</v>
          </cell>
          <cell r="V77">
            <v>280</v>
          </cell>
          <cell r="W77">
            <v>16800</v>
          </cell>
          <cell r="X77">
            <v>0.55000000000000004</v>
          </cell>
          <cell r="Y77">
            <v>9240</v>
          </cell>
          <cell r="Z77" t="str">
            <v>12</v>
          </cell>
          <cell r="AA77">
            <v>770</v>
          </cell>
          <cell r="AB77">
            <v>1.3</v>
          </cell>
          <cell r="AC77">
            <v>0.32379999999999998</v>
          </cell>
          <cell r="AD77">
            <v>230.75218439999995</v>
          </cell>
          <cell r="AE77">
            <v>30735.94</v>
          </cell>
          <cell r="AF77">
            <v>10</v>
          </cell>
          <cell r="AG77">
            <v>3073.5940000000001</v>
          </cell>
          <cell r="AH77">
            <v>120</v>
          </cell>
          <cell r="AI77">
            <v>2</v>
          </cell>
          <cell r="AJ77">
            <v>14</v>
          </cell>
          <cell r="AK77">
            <v>35.587142857142858</v>
          </cell>
          <cell r="AL77">
            <v>0.16209999999999999</v>
          </cell>
          <cell r="AM77">
            <v>115.51861979999998</v>
          </cell>
          <cell r="AN77" t="str">
            <v>K319</v>
          </cell>
          <cell r="AO77">
            <v>0.66070000000000007</v>
          </cell>
          <cell r="AP77">
            <v>4.1518333333333333</v>
          </cell>
        </row>
        <row r="78">
          <cell r="C78">
            <v>61109435</v>
          </cell>
          <cell r="D78" t="str">
            <v>HW ORG CUR 30 12/1L NB US</v>
          </cell>
          <cell r="E78" t="str">
            <v>FS10</v>
          </cell>
          <cell r="F78" t="str">
            <v>33BG02</v>
          </cell>
          <cell r="G78">
            <v>6403.2479999999996</v>
          </cell>
          <cell r="H78">
            <v>1000</v>
          </cell>
          <cell r="I78" t="str">
            <v>MR33B10-FY13</v>
          </cell>
          <cell r="J78" t="str">
            <v>12</v>
          </cell>
          <cell r="K78">
            <v>76838.975999999995</v>
          </cell>
          <cell r="L78">
            <v>1.3332999999999999</v>
          </cell>
          <cell r="M78">
            <v>8537.4505583999999</v>
          </cell>
          <cell r="N78">
            <v>6</v>
          </cell>
          <cell r="O78">
            <v>1</v>
          </cell>
          <cell r="P78">
            <v>0</v>
          </cell>
          <cell r="Q78">
            <v>7</v>
          </cell>
          <cell r="R78">
            <v>205.62</v>
          </cell>
          <cell r="S78">
            <v>43.49</v>
          </cell>
          <cell r="T78">
            <v>0</v>
          </cell>
          <cell r="U78">
            <v>249.11</v>
          </cell>
          <cell r="V78">
            <v>280</v>
          </cell>
          <cell r="W78">
            <v>16800</v>
          </cell>
          <cell r="X78">
            <v>0.55000000000000004</v>
          </cell>
          <cell r="Y78">
            <v>9240</v>
          </cell>
          <cell r="Z78" t="str">
            <v>12</v>
          </cell>
          <cell r="AA78">
            <v>770</v>
          </cell>
          <cell r="AB78">
            <v>1.3</v>
          </cell>
          <cell r="AC78">
            <v>0.32379999999999998</v>
          </cell>
          <cell r="AD78">
            <v>2073.3717023999998</v>
          </cell>
          <cell r="AE78">
            <v>143150.696</v>
          </cell>
          <cell r="AF78">
            <v>12</v>
          </cell>
          <cell r="AG78">
            <v>11929.22467</v>
          </cell>
          <cell r="AH78">
            <v>120</v>
          </cell>
          <cell r="AI78">
            <v>2</v>
          </cell>
          <cell r="AJ78">
            <v>14</v>
          </cell>
          <cell r="AK78">
            <v>35.587142857142858</v>
          </cell>
          <cell r="AL78">
            <v>4.1799999999999997E-2</v>
          </cell>
          <cell r="AM78">
            <v>267.65576639999995</v>
          </cell>
          <cell r="AN78" t="str">
            <v>K943</v>
          </cell>
          <cell r="AO78">
            <v>0.40449999999999997</v>
          </cell>
          <cell r="AP78">
            <v>4.1518333333333333</v>
          </cell>
        </row>
        <row r="79">
          <cell r="C79">
            <v>61109485</v>
          </cell>
          <cell r="D79" t="str">
            <v>HW BLKRSP 33 12/1L NB US</v>
          </cell>
          <cell r="E79" t="str">
            <v>FS10</v>
          </cell>
          <cell r="F79" t="str">
            <v>33BG01</v>
          </cell>
          <cell r="G79">
            <v>2825.748</v>
          </cell>
          <cell r="H79">
            <v>1000</v>
          </cell>
          <cell r="I79" t="str">
            <v>MR33B10</v>
          </cell>
          <cell r="J79" t="str">
            <v>12</v>
          </cell>
          <cell r="K79">
            <v>33908.976000000002</v>
          </cell>
          <cell r="L79">
            <v>1.3332999999999999</v>
          </cell>
          <cell r="M79">
            <v>3767.5698084000001</v>
          </cell>
          <cell r="N79">
            <v>6</v>
          </cell>
          <cell r="O79">
            <v>1</v>
          </cell>
          <cell r="P79">
            <v>0</v>
          </cell>
          <cell r="Q79">
            <v>7</v>
          </cell>
          <cell r="R79">
            <v>205.62</v>
          </cell>
          <cell r="S79">
            <v>43.49</v>
          </cell>
          <cell r="T79">
            <v>0</v>
          </cell>
          <cell r="U79">
            <v>249.11</v>
          </cell>
          <cell r="V79">
            <v>280</v>
          </cell>
          <cell r="W79">
            <v>16800</v>
          </cell>
          <cell r="X79">
            <v>0.55000000000000004</v>
          </cell>
          <cell r="Y79">
            <v>9240</v>
          </cell>
          <cell r="Z79" t="str">
            <v>12</v>
          </cell>
          <cell r="AA79">
            <v>770</v>
          </cell>
          <cell r="AB79">
            <v>1.3</v>
          </cell>
          <cell r="AC79">
            <v>0.32379999999999998</v>
          </cell>
          <cell r="AD79">
            <v>914.9772023999999</v>
          </cell>
          <cell r="AE79">
            <v>30735.94</v>
          </cell>
          <cell r="AF79">
            <v>10</v>
          </cell>
          <cell r="AG79">
            <v>3073.5940000000001</v>
          </cell>
          <cell r="AH79">
            <v>120</v>
          </cell>
          <cell r="AI79">
            <v>2</v>
          </cell>
          <cell r="AJ79">
            <v>14</v>
          </cell>
          <cell r="AK79">
            <v>35.587142857142858</v>
          </cell>
          <cell r="AL79">
            <v>0.16209999999999999</v>
          </cell>
          <cell r="AM79">
            <v>458.05375079999999</v>
          </cell>
          <cell r="AN79" t="str">
            <v>K924</v>
          </cell>
          <cell r="AO79">
            <v>0.53439999999999999</v>
          </cell>
          <cell r="AP79">
            <v>4.1518333333333333</v>
          </cell>
        </row>
        <row r="80">
          <cell r="C80">
            <v>61112100</v>
          </cell>
          <cell r="D80" t="str">
            <v>HW ANISET WH 60 6/1.75 PT US</v>
          </cell>
          <cell r="E80" t="str">
            <v>FS12</v>
          </cell>
          <cell r="F80" t="str">
            <v>08AP01</v>
          </cell>
          <cell r="G80">
            <v>1408.104</v>
          </cell>
          <cell r="H80">
            <v>1750</v>
          </cell>
          <cell r="I80" t="str">
            <v>MR08A12</v>
          </cell>
          <cell r="J80" t="str">
            <v>6</v>
          </cell>
          <cell r="K80">
            <v>8448.6239999999998</v>
          </cell>
          <cell r="L80">
            <v>1.1667000000000001</v>
          </cell>
          <cell r="M80">
            <v>1642.8349368000002</v>
          </cell>
          <cell r="N80">
            <v>4</v>
          </cell>
          <cell r="O80">
            <v>1</v>
          </cell>
          <cell r="P80">
            <v>0</v>
          </cell>
          <cell r="Q80">
            <v>5</v>
          </cell>
          <cell r="R80">
            <v>137.08000000000001</v>
          </cell>
          <cell r="S80">
            <v>43.49</v>
          </cell>
          <cell r="T80">
            <v>0</v>
          </cell>
          <cell r="U80">
            <v>180.57000000000002</v>
          </cell>
          <cell r="V80">
            <v>110</v>
          </cell>
          <cell r="W80">
            <v>6600</v>
          </cell>
          <cell r="X80">
            <v>0.55000000000000004</v>
          </cell>
          <cell r="Y80">
            <v>3630.0000000000005</v>
          </cell>
          <cell r="Z80" t="str">
            <v>6</v>
          </cell>
          <cell r="AA80">
            <v>605.00000000000011</v>
          </cell>
          <cell r="AB80">
            <v>1.65</v>
          </cell>
          <cell r="AC80">
            <v>0.2979</v>
          </cell>
          <cell r="AD80">
            <v>419.47418160000001</v>
          </cell>
          <cell r="AE80">
            <v>19419.063999999998</v>
          </cell>
          <cell r="AF80">
            <v>5</v>
          </cell>
          <cell r="AG80">
            <v>3883.8128000000002</v>
          </cell>
          <cell r="AH80">
            <v>120</v>
          </cell>
          <cell r="AI80">
            <v>2</v>
          </cell>
          <cell r="AJ80">
            <v>10</v>
          </cell>
          <cell r="AK80">
            <v>36.114000000000004</v>
          </cell>
          <cell r="AL80">
            <v>9.2999999999999999E-2</v>
          </cell>
          <cell r="AM80">
            <v>130.95367200000001</v>
          </cell>
          <cell r="AN80" t="str">
            <v>K329</v>
          </cell>
          <cell r="AO80">
            <v>0.45500000000000002</v>
          </cell>
          <cell r="AP80">
            <v>3.0095000000000005</v>
          </cell>
        </row>
        <row r="81">
          <cell r="C81">
            <v>61200003</v>
          </cell>
          <cell r="D81" t="str">
            <v>HW PEP SCH 90 120/50 SW PT US</v>
          </cell>
          <cell r="E81" t="str">
            <v>FS03</v>
          </cell>
          <cell r="F81" t="str">
            <v>08FP01</v>
          </cell>
          <cell r="G81">
            <v>11530.39</v>
          </cell>
          <cell r="H81" t="str">
            <v>50</v>
          </cell>
          <cell r="I81" t="str">
            <v>MR08F03-V</v>
          </cell>
          <cell r="J81" t="str">
            <v>120</v>
          </cell>
          <cell r="K81">
            <v>1383646.7999999998</v>
          </cell>
          <cell r="L81">
            <v>0.66669999999999996</v>
          </cell>
          <cell r="M81">
            <v>7687.3110129999995</v>
          </cell>
          <cell r="N81">
            <v>4</v>
          </cell>
          <cell r="O81">
            <v>1</v>
          </cell>
          <cell r="P81">
            <v>0</v>
          </cell>
          <cell r="Q81">
            <v>5</v>
          </cell>
          <cell r="R81">
            <v>137.08000000000001</v>
          </cell>
          <cell r="S81">
            <v>43.49</v>
          </cell>
          <cell r="T81">
            <v>0</v>
          </cell>
          <cell r="U81">
            <v>180.57000000000002</v>
          </cell>
          <cell r="V81">
            <v>380</v>
          </cell>
          <cell r="W81">
            <v>22800</v>
          </cell>
          <cell r="X81">
            <v>0.45</v>
          </cell>
          <cell r="Y81">
            <v>10260</v>
          </cell>
          <cell r="Z81" t="str">
            <v>120</v>
          </cell>
          <cell r="AA81">
            <v>85.5</v>
          </cell>
          <cell r="AB81">
            <v>11.7</v>
          </cell>
          <cell r="AC81">
            <v>2.1126999999999998</v>
          </cell>
          <cell r="AD81">
            <v>24360.254952999996</v>
          </cell>
          <cell r="AE81">
            <v>22470.449999999997</v>
          </cell>
          <cell r="AF81">
            <v>4</v>
          </cell>
          <cell r="AG81">
            <v>5617.6125000000002</v>
          </cell>
          <cell r="AH81">
            <v>120</v>
          </cell>
          <cell r="AI81">
            <v>2</v>
          </cell>
          <cell r="AJ81">
            <v>10</v>
          </cell>
          <cell r="AK81">
            <v>36.114000000000004</v>
          </cell>
          <cell r="AL81">
            <v>6.4299999999999996E-2</v>
          </cell>
          <cell r="AM81">
            <v>741.40407699999992</v>
          </cell>
          <cell r="AN81" t="str">
            <v>K525</v>
          </cell>
          <cell r="AO81">
            <v>2.2787999999999995</v>
          </cell>
          <cell r="AP81">
            <v>3.0095000000000005</v>
          </cell>
        </row>
        <row r="82">
          <cell r="C82">
            <v>61200004</v>
          </cell>
          <cell r="D82" t="str">
            <v>HW PEP SCH 60 120/50 SW PT US</v>
          </cell>
          <cell r="E82" t="str">
            <v>FS03</v>
          </cell>
          <cell r="F82" t="str">
            <v>08FP01</v>
          </cell>
          <cell r="G82">
            <v>7467.0599999999995</v>
          </cell>
          <cell r="H82" t="str">
            <v>50</v>
          </cell>
          <cell r="I82" t="str">
            <v>MR08F03-V</v>
          </cell>
          <cell r="J82" t="str">
            <v>120</v>
          </cell>
          <cell r="K82">
            <v>896047.2</v>
          </cell>
          <cell r="L82">
            <v>0.66669999999999996</v>
          </cell>
          <cell r="M82">
            <v>4978.2889019999993</v>
          </cell>
          <cell r="N82">
            <v>4</v>
          </cell>
          <cell r="O82">
            <v>1</v>
          </cell>
          <cell r="P82">
            <v>0</v>
          </cell>
          <cell r="Q82">
            <v>5</v>
          </cell>
          <cell r="R82">
            <v>137.08000000000001</v>
          </cell>
          <cell r="S82">
            <v>43.49</v>
          </cell>
          <cell r="T82">
            <v>0</v>
          </cell>
          <cell r="U82">
            <v>180.57000000000002</v>
          </cell>
          <cell r="V82">
            <v>380</v>
          </cell>
          <cell r="W82">
            <v>22800</v>
          </cell>
          <cell r="X82">
            <v>0.45</v>
          </cell>
          <cell r="Y82">
            <v>10260</v>
          </cell>
          <cell r="Z82" t="str">
            <v>120</v>
          </cell>
          <cell r="AA82">
            <v>85.5</v>
          </cell>
          <cell r="AB82">
            <v>11.7</v>
          </cell>
          <cell r="AC82">
            <v>2.1126999999999998</v>
          </cell>
          <cell r="AD82">
            <v>15775.657661999998</v>
          </cell>
          <cell r="AE82">
            <v>22470.449999999997</v>
          </cell>
          <cell r="AF82">
            <v>4</v>
          </cell>
          <cell r="AG82">
            <v>5617.6125000000002</v>
          </cell>
          <cell r="AH82">
            <v>120</v>
          </cell>
          <cell r="AI82">
            <v>2</v>
          </cell>
          <cell r="AJ82">
            <v>10</v>
          </cell>
          <cell r="AK82">
            <v>36.114000000000004</v>
          </cell>
          <cell r="AL82">
            <v>6.4299999999999996E-2</v>
          </cell>
          <cell r="AM82">
            <v>480.13195799999994</v>
          </cell>
          <cell r="AN82" t="str">
            <v>K323</v>
          </cell>
          <cell r="AO82">
            <v>2.2817999999999996</v>
          </cell>
          <cell r="AP82">
            <v>3.0095000000000005</v>
          </cell>
        </row>
        <row r="83">
          <cell r="C83">
            <v>61203077</v>
          </cell>
          <cell r="D83" t="str">
            <v>HW PEP SCH 60 48/200 NB FSK US</v>
          </cell>
          <cell r="E83" t="str">
            <v>FS05</v>
          </cell>
          <cell r="F83" t="str">
            <v>09EG01</v>
          </cell>
          <cell r="G83">
            <v>3776.21</v>
          </cell>
          <cell r="H83" t="str">
            <v>200</v>
          </cell>
          <cell r="I83" t="str">
            <v>MR09E05</v>
          </cell>
          <cell r="J83" t="str">
            <v>48</v>
          </cell>
          <cell r="K83">
            <v>181258.08000000002</v>
          </cell>
          <cell r="L83">
            <v>1.0667</v>
          </cell>
          <cell r="M83">
            <v>4028.0832070000001</v>
          </cell>
          <cell r="N83">
            <v>4</v>
          </cell>
          <cell r="O83">
            <v>1</v>
          </cell>
          <cell r="P83">
            <v>1</v>
          </cell>
          <cell r="Q83">
            <v>6</v>
          </cell>
          <cell r="R83">
            <v>137.08000000000001</v>
          </cell>
          <cell r="S83">
            <v>43.49</v>
          </cell>
          <cell r="T83">
            <v>18.84</v>
          </cell>
          <cell r="U83">
            <v>199.41000000000003</v>
          </cell>
          <cell r="V83">
            <v>240</v>
          </cell>
          <cell r="W83">
            <v>14400</v>
          </cell>
          <cell r="X83">
            <v>0.45</v>
          </cell>
          <cell r="Y83">
            <v>6480</v>
          </cell>
          <cell r="Z83" t="str">
            <v>48</v>
          </cell>
          <cell r="AA83">
            <v>135</v>
          </cell>
          <cell r="AB83">
            <v>7.41</v>
          </cell>
          <cell r="AC83">
            <v>1.4776</v>
          </cell>
          <cell r="AD83">
            <v>5579.7278960000003</v>
          </cell>
          <cell r="AE83">
            <v>13023.099999999999</v>
          </cell>
          <cell r="AF83">
            <v>3.25</v>
          </cell>
          <cell r="AG83">
            <v>4007.1076899999998</v>
          </cell>
          <cell r="AH83">
            <v>120</v>
          </cell>
          <cell r="AI83">
            <v>2</v>
          </cell>
          <cell r="AJ83">
            <v>12</v>
          </cell>
          <cell r="AK83">
            <v>33.235000000000007</v>
          </cell>
          <cell r="AL83">
            <v>9.9500000000000005E-2</v>
          </cell>
          <cell r="AM83">
            <v>375.73289500000004</v>
          </cell>
          <cell r="AN83" t="str">
            <v>K323</v>
          </cell>
          <cell r="AO83">
            <v>1.6562999999999999</v>
          </cell>
          <cell r="AP83">
            <v>3.3235000000000006</v>
          </cell>
        </row>
        <row r="84">
          <cell r="C84">
            <v>61203081</v>
          </cell>
          <cell r="D84" t="str">
            <v>HW PEP SCH 90 48/200 NB FSK US</v>
          </cell>
          <cell r="E84" t="str">
            <v>FS05</v>
          </cell>
          <cell r="F84" t="str">
            <v>09EG01</v>
          </cell>
          <cell r="G84">
            <v>6146.8899999999994</v>
          </cell>
          <cell r="H84" t="str">
            <v>200</v>
          </cell>
          <cell r="I84" t="str">
            <v>MR09E05- CORD- FY13</v>
          </cell>
          <cell r="J84" t="str">
            <v>48</v>
          </cell>
          <cell r="K84">
            <v>295050.71999999997</v>
          </cell>
          <cell r="L84">
            <v>1.0667</v>
          </cell>
          <cell r="M84">
            <v>6556.8875629999993</v>
          </cell>
          <cell r="N84">
            <v>4</v>
          </cell>
          <cell r="O84">
            <v>1</v>
          </cell>
          <cell r="P84">
            <v>1</v>
          </cell>
          <cell r="Q84">
            <v>6</v>
          </cell>
          <cell r="R84">
            <v>137.08000000000001</v>
          </cell>
          <cell r="S84">
            <v>43.49</v>
          </cell>
          <cell r="T84">
            <v>18.84</v>
          </cell>
          <cell r="U84">
            <v>199.41000000000003</v>
          </cell>
          <cell r="V84">
            <v>240</v>
          </cell>
          <cell r="W84">
            <v>14400</v>
          </cell>
          <cell r="X84">
            <v>0.45</v>
          </cell>
          <cell r="Y84">
            <v>6480</v>
          </cell>
          <cell r="Z84" t="str">
            <v>48</v>
          </cell>
          <cell r="AA84">
            <v>135</v>
          </cell>
          <cell r="AB84">
            <v>7.41</v>
          </cell>
          <cell r="AC84">
            <v>1.4776</v>
          </cell>
          <cell r="AD84">
            <v>9082.6446639999995</v>
          </cell>
          <cell r="AE84">
            <v>13023.099999999999</v>
          </cell>
          <cell r="AF84">
            <v>3.25</v>
          </cell>
          <cell r="AG84">
            <v>4007.1076899999998</v>
          </cell>
          <cell r="AH84">
            <v>120</v>
          </cell>
          <cell r="AI84">
            <v>2</v>
          </cell>
          <cell r="AJ84">
            <v>12</v>
          </cell>
          <cell r="AK84">
            <v>33.235000000000007</v>
          </cell>
          <cell r="AL84">
            <v>9.9500000000000005E-2</v>
          </cell>
          <cell r="AM84">
            <v>611.61555499999997</v>
          </cell>
          <cell r="AN84" t="str">
            <v>K525</v>
          </cell>
          <cell r="AO84">
            <v>1.6743999999999999</v>
          </cell>
          <cell r="AP84">
            <v>3.3235000000000006</v>
          </cell>
        </row>
        <row r="85">
          <cell r="C85">
            <v>61205026</v>
          </cell>
          <cell r="D85" t="str">
            <v>HW PCH SCH 30 24/375 NB FSK US</v>
          </cell>
          <cell r="E85" t="str">
            <v>FS04</v>
          </cell>
          <cell r="F85" t="str">
            <v>09GG02</v>
          </cell>
          <cell r="G85">
            <v>472.39</v>
          </cell>
          <cell r="H85" t="str">
            <v>375</v>
          </cell>
          <cell r="I85" t="str">
            <v>MR09G04</v>
          </cell>
          <cell r="J85" t="str">
            <v>24</v>
          </cell>
          <cell r="K85">
            <v>11337.36</v>
          </cell>
          <cell r="L85">
            <v>1</v>
          </cell>
          <cell r="M85">
            <v>472.39</v>
          </cell>
          <cell r="N85">
            <v>4</v>
          </cell>
          <cell r="O85">
            <v>1</v>
          </cell>
          <cell r="P85">
            <v>1</v>
          </cell>
          <cell r="Q85">
            <v>6</v>
          </cell>
          <cell r="R85">
            <v>137.08000000000001</v>
          </cell>
          <cell r="S85">
            <v>43.49</v>
          </cell>
          <cell r="T85">
            <v>18.84</v>
          </cell>
          <cell r="U85">
            <v>199.41000000000003</v>
          </cell>
          <cell r="V85">
            <v>230</v>
          </cell>
          <cell r="W85">
            <v>13800</v>
          </cell>
          <cell r="X85">
            <v>0.45</v>
          </cell>
          <cell r="Y85">
            <v>6210</v>
          </cell>
          <cell r="Z85" t="str">
            <v>24</v>
          </cell>
          <cell r="AA85">
            <v>258.75</v>
          </cell>
          <cell r="AB85">
            <v>3.86</v>
          </cell>
          <cell r="AC85">
            <v>0.76970000000000005</v>
          </cell>
          <cell r="AD85">
            <v>363.59858300000002</v>
          </cell>
          <cell r="AE85">
            <v>7622.2139999999999</v>
          </cell>
          <cell r="AF85">
            <v>3</v>
          </cell>
          <cell r="AG85">
            <v>2540.7379999999998</v>
          </cell>
          <cell r="AH85">
            <v>120</v>
          </cell>
          <cell r="AI85">
            <v>2</v>
          </cell>
          <cell r="AJ85">
            <v>12</v>
          </cell>
          <cell r="AK85">
            <v>33.235000000000007</v>
          </cell>
          <cell r="AL85">
            <v>0.157</v>
          </cell>
          <cell r="AM85">
            <v>74.165229999999994</v>
          </cell>
          <cell r="AN85" t="str">
            <v>K272</v>
          </cell>
          <cell r="AO85">
            <v>1.1378000000000001</v>
          </cell>
          <cell r="AP85">
            <v>3.3235000000000006</v>
          </cell>
        </row>
        <row r="86">
          <cell r="C86">
            <v>61205075</v>
          </cell>
          <cell r="D86" t="str">
            <v>HW PEPSCH 60 24/375FSK PTNL US</v>
          </cell>
          <cell r="E86" t="str">
            <v>FS01</v>
          </cell>
          <cell r="F86" t="str">
            <v>08GP01</v>
          </cell>
          <cell r="G86">
            <v>3591.91</v>
          </cell>
          <cell r="H86" t="str">
            <v>375</v>
          </cell>
          <cell r="I86" t="str">
            <v>MR08G01</v>
          </cell>
          <cell r="J86" t="str">
            <v>24</v>
          </cell>
          <cell r="K86">
            <v>86205.84</v>
          </cell>
          <cell r="L86">
            <v>1</v>
          </cell>
          <cell r="M86">
            <v>3591.91</v>
          </cell>
          <cell r="N86">
            <v>4</v>
          </cell>
          <cell r="O86">
            <v>1</v>
          </cell>
          <cell r="P86">
            <v>3</v>
          </cell>
          <cell r="Q86">
            <v>8</v>
          </cell>
          <cell r="R86">
            <v>137.08000000000001</v>
          </cell>
          <cell r="S86">
            <v>43.49</v>
          </cell>
          <cell r="T86">
            <v>56.519999999999996</v>
          </cell>
          <cell r="U86">
            <v>237.09000000000003</v>
          </cell>
          <cell r="V86">
            <v>70</v>
          </cell>
          <cell r="W86">
            <v>4200</v>
          </cell>
          <cell r="X86">
            <v>0.55000000000000004</v>
          </cell>
          <cell r="Y86">
            <v>2310</v>
          </cell>
          <cell r="Z86" t="str">
            <v>24</v>
          </cell>
          <cell r="AA86">
            <v>96.25</v>
          </cell>
          <cell r="AB86">
            <v>10.39</v>
          </cell>
          <cell r="AC86">
            <v>2.4634</v>
          </cell>
          <cell r="AD86">
            <v>8848.3110940000006</v>
          </cell>
          <cell r="AE86">
            <v>7606.74</v>
          </cell>
          <cell r="AF86">
            <v>2</v>
          </cell>
          <cell r="AG86">
            <v>3803.37</v>
          </cell>
          <cell r="AH86">
            <v>120</v>
          </cell>
          <cell r="AI86">
            <v>2</v>
          </cell>
          <cell r="AJ86">
            <v>16</v>
          </cell>
          <cell r="AK86">
            <v>29.636250000000004</v>
          </cell>
          <cell r="AL86">
            <v>0.12470000000000001</v>
          </cell>
          <cell r="AM86">
            <v>447.91117700000001</v>
          </cell>
          <cell r="AN86" t="str">
            <v>K323</v>
          </cell>
          <cell r="AO86">
            <v>2.7860999999999998</v>
          </cell>
          <cell r="AP86">
            <v>3.9515000000000007</v>
          </cell>
        </row>
        <row r="87">
          <cell r="C87">
            <v>61205076</v>
          </cell>
          <cell r="D87" t="str">
            <v>HW PEP SCH 60 24/375 NB FSK US</v>
          </cell>
          <cell r="E87" t="str">
            <v>FS04</v>
          </cell>
          <cell r="F87" t="str">
            <v>09GG01</v>
          </cell>
          <cell r="G87">
            <v>4335.8999999999996</v>
          </cell>
          <cell r="H87" t="str">
            <v>375</v>
          </cell>
          <cell r="I87" t="str">
            <v>MR09G04-XXX</v>
          </cell>
          <cell r="J87" t="str">
            <v>24</v>
          </cell>
          <cell r="K87">
            <v>104061.59999999999</v>
          </cell>
          <cell r="L87">
            <v>1</v>
          </cell>
          <cell r="M87">
            <v>4335.8999999999996</v>
          </cell>
          <cell r="N87">
            <v>4</v>
          </cell>
          <cell r="O87">
            <v>1</v>
          </cell>
          <cell r="P87">
            <v>1</v>
          </cell>
          <cell r="Q87">
            <v>6</v>
          </cell>
          <cell r="R87">
            <v>137.08000000000001</v>
          </cell>
          <cell r="S87">
            <v>43.49</v>
          </cell>
          <cell r="T87">
            <v>18.84</v>
          </cell>
          <cell r="U87">
            <v>199.41000000000003</v>
          </cell>
          <cell r="V87">
            <v>230</v>
          </cell>
          <cell r="W87">
            <v>13800</v>
          </cell>
          <cell r="X87">
            <v>0.45</v>
          </cell>
          <cell r="Y87">
            <v>6210</v>
          </cell>
          <cell r="Z87" t="str">
            <v>24</v>
          </cell>
          <cell r="AA87">
            <v>258.75</v>
          </cell>
          <cell r="AB87">
            <v>3.86</v>
          </cell>
          <cell r="AC87">
            <v>0.76970000000000005</v>
          </cell>
          <cell r="AD87">
            <v>3337.3422299999997</v>
          </cell>
          <cell r="AE87">
            <v>14549.029999999999</v>
          </cell>
          <cell r="AF87">
            <v>3</v>
          </cell>
          <cell r="AG87">
            <v>4849.6766699999998</v>
          </cell>
          <cell r="AH87">
            <v>120</v>
          </cell>
          <cell r="AI87">
            <v>2</v>
          </cell>
          <cell r="AJ87">
            <v>12</v>
          </cell>
          <cell r="AK87">
            <v>33.235000000000007</v>
          </cell>
          <cell r="AL87">
            <v>8.2199999999999995E-2</v>
          </cell>
          <cell r="AM87">
            <v>356.41097999999994</v>
          </cell>
          <cell r="AN87" t="str">
            <v>K323</v>
          </cell>
          <cell r="AO87">
            <v>0.92090000000000005</v>
          </cell>
          <cell r="AP87">
            <v>3.3235000000000006</v>
          </cell>
        </row>
        <row r="88">
          <cell r="C88">
            <v>61205081</v>
          </cell>
          <cell r="D88" t="str">
            <v>HW PEP SCH 90 24/375 NB FSK US</v>
          </cell>
          <cell r="E88" t="str">
            <v>FS04</v>
          </cell>
          <cell r="F88" t="str">
            <v>09GG01</v>
          </cell>
          <cell r="G88">
            <v>10213.129999999999</v>
          </cell>
          <cell r="H88" t="str">
            <v>375</v>
          </cell>
          <cell r="I88" t="str">
            <v>MR09G04-XXX</v>
          </cell>
          <cell r="J88" t="str">
            <v>24</v>
          </cell>
          <cell r="K88">
            <v>245115.12</v>
          </cell>
          <cell r="L88">
            <v>1</v>
          </cell>
          <cell r="M88">
            <v>10213.129999999999</v>
          </cell>
          <cell r="N88">
            <v>4</v>
          </cell>
          <cell r="O88">
            <v>1</v>
          </cell>
          <cell r="P88">
            <v>1</v>
          </cell>
          <cell r="Q88">
            <v>6</v>
          </cell>
          <cell r="R88">
            <v>137.08000000000001</v>
          </cell>
          <cell r="S88">
            <v>43.49</v>
          </cell>
          <cell r="T88">
            <v>18.84</v>
          </cell>
          <cell r="U88">
            <v>199.41000000000003</v>
          </cell>
          <cell r="V88">
            <v>230</v>
          </cell>
          <cell r="W88">
            <v>13800</v>
          </cell>
          <cell r="X88">
            <v>0.45</v>
          </cell>
          <cell r="Y88">
            <v>6210</v>
          </cell>
          <cell r="Z88" t="str">
            <v>24</v>
          </cell>
          <cell r="AA88">
            <v>258.75</v>
          </cell>
          <cell r="AB88">
            <v>3.86</v>
          </cell>
          <cell r="AC88">
            <v>0.76970000000000005</v>
          </cell>
          <cell r="AD88">
            <v>7861.0461610000002</v>
          </cell>
          <cell r="AE88">
            <v>14549.029999999999</v>
          </cell>
          <cell r="AF88">
            <v>3</v>
          </cell>
          <cell r="AG88">
            <v>4849.6766699999998</v>
          </cell>
          <cell r="AH88">
            <v>120</v>
          </cell>
          <cell r="AI88">
            <v>2</v>
          </cell>
          <cell r="AJ88">
            <v>12</v>
          </cell>
          <cell r="AK88">
            <v>33.235000000000007</v>
          </cell>
          <cell r="AL88">
            <v>8.2199999999999995E-2</v>
          </cell>
          <cell r="AM88">
            <v>839.51928599999985</v>
          </cell>
          <cell r="AN88" t="str">
            <v>K525</v>
          </cell>
          <cell r="AO88">
            <v>0.91050000000000009</v>
          </cell>
          <cell r="AP88">
            <v>3.3235000000000006</v>
          </cell>
        </row>
        <row r="89">
          <cell r="C89">
            <v>61205083</v>
          </cell>
          <cell r="D89" t="str">
            <v>HW PEP SCH 90 24/375 FSK PT US</v>
          </cell>
          <cell r="E89" t="str">
            <v>FS01</v>
          </cell>
          <cell r="F89" t="str">
            <v>08GP01</v>
          </cell>
          <cell r="G89">
            <v>4014.83</v>
          </cell>
          <cell r="H89" t="str">
            <v>375</v>
          </cell>
          <cell r="I89" t="str">
            <v>MR08G01</v>
          </cell>
          <cell r="J89" t="str">
            <v>24</v>
          </cell>
          <cell r="K89">
            <v>96355.92</v>
          </cell>
          <cell r="L89">
            <v>1</v>
          </cell>
          <cell r="M89">
            <v>4014.83</v>
          </cell>
          <cell r="N89">
            <v>4</v>
          </cell>
          <cell r="O89">
            <v>1</v>
          </cell>
          <cell r="P89">
            <v>3</v>
          </cell>
          <cell r="Q89">
            <v>8</v>
          </cell>
          <cell r="R89">
            <v>137.08000000000001</v>
          </cell>
          <cell r="S89">
            <v>43.49</v>
          </cell>
          <cell r="T89">
            <v>56.519999999999996</v>
          </cell>
          <cell r="U89">
            <v>237.09000000000003</v>
          </cell>
          <cell r="V89">
            <v>70</v>
          </cell>
          <cell r="W89">
            <v>4200</v>
          </cell>
          <cell r="X89">
            <v>0.55000000000000004</v>
          </cell>
          <cell r="Y89">
            <v>2310</v>
          </cell>
          <cell r="Z89" t="str">
            <v>24</v>
          </cell>
          <cell r="AA89">
            <v>96.25</v>
          </cell>
          <cell r="AB89">
            <v>10.39</v>
          </cell>
          <cell r="AC89">
            <v>2.4634</v>
          </cell>
          <cell r="AD89">
            <v>9890.1322220000002</v>
          </cell>
          <cell r="AE89">
            <v>7606.74</v>
          </cell>
          <cell r="AF89">
            <v>2</v>
          </cell>
          <cell r="AG89">
            <v>3803.37</v>
          </cell>
          <cell r="AH89">
            <v>120</v>
          </cell>
          <cell r="AI89">
            <v>2</v>
          </cell>
          <cell r="AJ89">
            <v>16</v>
          </cell>
          <cell r="AK89">
            <v>29.636250000000004</v>
          </cell>
          <cell r="AL89">
            <v>0.12470000000000001</v>
          </cell>
          <cell r="AM89">
            <v>500.64930100000004</v>
          </cell>
          <cell r="AN89" t="str">
            <v>K525</v>
          </cell>
          <cell r="AO89">
            <v>2.7652999999999999</v>
          </cell>
          <cell r="AP89">
            <v>3.9515000000000007</v>
          </cell>
        </row>
        <row r="90">
          <cell r="C90">
            <v>61208001</v>
          </cell>
          <cell r="D90" t="str">
            <v>HW BTRSCT SCH 30 12/750 NB US</v>
          </cell>
          <cell r="E90" t="str">
            <v>FS10</v>
          </cell>
          <cell r="F90" t="str">
            <v>33CG01</v>
          </cell>
          <cell r="G90">
            <v>2219.36</v>
          </cell>
          <cell r="H90" t="str">
            <v>750</v>
          </cell>
          <cell r="I90" t="str">
            <v>MR33C10</v>
          </cell>
          <cell r="J90" t="str">
            <v>12</v>
          </cell>
          <cell r="K90">
            <v>26632.32</v>
          </cell>
          <cell r="L90">
            <v>1</v>
          </cell>
          <cell r="M90">
            <v>2219.36</v>
          </cell>
          <cell r="N90">
            <v>6</v>
          </cell>
          <cell r="O90">
            <v>1</v>
          </cell>
          <cell r="P90">
            <v>0</v>
          </cell>
          <cell r="Q90">
            <v>7</v>
          </cell>
          <cell r="R90">
            <v>205.62</v>
          </cell>
          <cell r="S90">
            <v>43.49</v>
          </cell>
          <cell r="T90">
            <v>0</v>
          </cell>
          <cell r="U90">
            <v>249.11</v>
          </cell>
          <cell r="V90">
            <v>280</v>
          </cell>
          <cell r="W90">
            <v>16800</v>
          </cell>
          <cell r="X90">
            <v>0.5</v>
          </cell>
          <cell r="Y90">
            <v>8400</v>
          </cell>
          <cell r="Z90" t="str">
            <v>12</v>
          </cell>
          <cell r="AA90">
            <v>700</v>
          </cell>
          <cell r="AB90">
            <v>1.43</v>
          </cell>
          <cell r="AC90">
            <v>0.35620000000000002</v>
          </cell>
          <cell r="AD90">
            <v>790.53603200000009</v>
          </cell>
          <cell r="AE90">
            <v>66913.505999999994</v>
          </cell>
          <cell r="AF90">
            <v>10</v>
          </cell>
          <cell r="AG90">
            <v>6691.3505999999998</v>
          </cell>
          <cell r="AH90">
            <v>120</v>
          </cell>
          <cell r="AI90">
            <v>2</v>
          </cell>
          <cell r="AJ90">
            <v>14</v>
          </cell>
          <cell r="AK90">
            <v>35.587142857142858</v>
          </cell>
          <cell r="AL90">
            <v>7.4499999999999997E-2</v>
          </cell>
          <cell r="AM90">
            <v>165.34232</v>
          </cell>
          <cell r="AN90" t="str">
            <v>K939</v>
          </cell>
          <cell r="AO90">
            <v>0.48680000000000001</v>
          </cell>
          <cell r="AP90">
            <v>4.1518333333333333</v>
          </cell>
        </row>
        <row r="91">
          <cell r="C91">
            <v>61208035</v>
          </cell>
          <cell r="D91" t="str">
            <v>HW PCH SCH 30 12/750 NB US</v>
          </cell>
          <cell r="E91" t="str">
            <v>FS10</v>
          </cell>
          <cell r="F91" t="str">
            <v>33CG02</v>
          </cell>
          <cell r="G91">
            <v>8827</v>
          </cell>
          <cell r="H91" t="str">
            <v>750</v>
          </cell>
          <cell r="I91" t="str">
            <v>MR33C10</v>
          </cell>
          <cell r="J91" t="str">
            <v>12</v>
          </cell>
          <cell r="K91">
            <v>105924</v>
          </cell>
          <cell r="L91">
            <v>1</v>
          </cell>
          <cell r="M91">
            <v>8827</v>
          </cell>
          <cell r="N91">
            <v>6</v>
          </cell>
          <cell r="O91">
            <v>1</v>
          </cell>
          <cell r="P91">
            <v>0</v>
          </cell>
          <cell r="Q91">
            <v>7</v>
          </cell>
          <cell r="R91">
            <v>205.62</v>
          </cell>
          <cell r="S91">
            <v>43.49</v>
          </cell>
          <cell r="T91">
            <v>0</v>
          </cell>
          <cell r="U91">
            <v>249.11</v>
          </cell>
          <cell r="V91">
            <v>280</v>
          </cell>
          <cell r="W91">
            <v>16800</v>
          </cell>
          <cell r="X91">
            <v>0.5</v>
          </cell>
          <cell r="Y91">
            <v>8400</v>
          </cell>
          <cell r="Z91" t="str">
            <v>12</v>
          </cell>
          <cell r="AA91">
            <v>700</v>
          </cell>
          <cell r="AB91">
            <v>1.43</v>
          </cell>
          <cell r="AC91">
            <v>0.35620000000000002</v>
          </cell>
          <cell r="AD91">
            <v>3144.1774</v>
          </cell>
          <cell r="AE91">
            <v>85485.88</v>
          </cell>
          <cell r="AF91">
            <v>12</v>
          </cell>
          <cell r="AG91">
            <v>7123.8233300000002</v>
          </cell>
          <cell r="AH91">
            <v>120</v>
          </cell>
          <cell r="AI91">
            <v>2</v>
          </cell>
          <cell r="AJ91">
            <v>14</v>
          </cell>
          <cell r="AK91">
            <v>35.587142857142858</v>
          </cell>
          <cell r="AL91">
            <v>6.9900000000000004E-2</v>
          </cell>
          <cell r="AM91">
            <v>617.00729999999999</v>
          </cell>
          <cell r="AN91" t="str">
            <v>K272</v>
          </cell>
          <cell r="AO91">
            <v>0.45430000000000004</v>
          </cell>
          <cell r="AP91">
            <v>4.1518333333333333</v>
          </cell>
        </row>
        <row r="92">
          <cell r="C92">
            <v>61208085</v>
          </cell>
          <cell r="D92" t="str">
            <v>HW PEP SCH 60 12/750 NB US</v>
          </cell>
          <cell r="E92" t="str">
            <v>FS10</v>
          </cell>
          <cell r="F92" t="str">
            <v>33CG01</v>
          </cell>
          <cell r="G92">
            <v>14362.789999999999</v>
          </cell>
          <cell r="H92" t="str">
            <v>750</v>
          </cell>
          <cell r="I92" t="str">
            <v>MR33C10</v>
          </cell>
          <cell r="J92" t="str">
            <v>12</v>
          </cell>
          <cell r="K92">
            <v>172353.47999999998</v>
          </cell>
          <cell r="L92">
            <v>1</v>
          </cell>
          <cell r="M92">
            <v>14362.789999999999</v>
          </cell>
          <cell r="N92">
            <v>6</v>
          </cell>
          <cell r="O92">
            <v>1</v>
          </cell>
          <cell r="P92">
            <v>0</v>
          </cell>
          <cell r="Q92">
            <v>7</v>
          </cell>
          <cell r="R92">
            <v>205.62</v>
          </cell>
          <cell r="S92">
            <v>43.49</v>
          </cell>
          <cell r="T92">
            <v>0</v>
          </cell>
          <cell r="U92">
            <v>249.11</v>
          </cell>
          <cell r="V92">
            <v>280</v>
          </cell>
          <cell r="W92">
            <v>16800</v>
          </cell>
          <cell r="X92">
            <v>0.5</v>
          </cell>
          <cell r="Y92">
            <v>8400</v>
          </cell>
          <cell r="Z92" t="str">
            <v>12</v>
          </cell>
          <cell r="AA92">
            <v>700</v>
          </cell>
          <cell r="AB92">
            <v>1.43</v>
          </cell>
          <cell r="AC92">
            <v>0.35620000000000002</v>
          </cell>
          <cell r="AD92">
            <v>5116.0257979999997</v>
          </cell>
          <cell r="AE92">
            <v>66913.505999999994</v>
          </cell>
          <cell r="AF92">
            <v>10</v>
          </cell>
          <cell r="AG92">
            <v>6691.3505999999998</v>
          </cell>
          <cell r="AH92">
            <v>120</v>
          </cell>
          <cell r="AI92">
            <v>2</v>
          </cell>
          <cell r="AJ92">
            <v>14</v>
          </cell>
          <cell r="AK92">
            <v>35.587142857142858</v>
          </cell>
          <cell r="AL92">
            <v>7.4499999999999997E-2</v>
          </cell>
          <cell r="AM92">
            <v>1070.0278549999998</v>
          </cell>
          <cell r="AN92" t="str">
            <v>K323</v>
          </cell>
          <cell r="AO92">
            <v>0.50870000000000004</v>
          </cell>
          <cell r="AP92">
            <v>4.1518333333333333</v>
          </cell>
        </row>
        <row r="93">
          <cell r="C93">
            <v>61208090</v>
          </cell>
          <cell r="D93" t="str">
            <v>HW PEP SCH 90 12/750 NB US</v>
          </cell>
          <cell r="E93" t="str">
            <v>FS10</v>
          </cell>
          <cell r="F93" t="str">
            <v>33CG01</v>
          </cell>
          <cell r="G93">
            <v>14665.43</v>
          </cell>
          <cell r="H93" t="str">
            <v>750</v>
          </cell>
          <cell r="I93" t="str">
            <v>MR33C10-200</v>
          </cell>
          <cell r="J93" t="str">
            <v>12</v>
          </cell>
          <cell r="K93">
            <v>175985.16</v>
          </cell>
          <cell r="L93">
            <v>1</v>
          </cell>
          <cell r="M93">
            <v>14665.43</v>
          </cell>
          <cell r="N93">
            <v>6</v>
          </cell>
          <cell r="O93">
            <v>1</v>
          </cell>
          <cell r="P93">
            <v>0</v>
          </cell>
          <cell r="Q93">
            <v>7</v>
          </cell>
          <cell r="R93">
            <v>205.62</v>
          </cell>
          <cell r="S93">
            <v>43.49</v>
          </cell>
          <cell r="T93">
            <v>0</v>
          </cell>
          <cell r="U93">
            <v>249.11</v>
          </cell>
          <cell r="V93">
            <v>200</v>
          </cell>
          <cell r="W93">
            <v>12000</v>
          </cell>
          <cell r="X93">
            <v>0.5</v>
          </cell>
          <cell r="Y93">
            <v>6000</v>
          </cell>
          <cell r="Z93" t="str">
            <v>12</v>
          </cell>
          <cell r="AA93">
            <v>500</v>
          </cell>
          <cell r="AB93">
            <v>2</v>
          </cell>
          <cell r="AC93">
            <v>0.49819999999999998</v>
          </cell>
          <cell r="AD93">
            <v>7306.3172260000001</v>
          </cell>
          <cell r="AE93">
            <v>66913.505999999994</v>
          </cell>
          <cell r="AF93">
            <v>10</v>
          </cell>
          <cell r="AG93">
            <v>6691.3505999999998</v>
          </cell>
          <cell r="AH93">
            <v>120</v>
          </cell>
          <cell r="AI93">
            <v>2</v>
          </cell>
          <cell r="AJ93">
            <v>14</v>
          </cell>
          <cell r="AK93">
            <v>35.587142857142858</v>
          </cell>
          <cell r="AL93">
            <v>7.4499999999999997E-2</v>
          </cell>
          <cell r="AM93">
            <v>1092.574535</v>
          </cell>
          <cell r="AN93" t="str">
            <v>K525</v>
          </cell>
          <cell r="AO93">
            <v>0.64910000000000001</v>
          </cell>
          <cell r="AP93">
            <v>4.1518333333333333</v>
          </cell>
        </row>
        <row r="94">
          <cell r="C94">
            <v>61208135</v>
          </cell>
          <cell r="D94" t="str">
            <v>HW RTBEER SCH 30 12/750 NB US</v>
          </cell>
          <cell r="E94" t="str">
            <v>FS10</v>
          </cell>
          <cell r="F94" t="str">
            <v>33CG01</v>
          </cell>
          <cell r="G94">
            <v>428.74</v>
          </cell>
          <cell r="H94" t="str">
            <v>750</v>
          </cell>
          <cell r="I94" t="str">
            <v>MR33C10</v>
          </cell>
          <cell r="J94" t="str">
            <v>12</v>
          </cell>
          <cell r="K94">
            <v>5144.88</v>
          </cell>
          <cell r="L94">
            <v>1</v>
          </cell>
          <cell r="M94">
            <v>428.74</v>
          </cell>
          <cell r="N94">
            <v>6</v>
          </cell>
          <cell r="O94">
            <v>1</v>
          </cell>
          <cell r="P94">
            <v>0</v>
          </cell>
          <cell r="Q94">
            <v>7</v>
          </cell>
          <cell r="R94">
            <v>205.62</v>
          </cell>
          <cell r="S94">
            <v>43.49</v>
          </cell>
          <cell r="T94">
            <v>0</v>
          </cell>
          <cell r="U94">
            <v>249.11</v>
          </cell>
          <cell r="V94">
            <v>280</v>
          </cell>
          <cell r="W94">
            <v>16800</v>
          </cell>
          <cell r="X94">
            <v>0.5</v>
          </cell>
          <cell r="Y94">
            <v>8400</v>
          </cell>
          <cell r="Z94" t="str">
            <v>12</v>
          </cell>
          <cell r="AA94">
            <v>700</v>
          </cell>
          <cell r="AB94">
            <v>1.43</v>
          </cell>
          <cell r="AC94">
            <v>0.35620000000000002</v>
          </cell>
          <cell r="AD94">
            <v>152.71718800000002</v>
          </cell>
          <cell r="AE94">
            <v>66913.505999999994</v>
          </cell>
          <cell r="AF94">
            <v>10</v>
          </cell>
          <cell r="AG94">
            <v>6691.3505999999998</v>
          </cell>
          <cell r="AH94">
            <v>120</v>
          </cell>
          <cell r="AI94">
            <v>2</v>
          </cell>
          <cell r="AJ94">
            <v>14</v>
          </cell>
          <cell r="AK94">
            <v>35.587142857142858</v>
          </cell>
          <cell r="AL94">
            <v>7.4499999999999997E-2</v>
          </cell>
          <cell r="AM94">
            <v>31.941129999999998</v>
          </cell>
          <cell r="AN94" t="str">
            <v>K940</v>
          </cell>
          <cell r="AO94">
            <v>0.72120000000000006</v>
          </cell>
          <cell r="AP94">
            <v>4.1518333333333333</v>
          </cell>
        </row>
        <row r="95">
          <cell r="C95">
            <v>61208180</v>
          </cell>
          <cell r="D95" t="str">
            <v>HW SR APL SCH 30 12/750 NB US</v>
          </cell>
          <cell r="E95" t="str">
            <v>FS10</v>
          </cell>
          <cell r="F95" t="str">
            <v>33CG01</v>
          </cell>
          <cell r="G95">
            <v>650.87</v>
          </cell>
          <cell r="H95" t="str">
            <v>750</v>
          </cell>
          <cell r="I95" t="str">
            <v>MR33C10</v>
          </cell>
          <cell r="J95" t="str">
            <v>12</v>
          </cell>
          <cell r="K95">
            <v>7810.4400000000005</v>
          </cell>
          <cell r="L95">
            <v>1</v>
          </cell>
          <cell r="M95">
            <v>650.87</v>
          </cell>
          <cell r="N95">
            <v>6</v>
          </cell>
          <cell r="O95">
            <v>1</v>
          </cell>
          <cell r="P95">
            <v>0</v>
          </cell>
          <cell r="Q95">
            <v>7</v>
          </cell>
          <cell r="R95">
            <v>205.62</v>
          </cell>
          <cell r="S95">
            <v>43.49</v>
          </cell>
          <cell r="T95">
            <v>0</v>
          </cell>
          <cell r="U95">
            <v>249.11</v>
          </cell>
          <cell r="V95">
            <v>280</v>
          </cell>
          <cell r="W95">
            <v>16800</v>
          </cell>
          <cell r="X95">
            <v>0.5</v>
          </cell>
          <cell r="Y95">
            <v>8400</v>
          </cell>
          <cell r="Z95" t="str">
            <v>12</v>
          </cell>
          <cell r="AA95">
            <v>700</v>
          </cell>
          <cell r="AB95">
            <v>1.43</v>
          </cell>
          <cell r="AC95">
            <v>0.35620000000000002</v>
          </cell>
          <cell r="AD95">
            <v>231.83989400000002</v>
          </cell>
          <cell r="AE95">
            <v>66913.505999999994</v>
          </cell>
          <cell r="AF95">
            <v>10</v>
          </cell>
          <cell r="AG95">
            <v>6691.3505999999998</v>
          </cell>
          <cell r="AH95">
            <v>120</v>
          </cell>
          <cell r="AI95">
            <v>2</v>
          </cell>
          <cell r="AJ95">
            <v>14</v>
          </cell>
          <cell r="AK95">
            <v>35.587142857142858</v>
          </cell>
          <cell r="AL95">
            <v>7.4499999999999997E-2</v>
          </cell>
          <cell r="AM95">
            <v>48.489815</v>
          </cell>
          <cell r="AN95" t="str">
            <v>K584</v>
          </cell>
          <cell r="AO95">
            <v>0.62209999999999999</v>
          </cell>
          <cell r="AP95">
            <v>4.1518333333333333</v>
          </cell>
        </row>
        <row r="96">
          <cell r="C96">
            <v>61209001</v>
          </cell>
          <cell r="D96" t="str">
            <v>HW BTRSCT SCH 30 12/1L NB US</v>
          </cell>
          <cell r="E96" t="str">
            <v>FS10</v>
          </cell>
          <cell r="F96" t="str">
            <v>33BG01</v>
          </cell>
          <cell r="G96">
            <v>942.83999999999992</v>
          </cell>
          <cell r="H96">
            <v>1000</v>
          </cell>
          <cell r="I96" t="str">
            <v>MR33B10</v>
          </cell>
          <cell r="J96" t="str">
            <v>12</v>
          </cell>
          <cell r="K96">
            <v>11314.079999999998</v>
          </cell>
          <cell r="L96">
            <v>1.3332999999999999</v>
          </cell>
          <cell r="M96">
            <v>1257.0885719999999</v>
          </cell>
          <cell r="N96">
            <v>6</v>
          </cell>
          <cell r="O96">
            <v>1</v>
          </cell>
          <cell r="P96">
            <v>0</v>
          </cell>
          <cell r="Q96">
            <v>7</v>
          </cell>
          <cell r="R96">
            <v>205.62</v>
          </cell>
          <cell r="S96">
            <v>43.49</v>
          </cell>
          <cell r="T96">
            <v>0</v>
          </cell>
          <cell r="U96">
            <v>249.11</v>
          </cell>
          <cell r="V96">
            <v>280</v>
          </cell>
          <cell r="W96">
            <v>16800</v>
          </cell>
          <cell r="X96">
            <v>0.55000000000000004</v>
          </cell>
          <cell r="Y96">
            <v>9240</v>
          </cell>
          <cell r="Z96" t="str">
            <v>12</v>
          </cell>
          <cell r="AA96">
            <v>770</v>
          </cell>
          <cell r="AB96">
            <v>1.3</v>
          </cell>
          <cell r="AC96">
            <v>0.32379999999999998</v>
          </cell>
          <cell r="AD96">
            <v>305.29159199999992</v>
          </cell>
          <cell r="AE96">
            <v>30735.94</v>
          </cell>
          <cell r="AF96">
            <v>10</v>
          </cell>
          <cell r="AG96">
            <v>3073.5940000000001</v>
          </cell>
          <cell r="AH96">
            <v>120</v>
          </cell>
          <cell r="AI96">
            <v>2</v>
          </cell>
          <cell r="AJ96">
            <v>14</v>
          </cell>
          <cell r="AK96">
            <v>35.587142857142858</v>
          </cell>
          <cell r="AL96">
            <v>0.16209999999999999</v>
          </cell>
          <cell r="AM96">
            <v>152.83436399999999</v>
          </cell>
          <cell r="AN96" t="str">
            <v>K939</v>
          </cell>
          <cell r="AO96">
            <v>0.61799999999999999</v>
          </cell>
          <cell r="AP96">
            <v>4.1518333333333333</v>
          </cell>
        </row>
        <row r="97">
          <cell r="C97">
            <v>61209030</v>
          </cell>
          <cell r="D97" t="str">
            <v>HW PCH SCH 30 12/1L NB US</v>
          </cell>
          <cell r="E97" t="str">
            <v>FS10</v>
          </cell>
          <cell r="F97" t="str">
            <v>33BG02</v>
          </cell>
          <cell r="G97">
            <v>13743.93</v>
          </cell>
          <cell r="H97">
            <v>1000</v>
          </cell>
          <cell r="I97" t="str">
            <v>MR33B10</v>
          </cell>
          <cell r="J97" t="str">
            <v>12</v>
          </cell>
          <cell r="K97">
            <v>164927.16</v>
          </cell>
          <cell r="L97">
            <v>1.3332999999999999</v>
          </cell>
          <cell r="M97">
            <v>18324.781868999999</v>
          </cell>
          <cell r="N97">
            <v>6</v>
          </cell>
          <cell r="O97">
            <v>1</v>
          </cell>
          <cell r="P97">
            <v>0</v>
          </cell>
          <cell r="Q97">
            <v>7</v>
          </cell>
          <cell r="R97">
            <v>205.62</v>
          </cell>
          <cell r="S97">
            <v>43.49</v>
          </cell>
          <cell r="T97">
            <v>0</v>
          </cell>
          <cell r="U97">
            <v>249.11</v>
          </cell>
          <cell r="V97">
            <v>280</v>
          </cell>
          <cell r="W97">
            <v>16800</v>
          </cell>
          <cell r="X97">
            <v>0.55000000000000004</v>
          </cell>
          <cell r="Y97">
            <v>9240</v>
          </cell>
          <cell r="Z97" t="str">
            <v>12</v>
          </cell>
          <cell r="AA97">
            <v>770</v>
          </cell>
          <cell r="AB97">
            <v>1.3</v>
          </cell>
          <cell r="AC97">
            <v>0.32379999999999998</v>
          </cell>
          <cell r="AD97">
            <v>4450.2845339999994</v>
          </cell>
          <cell r="AE97">
            <v>143150.696</v>
          </cell>
          <cell r="AF97">
            <v>12</v>
          </cell>
          <cell r="AG97">
            <v>11929.22467</v>
          </cell>
          <cell r="AH97">
            <v>120</v>
          </cell>
          <cell r="AI97">
            <v>2</v>
          </cell>
          <cell r="AJ97">
            <v>14</v>
          </cell>
          <cell r="AK97">
            <v>35.587142857142858</v>
          </cell>
          <cell r="AL97">
            <v>4.1799999999999997E-2</v>
          </cell>
          <cell r="AM97">
            <v>574.49627399999997</v>
          </cell>
          <cell r="AN97" t="str">
            <v>K272</v>
          </cell>
          <cell r="AO97">
            <v>0.39279999999999998</v>
          </cell>
          <cell r="AP97">
            <v>4.1518333333333333</v>
          </cell>
        </row>
        <row r="98">
          <cell r="C98">
            <v>61209042</v>
          </cell>
          <cell r="D98" t="str">
            <v>HW WATERMEL SR SCH 30 12/1L US</v>
          </cell>
          <cell r="E98" t="str">
            <v>FS10</v>
          </cell>
          <cell r="F98" t="str">
            <v>33BG01</v>
          </cell>
          <cell r="G98">
            <v>844.87</v>
          </cell>
          <cell r="H98">
            <v>1000</v>
          </cell>
          <cell r="I98" t="str">
            <v>MR33B10</v>
          </cell>
          <cell r="J98" t="str">
            <v>12</v>
          </cell>
          <cell r="K98">
            <v>10138.44</v>
          </cell>
          <cell r="L98">
            <v>1.3332999999999999</v>
          </cell>
          <cell r="M98">
            <v>1126.4651710000001</v>
          </cell>
          <cell r="N98">
            <v>6</v>
          </cell>
          <cell r="O98">
            <v>1</v>
          </cell>
          <cell r="P98">
            <v>0</v>
          </cell>
          <cell r="Q98">
            <v>7</v>
          </cell>
          <cell r="R98">
            <v>205.62</v>
          </cell>
          <cell r="S98">
            <v>43.49</v>
          </cell>
          <cell r="T98">
            <v>0</v>
          </cell>
          <cell r="U98">
            <v>249.11</v>
          </cell>
          <cell r="V98">
            <v>280</v>
          </cell>
          <cell r="W98">
            <v>16800</v>
          </cell>
          <cell r="X98">
            <v>0.55000000000000004</v>
          </cell>
          <cell r="Y98">
            <v>9240</v>
          </cell>
          <cell r="Z98" t="str">
            <v>12</v>
          </cell>
          <cell r="AA98">
            <v>770</v>
          </cell>
          <cell r="AB98">
            <v>1.3</v>
          </cell>
          <cell r="AC98">
            <v>0.32379999999999998</v>
          </cell>
          <cell r="AD98">
            <v>273.56890599999997</v>
          </cell>
          <cell r="AE98">
            <v>30735.94</v>
          </cell>
          <cell r="AF98">
            <v>10</v>
          </cell>
          <cell r="AG98">
            <v>3073.5940000000001</v>
          </cell>
          <cell r="AH98">
            <v>120</v>
          </cell>
          <cell r="AI98">
            <v>2</v>
          </cell>
          <cell r="AJ98">
            <v>14</v>
          </cell>
          <cell r="AK98">
            <v>35.587142857142858</v>
          </cell>
          <cell r="AL98">
            <v>0.16209999999999999</v>
          </cell>
          <cell r="AM98">
            <v>136.953427</v>
          </cell>
          <cell r="AN98" t="str">
            <v>K654</v>
          </cell>
          <cell r="AO98">
            <v>0.78079999999999994</v>
          </cell>
          <cell r="AP98">
            <v>4.1518333333333333</v>
          </cell>
        </row>
        <row r="99">
          <cell r="C99">
            <v>61209080</v>
          </cell>
          <cell r="D99" t="str">
            <v>HW PEP SCH 90 12/1L NB US</v>
          </cell>
          <cell r="E99" t="str">
            <v>FS10</v>
          </cell>
          <cell r="F99" t="str">
            <v>33BG01</v>
          </cell>
          <cell r="G99">
            <v>3150.56</v>
          </cell>
          <cell r="H99">
            <v>1000</v>
          </cell>
          <cell r="I99" t="str">
            <v>MR33B10</v>
          </cell>
          <cell r="J99" t="str">
            <v>12</v>
          </cell>
          <cell r="K99">
            <v>37806.720000000001</v>
          </cell>
          <cell r="L99">
            <v>1.3332999999999999</v>
          </cell>
          <cell r="M99">
            <v>4200.6416479999998</v>
          </cell>
          <cell r="N99">
            <v>6</v>
          </cell>
          <cell r="O99">
            <v>1</v>
          </cell>
          <cell r="P99">
            <v>0</v>
          </cell>
          <cell r="Q99">
            <v>7</v>
          </cell>
          <cell r="R99">
            <v>205.62</v>
          </cell>
          <cell r="S99">
            <v>43.49</v>
          </cell>
          <cell r="T99">
            <v>0</v>
          </cell>
          <cell r="U99">
            <v>249.11</v>
          </cell>
          <cell r="V99">
            <v>280</v>
          </cell>
          <cell r="W99">
            <v>16800</v>
          </cell>
          <cell r="X99">
            <v>0.55000000000000004</v>
          </cell>
          <cell r="Y99">
            <v>9240</v>
          </cell>
          <cell r="Z99" t="str">
            <v>12</v>
          </cell>
          <cell r="AA99">
            <v>770</v>
          </cell>
          <cell r="AB99">
            <v>1.3</v>
          </cell>
          <cell r="AC99">
            <v>0.32379999999999998</v>
          </cell>
          <cell r="AD99">
            <v>1020.1513279999999</v>
          </cell>
          <cell r="AE99">
            <v>30735.94</v>
          </cell>
          <cell r="AF99">
            <v>10</v>
          </cell>
          <cell r="AG99">
            <v>3073.5940000000001</v>
          </cell>
          <cell r="AH99">
            <v>120</v>
          </cell>
          <cell r="AI99">
            <v>2</v>
          </cell>
          <cell r="AJ99">
            <v>14</v>
          </cell>
          <cell r="AK99">
            <v>35.587142857142858</v>
          </cell>
          <cell r="AL99">
            <v>0.16209999999999999</v>
          </cell>
          <cell r="AM99">
            <v>510.70577599999996</v>
          </cell>
          <cell r="AN99" t="str">
            <v>K525</v>
          </cell>
          <cell r="AO99">
            <v>0.60450000000000004</v>
          </cell>
          <cell r="AP99">
            <v>4.1518333333333333</v>
          </cell>
        </row>
        <row r="100">
          <cell r="C100">
            <v>61209170</v>
          </cell>
          <cell r="D100" t="str">
            <v>HW SR APL SCH 30 12/1L NB US</v>
          </cell>
          <cell r="E100" t="str">
            <v>FS10</v>
          </cell>
          <cell r="F100" t="str">
            <v>33BG01</v>
          </cell>
          <cell r="G100">
            <v>2523.94</v>
          </cell>
          <cell r="H100">
            <v>1000</v>
          </cell>
          <cell r="I100" t="str">
            <v>MR33B10</v>
          </cell>
          <cell r="J100" t="str">
            <v>12</v>
          </cell>
          <cell r="K100">
            <v>30287.279999999999</v>
          </cell>
          <cell r="L100">
            <v>1.3332999999999999</v>
          </cell>
          <cell r="M100">
            <v>3365.169202</v>
          </cell>
          <cell r="N100">
            <v>6</v>
          </cell>
          <cell r="O100">
            <v>1</v>
          </cell>
          <cell r="P100">
            <v>0</v>
          </cell>
          <cell r="Q100">
            <v>7</v>
          </cell>
          <cell r="R100">
            <v>205.62</v>
          </cell>
          <cell r="S100">
            <v>43.49</v>
          </cell>
          <cell r="T100">
            <v>0</v>
          </cell>
          <cell r="U100">
            <v>249.11</v>
          </cell>
          <cell r="V100">
            <v>280</v>
          </cell>
          <cell r="W100">
            <v>16800</v>
          </cell>
          <cell r="X100">
            <v>0.55000000000000004</v>
          </cell>
          <cell r="Y100">
            <v>9240</v>
          </cell>
          <cell r="Z100" t="str">
            <v>12</v>
          </cell>
          <cell r="AA100">
            <v>770</v>
          </cell>
          <cell r="AB100">
            <v>1.3</v>
          </cell>
          <cell r="AC100">
            <v>0.32379999999999998</v>
          </cell>
          <cell r="AD100">
            <v>817.25177199999996</v>
          </cell>
          <cell r="AE100">
            <v>30735.94</v>
          </cell>
          <cell r="AF100">
            <v>10</v>
          </cell>
          <cell r="AG100">
            <v>3073.5940000000001</v>
          </cell>
          <cell r="AH100">
            <v>120</v>
          </cell>
          <cell r="AI100">
            <v>2</v>
          </cell>
          <cell r="AJ100">
            <v>14</v>
          </cell>
          <cell r="AK100">
            <v>35.587142857142858</v>
          </cell>
          <cell r="AL100">
            <v>0.16209999999999999</v>
          </cell>
          <cell r="AM100">
            <v>409.130674</v>
          </cell>
          <cell r="AN100" t="str">
            <v>K584</v>
          </cell>
          <cell r="AO100">
            <v>0.53520000000000001</v>
          </cell>
          <cell r="AP100">
            <v>4.1518333333333333</v>
          </cell>
        </row>
        <row r="101">
          <cell r="C101">
            <v>61209300</v>
          </cell>
          <cell r="D101" t="str">
            <v>HW MANG SCH 30 12/1L NB US</v>
          </cell>
          <cell r="E101" t="str">
            <v>FS10</v>
          </cell>
          <cell r="F101" t="str">
            <v>33BG01</v>
          </cell>
          <cell r="G101">
            <v>2252.34</v>
          </cell>
          <cell r="H101">
            <v>1000</v>
          </cell>
          <cell r="I101" t="str">
            <v>MR33B10</v>
          </cell>
          <cell r="J101" t="str">
            <v>12</v>
          </cell>
          <cell r="K101">
            <v>27028.080000000002</v>
          </cell>
          <cell r="L101">
            <v>1.3332999999999999</v>
          </cell>
          <cell r="M101">
            <v>3003.044922</v>
          </cell>
          <cell r="N101">
            <v>6</v>
          </cell>
          <cell r="O101">
            <v>1</v>
          </cell>
          <cell r="P101">
            <v>0</v>
          </cell>
          <cell r="Q101">
            <v>7</v>
          </cell>
          <cell r="R101">
            <v>205.62</v>
          </cell>
          <cell r="S101">
            <v>43.49</v>
          </cell>
          <cell r="T101">
            <v>0</v>
          </cell>
          <cell r="U101">
            <v>249.11</v>
          </cell>
          <cell r="V101">
            <v>280</v>
          </cell>
          <cell r="W101">
            <v>16800</v>
          </cell>
          <cell r="X101">
            <v>0.55000000000000004</v>
          </cell>
          <cell r="Y101">
            <v>9240</v>
          </cell>
          <cell r="Z101" t="str">
            <v>12</v>
          </cell>
          <cell r="AA101">
            <v>770</v>
          </cell>
          <cell r="AB101">
            <v>1.3</v>
          </cell>
          <cell r="AC101">
            <v>0.32379999999999998</v>
          </cell>
          <cell r="AD101">
            <v>729.30769199999997</v>
          </cell>
          <cell r="AE101">
            <v>30735.94</v>
          </cell>
          <cell r="AF101">
            <v>10</v>
          </cell>
          <cell r="AG101">
            <v>3073.5940000000001</v>
          </cell>
          <cell r="AH101">
            <v>120</v>
          </cell>
          <cell r="AI101">
            <v>2</v>
          </cell>
          <cell r="AJ101">
            <v>14</v>
          </cell>
          <cell r="AK101">
            <v>35.587142857142858</v>
          </cell>
          <cell r="AL101">
            <v>0.16209999999999999</v>
          </cell>
          <cell r="AM101">
            <v>365.10431399999999</v>
          </cell>
          <cell r="AN101" t="str">
            <v>K622</v>
          </cell>
          <cell r="AO101">
            <v>0.54120000000000001</v>
          </cell>
          <cell r="AP101">
            <v>4.1518333333333333</v>
          </cell>
        </row>
        <row r="102">
          <cell r="C102">
            <v>61212020</v>
          </cell>
          <cell r="D102" t="str">
            <v>HW PCH SCH 30 6/175 PT US</v>
          </cell>
          <cell r="E102" t="str">
            <v>FS12</v>
          </cell>
          <cell r="F102" t="str">
            <v>08AP02</v>
          </cell>
          <cell r="G102">
            <v>3058.41</v>
          </cell>
          <cell r="H102">
            <v>1750</v>
          </cell>
          <cell r="I102" t="str">
            <v>MR08A12-V</v>
          </cell>
          <cell r="J102" t="str">
            <v>6</v>
          </cell>
          <cell r="K102">
            <v>18350.46</v>
          </cell>
          <cell r="L102">
            <v>1.1667000000000001</v>
          </cell>
          <cell r="M102">
            <v>3568.2469470000001</v>
          </cell>
          <cell r="N102">
            <v>4</v>
          </cell>
          <cell r="O102">
            <v>1</v>
          </cell>
          <cell r="P102">
            <v>0</v>
          </cell>
          <cell r="Q102">
            <v>5</v>
          </cell>
          <cell r="R102">
            <v>137.08000000000001</v>
          </cell>
          <cell r="S102">
            <v>43.49</v>
          </cell>
          <cell r="T102">
            <v>0</v>
          </cell>
          <cell r="U102">
            <v>180.57000000000002</v>
          </cell>
          <cell r="V102">
            <v>110</v>
          </cell>
          <cell r="W102">
            <v>6600</v>
          </cell>
          <cell r="X102">
            <v>0.55000000000000004</v>
          </cell>
          <cell r="Y102">
            <v>3630.0000000000005</v>
          </cell>
          <cell r="Z102" t="str">
            <v>6</v>
          </cell>
          <cell r="AA102">
            <v>605.00000000000011</v>
          </cell>
          <cell r="AB102">
            <v>1.65</v>
          </cell>
          <cell r="AC102">
            <v>0.2979</v>
          </cell>
          <cell r="AD102">
            <v>911.10033899999996</v>
          </cell>
          <cell r="AE102">
            <v>58764.480000000003</v>
          </cell>
          <cell r="AF102">
            <v>9</v>
          </cell>
          <cell r="AG102">
            <v>6529.3866699999999</v>
          </cell>
          <cell r="AH102">
            <v>120</v>
          </cell>
          <cell r="AI102">
            <v>2</v>
          </cell>
          <cell r="AJ102">
            <v>10</v>
          </cell>
          <cell r="AK102">
            <v>36.114000000000004</v>
          </cell>
          <cell r="AL102">
            <v>5.5300000000000002E-2</v>
          </cell>
          <cell r="AM102">
            <v>169.13007300000001</v>
          </cell>
          <cell r="AN102" t="str">
            <v>K272</v>
          </cell>
          <cell r="AO102">
            <v>0.38270000000000004</v>
          </cell>
          <cell r="AP102">
            <v>3.0095000000000005</v>
          </cell>
        </row>
        <row r="103">
          <cell r="C103">
            <v>61212070</v>
          </cell>
          <cell r="D103" t="str">
            <v>HW PEP SCH 60 6/175 PT US</v>
          </cell>
          <cell r="E103" t="str">
            <v>FS12</v>
          </cell>
          <cell r="F103" t="str">
            <v>08AP01</v>
          </cell>
          <cell r="G103">
            <v>18010.96</v>
          </cell>
          <cell r="H103">
            <v>1750</v>
          </cell>
          <cell r="I103" t="str">
            <v>MR08A12</v>
          </cell>
          <cell r="J103" t="str">
            <v>6</v>
          </cell>
          <cell r="K103">
            <v>108065.76</v>
          </cell>
          <cell r="L103">
            <v>1.1667000000000001</v>
          </cell>
          <cell r="M103">
            <v>21013.387031999999</v>
          </cell>
          <cell r="N103">
            <v>4</v>
          </cell>
          <cell r="O103">
            <v>1</v>
          </cell>
          <cell r="P103">
            <v>0</v>
          </cell>
          <cell r="Q103">
            <v>5</v>
          </cell>
          <cell r="R103">
            <v>137.08000000000001</v>
          </cell>
          <cell r="S103">
            <v>43.49</v>
          </cell>
          <cell r="T103">
            <v>0</v>
          </cell>
          <cell r="U103">
            <v>180.57000000000002</v>
          </cell>
          <cell r="V103">
            <v>110</v>
          </cell>
          <cell r="W103">
            <v>6600</v>
          </cell>
          <cell r="X103">
            <v>0.55000000000000004</v>
          </cell>
          <cell r="Y103">
            <v>3630.0000000000005</v>
          </cell>
          <cell r="Z103" t="str">
            <v>6</v>
          </cell>
          <cell r="AA103">
            <v>605.00000000000011</v>
          </cell>
          <cell r="AB103">
            <v>1.65</v>
          </cell>
          <cell r="AC103">
            <v>0.2979</v>
          </cell>
          <cell r="AD103">
            <v>5365.4649839999993</v>
          </cell>
          <cell r="AE103">
            <v>19419.063999999998</v>
          </cell>
          <cell r="AF103">
            <v>5</v>
          </cell>
          <cell r="AG103">
            <v>3883.8128000000002</v>
          </cell>
          <cell r="AH103">
            <v>120</v>
          </cell>
          <cell r="AI103">
            <v>2</v>
          </cell>
          <cell r="AJ103">
            <v>10</v>
          </cell>
          <cell r="AK103">
            <v>36.114000000000004</v>
          </cell>
          <cell r="AL103">
            <v>9.2999999999999999E-2</v>
          </cell>
          <cell r="AM103">
            <v>1675.01928</v>
          </cell>
          <cell r="AN103" t="str">
            <v>K323</v>
          </cell>
          <cell r="AO103">
            <v>0.4511</v>
          </cell>
          <cell r="AP103">
            <v>3.0095000000000005</v>
          </cell>
        </row>
        <row r="104">
          <cell r="C104">
            <v>61305404</v>
          </cell>
          <cell r="D104" t="str">
            <v>HW TRP SEC 60 24/375 FSKNF US</v>
          </cell>
          <cell r="E104" t="str">
            <v>FS04</v>
          </cell>
          <cell r="F104" t="str">
            <v>09GG02</v>
          </cell>
          <cell r="G104">
            <v>3856.18</v>
          </cell>
          <cell r="H104" t="str">
            <v>375</v>
          </cell>
          <cell r="I104" t="str">
            <v>MR09G04-V</v>
          </cell>
          <cell r="J104" t="str">
            <v>24</v>
          </cell>
          <cell r="K104">
            <v>92548.319999999992</v>
          </cell>
          <cell r="L104">
            <v>1</v>
          </cell>
          <cell r="M104">
            <v>3856.18</v>
          </cell>
          <cell r="N104">
            <v>4</v>
          </cell>
          <cell r="O104">
            <v>1</v>
          </cell>
          <cell r="P104">
            <v>3</v>
          </cell>
          <cell r="Q104">
            <v>8</v>
          </cell>
          <cell r="R104">
            <v>137.08000000000001</v>
          </cell>
          <cell r="S104">
            <v>43.49</v>
          </cell>
          <cell r="T104">
            <v>56.519999999999996</v>
          </cell>
          <cell r="U104">
            <v>237.09000000000003</v>
          </cell>
          <cell r="V104">
            <v>70</v>
          </cell>
          <cell r="W104">
            <v>4200</v>
          </cell>
          <cell r="X104">
            <v>0.55000000000000004</v>
          </cell>
          <cell r="Y104">
            <v>2310</v>
          </cell>
          <cell r="Z104" t="str">
            <v>24</v>
          </cell>
          <cell r="AA104">
            <v>96.25</v>
          </cell>
          <cell r="AB104">
            <v>10.39</v>
          </cell>
          <cell r="AC104">
            <v>2.4634</v>
          </cell>
          <cell r="AD104">
            <v>9499.3138120000003</v>
          </cell>
          <cell r="AE104">
            <v>7622.2139999999999</v>
          </cell>
          <cell r="AF104">
            <v>3</v>
          </cell>
          <cell r="AG104">
            <v>2540.7379999999998</v>
          </cell>
          <cell r="AH104">
            <v>120</v>
          </cell>
          <cell r="AI104">
            <v>2</v>
          </cell>
          <cell r="AJ104">
            <v>16</v>
          </cell>
          <cell r="AK104">
            <v>29.636250000000004</v>
          </cell>
          <cell r="AL104">
            <v>0.18659999999999999</v>
          </cell>
          <cell r="AM104">
            <v>719.56318799999997</v>
          </cell>
          <cell r="AN104" t="str">
            <v>K845</v>
          </cell>
          <cell r="AO104">
            <v>2.7115</v>
          </cell>
          <cell r="AP104">
            <v>3.9515000000000007</v>
          </cell>
        </row>
        <row r="105">
          <cell r="C105">
            <v>61308403</v>
          </cell>
          <cell r="D105" t="str">
            <v>HW TRP SEC 30 12/750 NF US</v>
          </cell>
          <cell r="E105" t="str">
            <v>FS10</v>
          </cell>
          <cell r="F105" t="str">
            <v>33CG02</v>
          </cell>
          <cell r="G105">
            <v>16507.439999999999</v>
          </cell>
          <cell r="H105" t="str">
            <v>750</v>
          </cell>
          <cell r="I105" t="str">
            <v>MR33C10</v>
          </cell>
          <cell r="J105" t="str">
            <v>12</v>
          </cell>
          <cell r="K105">
            <v>198089.27999999997</v>
          </cell>
          <cell r="L105">
            <v>1</v>
          </cell>
          <cell r="M105">
            <v>16507.439999999999</v>
          </cell>
          <cell r="N105">
            <v>6</v>
          </cell>
          <cell r="O105">
            <v>1</v>
          </cell>
          <cell r="P105">
            <v>0</v>
          </cell>
          <cell r="Q105">
            <v>7</v>
          </cell>
          <cell r="R105">
            <v>205.62</v>
          </cell>
          <cell r="S105">
            <v>43.49</v>
          </cell>
          <cell r="T105">
            <v>0</v>
          </cell>
          <cell r="U105">
            <v>249.11</v>
          </cell>
          <cell r="V105">
            <v>280</v>
          </cell>
          <cell r="W105">
            <v>16800</v>
          </cell>
          <cell r="X105">
            <v>0.5</v>
          </cell>
          <cell r="Y105">
            <v>8400</v>
          </cell>
          <cell r="Z105" t="str">
            <v>12</v>
          </cell>
          <cell r="AA105">
            <v>700</v>
          </cell>
          <cell r="AB105">
            <v>1.43</v>
          </cell>
          <cell r="AC105">
            <v>0.35620000000000002</v>
          </cell>
          <cell r="AD105">
            <v>5879.9501279999995</v>
          </cell>
          <cell r="AE105">
            <v>85485.88</v>
          </cell>
          <cell r="AF105">
            <v>12</v>
          </cell>
          <cell r="AG105">
            <v>7123.8233300000002</v>
          </cell>
          <cell r="AH105">
            <v>120</v>
          </cell>
          <cell r="AI105">
            <v>2</v>
          </cell>
          <cell r="AJ105">
            <v>14</v>
          </cell>
          <cell r="AK105">
            <v>35.587142857142858</v>
          </cell>
          <cell r="AL105">
            <v>6.9900000000000004E-2</v>
          </cell>
          <cell r="AM105">
            <v>1153.870056</v>
          </cell>
          <cell r="AN105" t="str">
            <v>K743</v>
          </cell>
          <cell r="AO105">
            <v>0.46380000000000005</v>
          </cell>
          <cell r="AP105">
            <v>4.1518333333333333</v>
          </cell>
        </row>
        <row r="106">
          <cell r="C106">
            <v>61308404</v>
          </cell>
          <cell r="D106" t="str">
            <v>HW TRP SEC 60 12/750 NF US</v>
          </cell>
          <cell r="E106" t="str">
            <v>FS10</v>
          </cell>
          <cell r="F106" t="str">
            <v>33CG02</v>
          </cell>
          <cell r="G106">
            <v>19624.3</v>
          </cell>
          <cell r="H106" t="str">
            <v>750</v>
          </cell>
          <cell r="I106" t="str">
            <v>MR33C10-250</v>
          </cell>
          <cell r="J106" t="str">
            <v>12</v>
          </cell>
          <cell r="K106">
            <v>235491.59999999998</v>
          </cell>
          <cell r="L106">
            <v>1</v>
          </cell>
          <cell r="M106">
            <v>19624.3</v>
          </cell>
          <cell r="N106">
            <v>6</v>
          </cell>
          <cell r="O106">
            <v>1</v>
          </cell>
          <cell r="P106">
            <v>0</v>
          </cell>
          <cell r="Q106">
            <v>7</v>
          </cell>
          <cell r="R106">
            <v>205.62</v>
          </cell>
          <cell r="S106">
            <v>43.49</v>
          </cell>
          <cell r="T106">
            <v>0</v>
          </cell>
          <cell r="U106">
            <v>249.11</v>
          </cell>
          <cell r="V106">
            <v>250</v>
          </cell>
          <cell r="W106">
            <v>15000</v>
          </cell>
          <cell r="X106">
            <v>0.5</v>
          </cell>
          <cell r="Y106">
            <v>7500</v>
          </cell>
          <cell r="Z106" t="str">
            <v>12</v>
          </cell>
          <cell r="AA106">
            <v>625</v>
          </cell>
          <cell r="AB106">
            <v>1.6</v>
          </cell>
          <cell r="AC106">
            <v>0.39860000000000001</v>
          </cell>
          <cell r="AD106">
            <v>7822.2459799999997</v>
          </cell>
          <cell r="AE106">
            <v>85485.88</v>
          </cell>
          <cell r="AF106">
            <v>12</v>
          </cell>
          <cell r="AG106">
            <v>7123.8233300000002</v>
          </cell>
          <cell r="AH106">
            <v>120</v>
          </cell>
          <cell r="AI106">
            <v>2</v>
          </cell>
          <cell r="AJ106">
            <v>14</v>
          </cell>
          <cell r="AK106">
            <v>35.587142857142858</v>
          </cell>
          <cell r="AL106">
            <v>6.9900000000000004E-2</v>
          </cell>
          <cell r="AM106">
            <v>1371.73857</v>
          </cell>
          <cell r="AN106" t="str">
            <v>K845</v>
          </cell>
          <cell r="AO106">
            <v>0.50019999999999998</v>
          </cell>
          <cell r="AP106">
            <v>4.1518333333333333</v>
          </cell>
        </row>
        <row r="107">
          <cell r="C107">
            <v>61309402</v>
          </cell>
          <cell r="D107" t="str">
            <v>HW TRP SEC 48 12/1L NF US</v>
          </cell>
          <cell r="E107" t="str">
            <v>FS10</v>
          </cell>
          <cell r="F107" t="str">
            <v>33BG02</v>
          </cell>
          <cell r="G107">
            <v>17089.2</v>
          </cell>
          <cell r="H107">
            <v>1000</v>
          </cell>
          <cell r="I107" t="str">
            <v>MR33B10</v>
          </cell>
          <cell r="J107" t="str">
            <v>12</v>
          </cell>
          <cell r="K107">
            <v>205070.40000000002</v>
          </cell>
          <cell r="L107">
            <v>1.3332999999999999</v>
          </cell>
          <cell r="M107">
            <v>22785.030360000001</v>
          </cell>
          <cell r="N107">
            <v>6</v>
          </cell>
          <cell r="O107">
            <v>1</v>
          </cell>
          <cell r="P107">
            <v>0</v>
          </cell>
          <cell r="Q107">
            <v>7</v>
          </cell>
          <cell r="R107">
            <v>205.62</v>
          </cell>
          <cell r="S107">
            <v>43.49</v>
          </cell>
          <cell r="T107">
            <v>0</v>
          </cell>
          <cell r="U107">
            <v>249.11</v>
          </cell>
          <cell r="V107">
            <v>280</v>
          </cell>
          <cell r="W107">
            <v>16800</v>
          </cell>
          <cell r="X107">
            <v>0.55000000000000004</v>
          </cell>
          <cell r="Y107">
            <v>9240</v>
          </cell>
          <cell r="Z107" t="str">
            <v>12</v>
          </cell>
          <cell r="AA107">
            <v>770</v>
          </cell>
          <cell r="AB107">
            <v>1.3</v>
          </cell>
          <cell r="AC107">
            <v>0.32379999999999998</v>
          </cell>
          <cell r="AD107">
            <v>5533.4829600000003</v>
          </cell>
          <cell r="AE107">
            <v>143150.696</v>
          </cell>
          <cell r="AF107">
            <v>12</v>
          </cell>
          <cell r="AG107">
            <v>11929.22467</v>
          </cell>
          <cell r="AH107">
            <v>120</v>
          </cell>
          <cell r="AI107">
            <v>2</v>
          </cell>
          <cell r="AJ107">
            <v>14</v>
          </cell>
          <cell r="AK107">
            <v>35.587142857142858</v>
          </cell>
          <cell r="AL107">
            <v>4.1799999999999997E-2</v>
          </cell>
          <cell r="AM107">
            <v>714.32855999999992</v>
          </cell>
          <cell r="AN107" t="str">
            <v>K844</v>
          </cell>
          <cell r="AO107">
            <v>0.39479999999999998</v>
          </cell>
          <cell r="AP107">
            <v>4.1518333333333333</v>
          </cell>
        </row>
        <row r="108">
          <cell r="C108">
            <v>61309403</v>
          </cell>
          <cell r="D108" t="str">
            <v>HW TRP SEC 30 12/1L NF US</v>
          </cell>
          <cell r="E108" t="str">
            <v>FS10</v>
          </cell>
          <cell r="F108" t="str">
            <v>33BG02</v>
          </cell>
          <cell r="G108">
            <v>77056.94</v>
          </cell>
          <cell r="H108">
            <v>1000</v>
          </cell>
          <cell r="I108" t="str">
            <v>MR33B10</v>
          </cell>
          <cell r="J108" t="str">
            <v>12</v>
          </cell>
          <cell r="K108">
            <v>924683.28</v>
          </cell>
          <cell r="L108">
            <v>1.3332999999999999</v>
          </cell>
          <cell r="M108">
            <v>102740.018102</v>
          </cell>
          <cell r="N108">
            <v>6</v>
          </cell>
          <cell r="O108">
            <v>1</v>
          </cell>
          <cell r="P108">
            <v>0</v>
          </cell>
          <cell r="Q108">
            <v>7</v>
          </cell>
          <cell r="R108">
            <v>205.62</v>
          </cell>
          <cell r="S108">
            <v>43.49</v>
          </cell>
          <cell r="T108">
            <v>0</v>
          </cell>
          <cell r="U108">
            <v>249.11</v>
          </cell>
          <cell r="V108">
            <v>280</v>
          </cell>
          <cell r="W108">
            <v>16800</v>
          </cell>
          <cell r="X108">
            <v>0.55000000000000004</v>
          </cell>
          <cell r="Y108">
            <v>9240</v>
          </cell>
          <cell r="Z108" t="str">
            <v>12</v>
          </cell>
          <cell r="AA108">
            <v>770</v>
          </cell>
          <cell r="AB108">
            <v>1.3</v>
          </cell>
          <cell r="AC108">
            <v>0.32379999999999998</v>
          </cell>
          <cell r="AD108">
            <v>24951.037172</v>
          </cell>
          <cell r="AE108">
            <v>143150.696</v>
          </cell>
          <cell r="AF108">
            <v>12</v>
          </cell>
          <cell r="AG108">
            <v>11929.22467</v>
          </cell>
          <cell r="AH108">
            <v>120</v>
          </cell>
          <cell r="AI108">
            <v>2</v>
          </cell>
          <cell r="AJ108">
            <v>14</v>
          </cell>
          <cell r="AK108">
            <v>35.587142857142858</v>
          </cell>
          <cell r="AL108">
            <v>4.1799999999999997E-2</v>
          </cell>
          <cell r="AM108">
            <v>3220.9800919999998</v>
          </cell>
          <cell r="AN108" t="str">
            <v>K743</v>
          </cell>
          <cell r="AO108">
            <v>0.38339999999999996</v>
          </cell>
          <cell r="AP108">
            <v>4.1518333333333333</v>
          </cell>
        </row>
        <row r="109">
          <cell r="C109">
            <v>61309404</v>
          </cell>
          <cell r="D109" t="str">
            <v>HW TRP SEC 60 12/1L NF US</v>
          </cell>
          <cell r="E109" t="str">
            <v>FS10</v>
          </cell>
          <cell r="F109" t="str">
            <v>33BG02</v>
          </cell>
          <cell r="G109">
            <v>17340.689999999999</v>
          </cell>
          <cell r="H109">
            <v>1000</v>
          </cell>
          <cell r="I109" t="str">
            <v>MR33B10</v>
          </cell>
          <cell r="J109" t="str">
            <v>12</v>
          </cell>
          <cell r="K109">
            <v>208088.27999999997</v>
          </cell>
          <cell r="L109">
            <v>1.3332999999999999</v>
          </cell>
          <cell r="M109">
            <v>23120.341976999996</v>
          </cell>
          <cell r="N109">
            <v>6</v>
          </cell>
          <cell r="O109">
            <v>1</v>
          </cell>
          <cell r="P109">
            <v>0</v>
          </cell>
          <cell r="Q109">
            <v>7</v>
          </cell>
          <cell r="R109">
            <v>205.62</v>
          </cell>
          <cell r="S109">
            <v>43.49</v>
          </cell>
          <cell r="T109">
            <v>0</v>
          </cell>
          <cell r="U109">
            <v>249.11</v>
          </cell>
          <cell r="V109">
            <v>280</v>
          </cell>
          <cell r="W109">
            <v>16800</v>
          </cell>
          <cell r="X109">
            <v>0.55000000000000004</v>
          </cell>
          <cell r="Y109">
            <v>9240</v>
          </cell>
          <cell r="Z109" t="str">
            <v>12</v>
          </cell>
          <cell r="AA109">
            <v>770</v>
          </cell>
          <cell r="AB109">
            <v>1.3</v>
          </cell>
          <cell r="AC109">
            <v>0.32379999999999998</v>
          </cell>
          <cell r="AD109">
            <v>5614.9154219999991</v>
          </cell>
          <cell r="AE109">
            <v>143150.696</v>
          </cell>
          <cell r="AF109">
            <v>12</v>
          </cell>
          <cell r="AG109">
            <v>11929.22467</v>
          </cell>
          <cell r="AH109">
            <v>120</v>
          </cell>
          <cell r="AI109">
            <v>2</v>
          </cell>
          <cell r="AJ109">
            <v>14</v>
          </cell>
          <cell r="AK109">
            <v>35.587142857142858</v>
          </cell>
          <cell r="AL109">
            <v>4.1799999999999997E-2</v>
          </cell>
          <cell r="AM109">
            <v>724.84084199999984</v>
          </cell>
          <cell r="AN109" t="str">
            <v>K845</v>
          </cell>
          <cell r="AO109">
            <v>0.39429999999999998</v>
          </cell>
          <cell r="AP109">
            <v>4.1518333333333333</v>
          </cell>
        </row>
        <row r="110">
          <cell r="C110">
            <v>61312403</v>
          </cell>
          <cell r="D110" t="str">
            <v>HW TRP SEC 30 6/175 PTNF US</v>
          </cell>
          <cell r="E110" t="str">
            <v>FS12</v>
          </cell>
          <cell r="F110" t="str">
            <v>08AP02</v>
          </cell>
          <cell r="G110">
            <v>10550.460000000001</v>
          </cell>
          <cell r="H110">
            <v>1750</v>
          </cell>
          <cell r="I110" t="str">
            <v>MR08A12</v>
          </cell>
          <cell r="J110" t="str">
            <v>6</v>
          </cell>
          <cell r="K110">
            <v>63302.760000000009</v>
          </cell>
          <cell r="L110">
            <v>1.1667000000000001</v>
          </cell>
          <cell r="M110">
            <v>12309.221682000001</v>
          </cell>
          <cell r="N110">
            <v>4</v>
          </cell>
          <cell r="O110">
            <v>1</v>
          </cell>
          <cell r="P110">
            <v>0</v>
          </cell>
          <cell r="Q110">
            <v>5</v>
          </cell>
          <cell r="R110">
            <v>137.08000000000001</v>
          </cell>
          <cell r="S110">
            <v>43.49</v>
          </cell>
          <cell r="T110">
            <v>0</v>
          </cell>
          <cell r="U110">
            <v>180.57000000000002</v>
          </cell>
          <cell r="V110">
            <v>110</v>
          </cell>
          <cell r="W110">
            <v>6600</v>
          </cell>
          <cell r="X110">
            <v>0.55000000000000004</v>
          </cell>
          <cell r="Y110">
            <v>3630.0000000000005</v>
          </cell>
          <cell r="Z110" t="str">
            <v>6</v>
          </cell>
          <cell r="AA110">
            <v>605.00000000000011</v>
          </cell>
          <cell r="AB110">
            <v>1.65</v>
          </cell>
          <cell r="AC110">
            <v>0.2979</v>
          </cell>
          <cell r="AD110">
            <v>3142.9820340000001</v>
          </cell>
          <cell r="AE110">
            <v>58764.480000000003</v>
          </cell>
          <cell r="AF110">
            <v>9</v>
          </cell>
          <cell r="AG110">
            <v>6529.3866699999999</v>
          </cell>
          <cell r="AH110">
            <v>120</v>
          </cell>
          <cell r="AI110">
            <v>2</v>
          </cell>
          <cell r="AJ110">
            <v>10</v>
          </cell>
          <cell r="AK110">
            <v>36.114000000000004</v>
          </cell>
          <cell r="AL110">
            <v>5.5300000000000002E-2</v>
          </cell>
          <cell r="AM110">
            <v>583.44043800000009</v>
          </cell>
          <cell r="AN110" t="str">
            <v>K743</v>
          </cell>
          <cell r="AO110">
            <v>0.37890000000000001</v>
          </cell>
          <cell r="AP110">
            <v>3.0095000000000005</v>
          </cell>
        </row>
        <row r="111">
          <cell r="C111">
            <v>61312404</v>
          </cell>
          <cell r="D111" t="str">
            <v>HW TRP SEC 60 6/175 PTNF US</v>
          </cell>
          <cell r="E111" t="str">
            <v>FS12</v>
          </cell>
          <cell r="F111" t="str">
            <v>08AP02</v>
          </cell>
          <cell r="G111">
            <v>12520.97</v>
          </cell>
          <cell r="H111">
            <v>1750</v>
          </cell>
          <cell r="I111" t="str">
            <v>MR08A12</v>
          </cell>
          <cell r="J111" t="str">
            <v>6</v>
          </cell>
          <cell r="K111">
            <v>75125.819999999992</v>
          </cell>
          <cell r="L111">
            <v>1.1667000000000001</v>
          </cell>
          <cell r="M111">
            <v>14608.215699</v>
          </cell>
          <cell r="N111">
            <v>4</v>
          </cell>
          <cell r="O111">
            <v>1</v>
          </cell>
          <cell r="P111">
            <v>0</v>
          </cell>
          <cell r="Q111">
            <v>5</v>
          </cell>
          <cell r="R111">
            <v>137.08000000000001</v>
          </cell>
          <cell r="S111">
            <v>43.49</v>
          </cell>
          <cell r="T111">
            <v>0</v>
          </cell>
          <cell r="U111">
            <v>180.57000000000002</v>
          </cell>
          <cell r="V111">
            <v>110</v>
          </cell>
          <cell r="W111">
            <v>6600</v>
          </cell>
          <cell r="X111">
            <v>0.55000000000000004</v>
          </cell>
          <cell r="Y111">
            <v>3630.0000000000005</v>
          </cell>
          <cell r="Z111" t="str">
            <v>6</v>
          </cell>
          <cell r="AA111">
            <v>605.00000000000011</v>
          </cell>
          <cell r="AB111">
            <v>1.65</v>
          </cell>
          <cell r="AC111">
            <v>0.2979</v>
          </cell>
          <cell r="AD111">
            <v>3729.9969629999996</v>
          </cell>
          <cell r="AE111">
            <v>58764.480000000003</v>
          </cell>
          <cell r="AF111">
            <v>9</v>
          </cell>
          <cell r="AG111">
            <v>6529.3866699999999</v>
          </cell>
          <cell r="AH111">
            <v>120</v>
          </cell>
          <cell r="AI111">
            <v>2</v>
          </cell>
          <cell r="AJ111">
            <v>10</v>
          </cell>
          <cell r="AK111">
            <v>36.114000000000004</v>
          </cell>
          <cell r="AL111">
            <v>5.5300000000000002E-2</v>
          </cell>
          <cell r="AM111">
            <v>692.40964099999997</v>
          </cell>
          <cell r="AN111" t="str">
            <v>K845</v>
          </cell>
          <cell r="AO111">
            <v>0.38200000000000001</v>
          </cell>
          <cell r="AP111">
            <v>3.0095000000000005</v>
          </cell>
        </row>
        <row r="112">
          <cell r="C112">
            <v>63000609</v>
          </cell>
          <cell r="D112" t="str">
            <v>KAH 40 120/50 PT SW 16 US</v>
          </cell>
          <cell r="E112" t="str">
            <v>FS03</v>
          </cell>
          <cell r="F112" t="str">
            <v>04FP02</v>
          </cell>
          <cell r="G112">
            <v>12608</v>
          </cell>
          <cell r="H112" t="str">
            <v>50</v>
          </cell>
          <cell r="I112" t="str">
            <v>MR04F03-V</v>
          </cell>
          <cell r="J112" t="str">
            <v>120</v>
          </cell>
          <cell r="K112">
            <v>1512960</v>
          </cell>
          <cell r="L112">
            <v>0.66669999999999996</v>
          </cell>
          <cell r="M112">
            <v>8405.7536</v>
          </cell>
          <cell r="N112">
            <v>4</v>
          </cell>
          <cell r="O112">
            <v>1</v>
          </cell>
          <cell r="P112">
            <v>0</v>
          </cell>
          <cell r="Q112">
            <v>5</v>
          </cell>
          <cell r="R112">
            <v>137.08000000000001</v>
          </cell>
          <cell r="S112">
            <v>43.49</v>
          </cell>
          <cell r="T112">
            <v>0</v>
          </cell>
          <cell r="U112">
            <v>180.57000000000002</v>
          </cell>
          <cell r="V112">
            <v>380</v>
          </cell>
          <cell r="W112">
            <v>22800</v>
          </cell>
          <cell r="X112">
            <v>0.45</v>
          </cell>
          <cell r="Y112">
            <v>10260</v>
          </cell>
          <cell r="Z112" t="str">
            <v>120</v>
          </cell>
          <cell r="AA112">
            <v>85.5</v>
          </cell>
          <cell r="AB112">
            <v>11.7</v>
          </cell>
          <cell r="AC112">
            <v>2.1126999999999998</v>
          </cell>
          <cell r="AD112">
            <v>26636.921599999998</v>
          </cell>
          <cell r="AE112">
            <v>21095</v>
          </cell>
          <cell r="AF112">
            <v>7</v>
          </cell>
          <cell r="AG112">
            <v>3013.57143</v>
          </cell>
          <cell r="AH112">
            <v>120</v>
          </cell>
          <cell r="AI112">
            <v>2</v>
          </cell>
          <cell r="AJ112">
            <v>10</v>
          </cell>
          <cell r="AK112">
            <v>36.114000000000004</v>
          </cell>
          <cell r="AL112">
            <v>0.1198</v>
          </cell>
          <cell r="AM112">
            <v>1510.4384</v>
          </cell>
          <cell r="AN112" t="str">
            <v>K934</v>
          </cell>
          <cell r="AO112">
            <v>2.3613999999999997</v>
          </cell>
          <cell r="AP112">
            <v>3.0095000000000005</v>
          </cell>
        </row>
        <row r="113">
          <cell r="C113">
            <v>63000612</v>
          </cell>
          <cell r="D113" t="str">
            <v>KAH 40 120/50 PT 16 GE</v>
          </cell>
          <cell r="E113" t="str">
            <v>FS03</v>
          </cell>
          <cell r="F113" t="str">
            <v>04FP02</v>
          </cell>
          <cell r="G113">
            <v>1717</v>
          </cell>
          <cell r="H113" t="str">
            <v>50</v>
          </cell>
          <cell r="I113" t="str">
            <v>MR04F03</v>
          </cell>
          <cell r="J113" t="str">
            <v>120</v>
          </cell>
          <cell r="K113">
            <v>206040</v>
          </cell>
          <cell r="L113">
            <v>0.66669999999999996</v>
          </cell>
          <cell r="M113">
            <v>1144.7239</v>
          </cell>
          <cell r="N113">
            <v>4</v>
          </cell>
          <cell r="O113">
            <v>1</v>
          </cell>
          <cell r="P113">
            <v>0</v>
          </cell>
          <cell r="Q113">
            <v>5</v>
          </cell>
          <cell r="R113">
            <v>137.08000000000001</v>
          </cell>
          <cell r="S113">
            <v>43.49</v>
          </cell>
          <cell r="T113">
            <v>0</v>
          </cell>
          <cell r="U113">
            <v>180.57000000000002</v>
          </cell>
          <cell r="V113">
            <v>380</v>
          </cell>
          <cell r="W113">
            <v>22800</v>
          </cell>
          <cell r="X113">
            <v>0.45</v>
          </cell>
          <cell r="Y113">
            <v>10260</v>
          </cell>
          <cell r="Z113" t="str">
            <v>120</v>
          </cell>
          <cell r="AA113">
            <v>85.5</v>
          </cell>
          <cell r="AB113">
            <v>11.7</v>
          </cell>
          <cell r="AC113">
            <v>2.1126999999999998</v>
          </cell>
          <cell r="AD113">
            <v>3627.5058999999997</v>
          </cell>
          <cell r="AE113">
            <v>21095</v>
          </cell>
          <cell r="AF113">
            <v>7</v>
          </cell>
          <cell r="AG113">
            <v>3013.57143</v>
          </cell>
          <cell r="AH113">
            <v>120</v>
          </cell>
          <cell r="AI113">
            <v>2</v>
          </cell>
          <cell r="AJ113">
            <v>10</v>
          </cell>
          <cell r="AK113">
            <v>36.114000000000004</v>
          </cell>
          <cell r="AL113">
            <v>0.1198</v>
          </cell>
          <cell r="AM113">
            <v>205.69660000000002</v>
          </cell>
          <cell r="AN113" t="str">
            <v>K933</v>
          </cell>
          <cell r="AO113">
            <v>2.548</v>
          </cell>
          <cell r="AP113">
            <v>3.0095000000000005</v>
          </cell>
        </row>
        <row r="114">
          <cell r="C114">
            <v>63000614</v>
          </cell>
          <cell r="D114" t="str">
            <v>KAH 32 120/50 PT 21 CN</v>
          </cell>
          <cell r="E114" t="str">
            <v>FS03</v>
          </cell>
          <cell r="F114" t="str">
            <v>04FP02</v>
          </cell>
          <cell r="G114">
            <v>4967</v>
          </cell>
          <cell r="H114" t="str">
            <v>50</v>
          </cell>
          <cell r="I114" t="str">
            <v>MR04F03</v>
          </cell>
          <cell r="J114" t="str">
            <v>120</v>
          </cell>
          <cell r="K114">
            <v>596040</v>
          </cell>
          <cell r="L114">
            <v>0.66669999999999996</v>
          </cell>
          <cell r="M114">
            <v>3311.4988999999996</v>
          </cell>
          <cell r="N114">
            <v>4</v>
          </cell>
          <cell r="O114">
            <v>1</v>
          </cell>
          <cell r="P114">
            <v>0</v>
          </cell>
          <cell r="Q114">
            <v>5</v>
          </cell>
          <cell r="R114">
            <v>137.08000000000001</v>
          </cell>
          <cell r="S114">
            <v>43.49</v>
          </cell>
          <cell r="T114">
            <v>0</v>
          </cell>
          <cell r="U114">
            <v>180.57000000000002</v>
          </cell>
          <cell r="V114">
            <v>380</v>
          </cell>
          <cell r="W114">
            <v>22800</v>
          </cell>
          <cell r="X114">
            <v>0.45</v>
          </cell>
          <cell r="Y114">
            <v>10260</v>
          </cell>
          <cell r="Z114" t="str">
            <v>120</v>
          </cell>
          <cell r="AA114">
            <v>85.5</v>
          </cell>
          <cell r="AB114">
            <v>11.7</v>
          </cell>
          <cell r="AC114">
            <v>2.1126999999999998</v>
          </cell>
          <cell r="AD114">
            <v>10493.7809</v>
          </cell>
          <cell r="AE114">
            <v>21095</v>
          </cell>
          <cell r="AF114">
            <v>7</v>
          </cell>
          <cell r="AG114">
            <v>3013.57143</v>
          </cell>
          <cell r="AH114">
            <v>120</v>
          </cell>
          <cell r="AI114">
            <v>2</v>
          </cell>
          <cell r="AJ114">
            <v>10</v>
          </cell>
          <cell r="AK114">
            <v>36.114000000000004</v>
          </cell>
          <cell r="AL114">
            <v>0.1198</v>
          </cell>
          <cell r="AM114">
            <v>595.04660000000001</v>
          </cell>
          <cell r="AN114" t="str">
            <v>K929</v>
          </cell>
          <cell r="AO114">
            <v>2.6141999999999999</v>
          </cell>
          <cell r="AP114">
            <v>3.0095000000000005</v>
          </cell>
        </row>
        <row r="115">
          <cell r="C115">
            <v>63000815</v>
          </cell>
          <cell r="D115" t="str">
            <v>KAH 32 120/50 PT VAD 20 CA</v>
          </cell>
          <cell r="E115" t="str">
            <v>FS03</v>
          </cell>
          <cell r="F115" t="str">
            <v>04FP02</v>
          </cell>
          <cell r="G115">
            <v>1803</v>
          </cell>
          <cell r="H115" t="str">
            <v>50</v>
          </cell>
          <cell r="I115" t="str">
            <v>MR04F03</v>
          </cell>
          <cell r="J115" t="str">
            <v>120</v>
          </cell>
          <cell r="K115">
            <v>216360</v>
          </cell>
          <cell r="L115">
            <v>0.66669999999999996</v>
          </cell>
          <cell r="M115">
            <v>1202.0600999999999</v>
          </cell>
          <cell r="N115">
            <v>4</v>
          </cell>
          <cell r="O115">
            <v>1</v>
          </cell>
          <cell r="P115">
            <v>0</v>
          </cell>
          <cell r="Q115">
            <v>5</v>
          </cell>
          <cell r="R115">
            <v>137.08000000000001</v>
          </cell>
          <cell r="S115">
            <v>43.49</v>
          </cell>
          <cell r="T115">
            <v>0</v>
          </cell>
          <cell r="U115">
            <v>180.57000000000002</v>
          </cell>
          <cell r="V115">
            <v>380</v>
          </cell>
          <cell r="W115">
            <v>22800</v>
          </cell>
          <cell r="X115">
            <v>0.45</v>
          </cell>
          <cell r="Y115">
            <v>10260</v>
          </cell>
          <cell r="Z115" t="str">
            <v>120</v>
          </cell>
          <cell r="AA115">
            <v>85.5</v>
          </cell>
          <cell r="AB115">
            <v>11.7</v>
          </cell>
          <cell r="AC115">
            <v>2.1126999999999998</v>
          </cell>
          <cell r="AD115">
            <v>3809.1980999999996</v>
          </cell>
          <cell r="AE115">
            <v>21095</v>
          </cell>
          <cell r="AF115">
            <v>7</v>
          </cell>
          <cell r="AG115">
            <v>3013.57143</v>
          </cell>
          <cell r="AH115">
            <v>120</v>
          </cell>
          <cell r="AI115">
            <v>2</v>
          </cell>
          <cell r="AJ115">
            <v>10</v>
          </cell>
          <cell r="AK115">
            <v>36.114000000000004</v>
          </cell>
          <cell r="AL115">
            <v>0.1198</v>
          </cell>
          <cell r="AM115">
            <v>215.99940000000001</v>
          </cell>
          <cell r="AN115" t="str">
            <v>K929</v>
          </cell>
          <cell r="AO115">
            <v>2.5328999999999997</v>
          </cell>
          <cell r="AP115">
            <v>3.0095000000000005</v>
          </cell>
        </row>
        <row r="116">
          <cell r="C116">
            <v>63003642</v>
          </cell>
          <cell r="D116" t="str">
            <v>KAH 40 48/200 RND 16 US</v>
          </cell>
          <cell r="E116" t="str">
            <v>FS01</v>
          </cell>
          <cell r="F116" t="str">
            <v>04EG02</v>
          </cell>
          <cell r="G116">
            <v>2464</v>
          </cell>
          <cell r="H116" t="str">
            <v>200</v>
          </cell>
          <cell r="I116" t="str">
            <v>MR04E02</v>
          </cell>
          <cell r="J116" t="str">
            <v>48</v>
          </cell>
          <cell r="K116">
            <v>118272</v>
          </cell>
          <cell r="L116">
            <v>1.0667</v>
          </cell>
          <cell r="M116">
            <v>2628.3487999999998</v>
          </cell>
          <cell r="N116">
            <v>4</v>
          </cell>
          <cell r="O116">
            <v>1</v>
          </cell>
          <cell r="P116">
            <v>0</v>
          </cell>
          <cell r="Q116">
            <v>5</v>
          </cell>
          <cell r="R116">
            <v>137.08000000000001</v>
          </cell>
          <cell r="S116">
            <v>43.49</v>
          </cell>
          <cell r="T116">
            <v>0</v>
          </cell>
          <cell r="U116">
            <v>180.57000000000002</v>
          </cell>
          <cell r="V116">
            <v>165</v>
          </cell>
          <cell r="W116">
            <v>9900</v>
          </cell>
          <cell r="X116">
            <v>0.32</v>
          </cell>
          <cell r="Y116">
            <v>3168</v>
          </cell>
          <cell r="Z116" t="str">
            <v>48</v>
          </cell>
          <cell r="AA116">
            <v>66</v>
          </cell>
          <cell r="AB116">
            <v>15.15</v>
          </cell>
          <cell r="AC116">
            <v>2.7355999999999998</v>
          </cell>
          <cell r="AD116">
            <v>6740.5183999999999</v>
          </cell>
          <cell r="AE116">
            <v>25703</v>
          </cell>
          <cell r="AF116">
            <v>4.5</v>
          </cell>
          <cell r="AG116">
            <v>5711.7777800000003</v>
          </cell>
          <cell r="AH116">
            <v>120</v>
          </cell>
          <cell r="AI116">
            <v>2</v>
          </cell>
          <cell r="AJ116">
            <v>10</v>
          </cell>
          <cell r="AK116">
            <v>36.114000000000004</v>
          </cell>
          <cell r="AL116">
            <v>6.3200000000000006E-2</v>
          </cell>
          <cell r="AM116">
            <v>155.72480000000002</v>
          </cell>
          <cell r="AN116" t="str">
            <v>K934</v>
          </cell>
          <cell r="AO116">
            <v>2.8721000000000001</v>
          </cell>
          <cell r="AP116">
            <v>3.0095000000000005</v>
          </cell>
        </row>
        <row r="117">
          <cell r="C117">
            <v>63003660</v>
          </cell>
          <cell r="D117" t="str">
            <v>KAH 40 24/200 16 AU</v>
          </cell>
          <cell r="E117" t="str">
            <v>FS01</v>
          </cell>
          <cell r="F117" t="str">
            <v>04EG02</v>
          </cell>
          <cell r="G117">
            <v>1746</v>
          </cell>
          <cell r="H117" t="str">
            <v>200</v>
          </cell>
          <cell r="I117" t="str">
            <v>MR04E02 AU-HP</v>
          </cell>
          <cell r="J117" t="str">
            <v>24</v>
          </cell>
          <cell r="K117">
            <v>41904</v>
          </cell>
          <cell r="L117">
            <v>0.5333</v>
          </cell>
          <cell r="M117">
            <v>931.14179999999999</v>
          </cell>
          <cell r="N117">
            <v>4</v>
          </cell>
          <cell r="O117">
            <v>1</v>
          </cell>
          <cell r="P117">
            <v>0</v>
          </cell>
          <cell r="Q117">
            <v>5</v>
          </cell>
          <cell r="R117">
            <v>137.08000000000001</v>
          </cell>
          <cell r="S117">
            <v>43.49</v>
          </cell>
          <cell r="T117">
            <v>0</v>
          </cell>
          <cell r="U117">
            <v>180.57000000000002</v>
          </cell>
          <cell r="V117">
            <v>165</v>
          </cell>
          <cell r="W117">
            <v>9900</v>
          </cell>
          <cell r="X117">
            <v>0.32</v>
          </cell>
          <cell r="Y117">
            <v>3168</v>
          </cell>
          <cell r="Z117" t="str">
            <v>24</v>
          </cell>
          <cell r="AA117">
            <v>132</v>
          </cell>
          <cell r="AB117">
            <v>7.58</v>
          </cell>
          <cell r="AC117">
            <v>1.3687</v>
          </cell>
          <cell r="AD117">
            <v>2389.7501999999999</v>
          </cell>
          <cell r="AE117">
            <v>25703</v>
          </cell>
          <cell r="AF117">
            <v>4.5</v>
          </cell>
          <cell r="AG117">
            <v>5711.7777800000003</v>
          </cell>
          <cell r="AH117">
            <v>120</v>
          </cell>
          <cell r="AI117">
            <v>2</v>
          </cell>
          <cell r="AJ117">
            <v>10</v>
          </cell>
          <cell r="AK117">
            <v>36.114000000000004</v>
          </cell>
          <cell r="AL117">
            <v>6.3200000000000006E-2</v>
          </cell>
          <cell r="AM117">
            <v>110.34720000000002</v>
          </cell>
          <cell r="AN117" t="str">
            <v>K933</v>
          </cell>
          <cell r="AO117">
            <v>1.5352999999999999</v>
          </cell>
          <cell r="AP117">
            <v>3.0095000000000005</v>
          </cell>
        </row>
        <row r="118">
          <cell r="C118">
            <v>63003859</v>
          </cell>
          <cell r="D118" t="str">
            <v>KAH 32 24/200 18 CA</v>
          </cell>
          <cell r="E118" t="str">
            <v>FS01</v>
          </cell>
          <cell r="F118" t="str">
            <v>04EG02</v>
          </cell>
          <cell r="G118">
            <v>916</v>
          </cell>
          <cell r="H118" t="str">
            <v>200</v>
          </cell>
          <cell r="I118" t="str">
            <v>MR04E02-HALF PACK</v>
          </cell>
          <cell r="J118" t="str">
            <v>24</v>
          </cell>
          <cell r="K118">
            <v>21984</v>
          </cell>
          <cell r="L118">
            <v>0.5333</v>
          </cell>
          <cell r="M118">
            <v>488.50279999999998</v>
          </cell>
          <cell r="N118">
            <v>4</v>
          </cell>
          <cell r="O118">
            <v>1</v>
          </cell>
          <cell r="P118">
            <v>0</v>
          </cell>
          <cell r="Q118">
            <v>5</v>
          </cell>
          <cell r="R118">
            <v>137.08000000000001</v>
          </cell>
          <cell r="S118">
            <v>43.49</v>
          </cell>
          <cell r="T118">
            <v>0</v>
          </cell>
          <cell r="U118">
            <v>180.57000000000002</v>
          </cell>
          <cell r="V118">
            <v>165</v>
          </cell>
          <cell r="W118">
            <v>9900</v>
          </cell>
          <cell r="X118">
            <v>0.32</v>
          </cell>
          <cell r="Y118">
            <v>3168</v>
          </cell>
          <cell r="Z118" t="str">
            <v>24</v>
          </cell>
          <cell r="AA118">
            <v>132</v>
          </cell>
          <cell r="AB118">
            <v>7.58</v>
          </cell>
          <cell r="AC118">
            <v>1.3687</v>
          </cell>
          <cell r="AD118">
            <v>1253.7292</v>
          </cell>
          <cell r="AE118">
            <v>25703</v>
          </cell>
          <cell r="AF118">
            <v>4.5</v>
          </cell>
          <cell r="AG118">
            <v>5711.7777800000003</v>
          </cell>
          <cell r="AH118">
            <v>120</v>
          </cell>
          <cell r="AI118">
            <v>2</v>
          </cell>
          <cell r="AJ118">
            <v>10</v>
          </cell>
          <cell r="AK118">
            <v>36.114000000000004</v>
          </cell>
          <cell r="AL118">
            <v>6.3200000000000006E-2</v>
          </cell>
          <cell r="AM118">
            <v>57.891200000000005</v>
          </cell>
          <cell r="AN118" t="str">
            <v>K929</v>
          </cell>
          <cell r="AO118">
            <v>1.5305</v>
          </cell>
          <cell r="AP118">
            <v>3.0095000000000005</v>
          </cell>
        </row>
        <row r="119">
          <cell r="C119">
            <v>63003861</v>
          </cell>
          <cell r="D119" t="str">
            <v>KAH 32 24/200 20 CA</v>
          </cell>
          <cell r="E119" t="str">
            <v>FS01</v>
          </cell>
          <cell r="F119" t="str">
            <v>04EG02</v>
          </cell>
          <cell r="G119">
            <v>2223</v>
          </cell>
          <cell r="H119" t="str">
            <v>200</v>
          </cell>
          <cell r="I119" t="str">
            <v>MR04E02-HALF PACK</v>
          </cell>
          <cell r="J119" t="str">
            <v>24</v>
          </cell>
          <cell r="K119">
            <v>53352</v>
          </cell>
          <cell r="L119">
            <v>0.5333</v>
          </cell>
          <cell r="M119">
            <v>1185.5259000000001</v>
          </cell>
          <cell r="N119">
            <v>4</v>
          </cell>
          <cell r="O119">
            <v>1</v>
          </cell>
          <cell r="P119">
            <v>0</v>
          </cell>
          <cell r="Q119">
            <v>5</v>
          </cell>
          <cell r="R119">
            <v>137.08000000000001</v>
          </cell>
          <cell r="S119">
            <v>43.49</v>
          </cell>
          <cell r="T119">
            <v>0</v>
          </cell>
          <cell r="U119">
            <v>180.57000000000002</v>
          </cell>
          <cell r="V119">
            <v>165</v>
          </cell>
          <cell r="W119">
            <v>9900</v>
          </cell>
          <cell r="X119">
            <v>0.32</v>
          </cell>
          <cell r="Y119">
            <v>3168</v>
          </cell>
          <cell r="Z119" t="str">
            <v>24</v>
          </cell>
          <cell r="AA119">
            <v>132</v>
          </cell>
          <cell r="AB119">
            <v>7.58</v>
          </cell>
          <cell r="AC119">
            <v>1.3687</v>
          </cell>
          <cell r="AD119">
            <v>3042.6201000000001</v>
          </cell>
          <cell r="AE119">
            <v>25703</v>
          </cell>
          <cell r="AF119">
            <v>4.5</v>
          </cell>
          <cell r="AG119">
            <v>5711.7777800000003</v>
          </cell>
          <cell r="AH119">
            <v>120</v>
          </cell>
          <cell r="AI119">
            <v>2</v>
          </cell>
          <cell r="AJ119">
            <v>10</v>
          </cell>
          <cell r="AK119">
            <v>36.114000000000004</v>
          </cell>
          <cell r="AL119">
            <v>6.3200000000000006E-2</v>
          </cell>
          <cell r="AM119">
            <v>140.49360000000001</v>
          </cell>
          <cell r="AN119" t="str">
            <v>K929</v>
          </cell>
          <cell r="AO119">
            <v>1.5130999999999999</v>
          </cell>
          <cell r="AP119">
            <v>3.0095000000000005</v>
          </cell>
        </row>
        <row r="120">
          <cell r="C120">
            <v>63003863</v>
          </cell>
          <cell r="D120" t="str">
            <v>KAH 32 24/200 21 KP</v>
          </cell>
          <cell r="E120" t="str">
            <v>FS01</v>
          </cell>
          <cell r="F120" t="str">
            <v>04EG02</v>
          </cell>
          <cell r="G120">
            <v>3000</v>
          </cell>
          <cell r="H120" t="str">
            <v>200</v>
          </cell>
          <cell r="I120" t="str">
            <v>MR04E02 AU-HP</v>
          </cell>
          <cell r="J120" t="str">
            <v>24</v>
          </cell>
          <cell r="K120">
            <v>72000</v>
          </cell>
          <cell r="L120">
            <v>0.5333</v>
          </cell>
          <cell r="M120">
            <v>1599.9</v>
          </cell>
          <cell r="N120">
            <v>4</v>
          </cell>
          <cell r="O120">
            <v>1</v>
          </cell>
          <cell r="P120">
            <v>0</v>
          </cell>
          <cell r="Q120">
            <v>5</v>
          </cell>
          <cell r="R120">
            <v>137.08000000000001</v>
          </cell>
          <cell r="S120">
            <v>43.49</v>
          </cell>
          <cell r="T120">
            <v>0</v>
          </cell>
          <cell r="U120">
            <v>180.57000000000002</v>
          </cell>
          <cell r="V120">
            <v>165</v>
          </cell>
          <cell r="W120">
            <v>9900</v>
          </cell>
          <cell r="X120">
            <v>0.32</v>
          </cell>
          <cell r="Y120">
            <v>3168</v>
          </cell>
          <cell r="Z120" t="str">
            <v>24</v>
          </cell>
          <cell r="AA120">
            <v>132</v>
          </cell>
          <cell r="AB120">
            <v>7.58</v>
          </cell>
          <cell r="AC120">
            <v>1.3687</v>
          </cell>
          <cell r="AD120">
            <v>4106.1000000000004</v>
          </cell>
          <cell r="AE120">
            <v>25703</v>
          </cell>
          <cell r="AF120">
            <v>4.5</v>
          </cell>
          <cell r="AG120">
            <v>5711.7777800000003</v>
          </cell>
          <cell r="AH120">
            <v>120</v>
          </cell>
          <cell r="AI120">
            <v>2</v>
          </cell>
          <cell r="AJ120">
            <v>10</v>
          </cell>
          <cell r="AK120">
            <v>36.114000000000004</v>
          </cell>
          <cell r="AL120">
            <v>6.3200000000000006E-2</v>
          </cell>
          <cell r="AM120">
            <v>189.60000000000002</v>
          </cell>
          <cell r="AN120" t="str">
            <v>K929</v>
          </cell>
          <cell r="AO120">
            <v>1.4921</v>
          </cell>
          <cell r="AP120">
            <v>3.0095000000000005</v>
          </cell>
        </row>
        <row r="121">
          <cell r="C121">
            <v>63003865</v>
          </cell>
          <cell r="D121" t="str">
            <v>KAH 40 24/200 20 JP</v>
          </cell>
          <cell r="E121" t="str">
            <v>FS01</v>
          </cell>
          <cell r="F121" t="str">
            <v>04EG02</v>
          </cell>
          <cell r="G121">
            <v>13857</v>
          </cell>
          <cell r="H121" t="str">
            <v>200</v>
          </cell>
          <cell r="I121" t="str">
            <v>MR04E02-HALF PACK JP</v>
          </cell>
          <cell r="J121" t="str">
            <v>24</v>
          </cell>
          <cell r="K121">
            <v>332568</v>
          </cell>
          <cell r="L121">
            <v>0.5333</v>
          </cell>
          <cell r="M121">
            <v>7389.9381000000003</v>
          </cell>
          <cell r="N121">
            <v>6</v>
          </cell>
          <cell r="O121">
            <v>1</v>
          </cell>
          <cell r="P121">
            <v>2</v>
          </cell>
          <cell r="Q121">
            <v>9</v>
          </cell>
          <cell r="R121">
            <v>205.62</v>
          </cell>
          <cell r="S121">
            <v>43.49</v>
          </cell>
          <cell r="T121">
            <v>37.68</v>
          </cell>
          <cell r="U121">
            <v>286.79000000000002</v>
          </cell>
          <cell r="V121">
            <v>165</v>
          </cell>
          <cell r="W121">
            <v>9900</v>
          </cell>
          <cell r="X121">
            <v>0.32</v>
          </cell>
          <cell r="Y121">
            <v>3168</v>
          </cell>
          <cell r="Z121" t="str">
            <v>24</v>
          </cell>
          <cell r="AA121">
            <v>132</v>
          </cell>
          <cell r="AB121">
            <v>7.58</v>
          </cell>
          <cell r="AC121">
            <v>2.1739000000000002</v>
          </cell>
          <cell r="AD121">
            <v>30123.732300000003</v>
          </cell>
          <cell r="AE121">
            <v>25703</v>
          </cell>
          <cell r="AF121">
            <v>4.5</v>
          </cell>
          <cell r="AG121">
            <v>5711.7777800000003</v>
          </cell>
          <cell r="AH121">
            <v>120</v>
          </cell>
          <cell r="AI121">
            <v>2</v>
          </cell>
          <cell r="AJ121">
            <v>18</v>
          </cell>
          <cell r="AK121">
            <v>31.865555555555559</v>
          </cell>
          <cell r="AL121">
            <v>0.1004</v>
          </cell>
          <cell r="AM121">
            <v>1391.2428</v>
          </cell>
          <cell r="AN121" t="str">
            <v>K933</v>
          </cell>
          <cell r="AO121">
            <v>2.2950000000000004</v>
          </cell>
          <cell r="AP121">
            <v>4.7798333333333334</v>
          </cell>
        </row>
        <row r="122">
          <cell r="C122">
            <v>63005626</v>
          </cell>
          <cell r="D122" t="str">
            <v>KAH 43 12/375 RND 16 OH</v>
          </cell>
          <cell r="E122" t="str">
            <v>FS01</v>
          </cell>
          <cell r="F122" t="str">
            <v>04GG02</v>
          </cell>
          <cell r="G122">
            <v>918</v>
          </cell>
          <cell r="H122" t="str">
            <v>375</v>
          </cell>
          <cell r="I122" t="str">
            <v>MR04G01-HALF PACK</v>
          </cell>
          <cell r="J122" t="str">
            <v>12</v>
          </cell>
          <cell r="K122">
            <v>11016</v>
          </cell>
          <cell r="L122">
            <v>0.5</v>
          </cell>
          <cell r="M122">
            <v>459</v>
          </cell>
          <cell r="N122">
            <v>4</v>
          </cell>
          <cell r="O122">
            <v>1</v>
          </cell>
          <cell r="P122">
            <v>0</v>
          </cell>
          <cell r="Q122">
            <v>5</v>
          </cell>
          <cell r="R122">
            <v>137.08000000000001</v>
          </cell>
          <cell r="S122">
            <v>43.49</v>
          </cell>
          <cell r="T122">
            <v>0</v>
          </cell>
          <cell r="U122">
            <v>180.57000000000002</v>
          </cell>
          <cell r="V122">
            <v>165</v>
          </cell>
          <cell r="W122">
            <v>9900</v>
          </cell>
          <cell r="X122">
            <v>0.5</v>
          </cell>
          <cell r="Y122">
            <v>4950</v>
          </cell>
          <cell r="Z122" t="str">
            <v>12</v>
          </cell>
          <cell r="AA122">
            <v>412.5</v>
          </cell>
          <cell r="AB122">
            <v>2.42</v>
          </cell>
          <cell r="AC122">
            <v>0.437</v>
          </cell>
          <cell r="AD122">
            <v>401.166</v>
          </cell>
          <cell r="AE122">
            <v>75952</v>
          </cell>
          <cell r="AF122">
            <v>8.5</v>
          </cell>
          <cell r="AG122">
            <v>8935.5294099999992</v>
          </cell>
          <cell r="AH122">
            <v>120</v>
          </cell>
          <cell r="AI122">
            <v>2</v>
          </cell>
          <cell r="AJ122">
            <v>10</v>
          </cell>
          <cell r="AK122">
            <v>36.114000000000004</v>
          </cell>
          <cell r="AL122">
            <v>4.0399999999999998E-2</v>
          </cell>
          <cell r="AM122">
            <v>37.087199999999996</v>
          </cell>
          <cell r="AN122" t="str">
            <v>K935</v>
          </cell>
          <cell r="AO122">
            <v>0.67410000000000003</v>
          </cell>
          <cell r="AP122">
            <v>3.0095000000000005</v>
          </cell>
        </row>
        <row r="123">
          <cell r="C123">
            <v>63005656</v>
          </cell>
          <cell r="D123" t="str">
            <v>KAH 40 24/375 RND 16 US</v>
          </cell>
          <cell r="E123" t="str">
            <v>FS01</v>
          </cell>
          <cell r="F123" t="str">
            <v>04GG02</v>
          </cell>
          <cell r="G123">
            <v>39274</v>
          </cell>
          <cell r="H123" t="str">
            <v>375</v>
          </cell>
          <cell r="I123" t="str">
            <v>MR04G01</v>
          </cell>
          <cell r="J123" t="str">
            <v>24</v>
          </cell>
          <cell r="K123">
            <v>942576</v>
          </cell>
          <cell r="L123">
            <v>1</v>
          </cell>
          <cell r="M123">
            <v>39274</v>
          </cell>
          <cell r="N123">
            <v>4</v>
          </cell>
          <cell r="O123">
            <v>1</v>
          </cell>
          <cell r="P123">
            <v>0</v>
          </cell>
          <cell r="Q123">
            <v>5</v>
          </cell>
          <cell r="R123">
            <v>137.08000000000001</v>
          </cell>
          <cell r="S123">
            <v>43.49</v>
          </cell>
          <cell r="T123">
            <v>0</v>
          </cell>
          <cell r="U123">
            <v>180.57000000000002</v>
          </cell>
          <cell r="V123">
            <v>165</v>
          </cell>
          <cell r="W123">
            <v>9900</v>
          </cell>
          <cell r="X123">
            <v>0.5</v>
          </cell>
          <cell r="Y123">
            <v>4950</v>
          </cell>
          <cell r="Z123" t="str">
            <v>24</v>
          </cell>
          <cell r="AA123">
            <v>206.25</v>
          </cell>
          <cell r="AB123">
            <v>4.8499999999999996</v>
          </cell>
          <cell r="AC123">
            <v>0.87580000000000002</v>
          </cell>
          <cell r="AD123">
            <v>34396.169200000004</v>
          </cell>
          <cell r="AE123">
            <v>75952</v>
          </cell>
          <cell r="AF123">
            <v>8.5</v>
          </cell>
          <cell r="AG123">
            <v>8935.5294099999992</v>
          </cell>
          <cell r="AH123">
            <v>120</v>
          </cell>
          <cell r="AI123">
            <v>2</v>
          </cell>
          <cell r="AJ123">
            <v>10</v>
          </cell>
          <cell r="AK123">
            <v>36.114000000000004</v>
          </cell>
          <cell r="AL123">
            <v>4.0399999999999998E-2</v>
          </cell>
          <cell r="AM123">
            <v>1586.6695999999999</v>
          </cell>
          <cell r="AN123" t="str">
            <v>K934</v>
          </cell>
          <cell r="AO123">
            <v>0.93230000000000002</v>
          </cell>
          <cell r="AP123">
            <v>3.0095000000000005</v>
          </cell>
        </row>
        <row r="124">
          <cell r="C124">
            <v>63005859</v>
          </cell>
          <cell r="D124" t="str">
            <v>KAH 32 12/375 20 CA</v>
          </cell>
          <cell r="E124" t="str">
            <v>FS01</v>
          </cell>
          <cell r="F124" t="str">
            <v>04GG02</v>
          </cell>
          <cell r="G124">
            <v>26876</v>
          </cell>
          <cell r="H124" t="str">
            <v>375</v>
          </cell>
          <cell r="I124" t="str">
            <v>MR04G01-HALF PACK-V</v>
          </cell>
          <cell r="J124" t="str">
            <v>12</v>
          </cell>
          <cell r="K124">
            <v>322512</v>
          </cell>
          <cell r="L124">
            <v>0.5</v>
          </cell>
          <cell r="M124">
            <v>13438</v>
          </cell>
          <cell r="N124">
            <v>4</v>
          </cell>
          <cell r="O124">
            <v>1</v>
          </cell>
          <cell r="P124">
            <v>0</v>
          </cell>
          <cell r="Q124">
            <v>5</v>
          </cell>
          <cell r="R124">
            <v>137.08000000000001</v>
          </cell>
          <cell r="S124">
            <v>43.49</v>
          </cell>
          <cell r="T124">
            <v>0</v>
          </cell>
          <cell r="U124">
            <v>180.57000000000002</v>
          </cell>
          <cell r="V124">
            <v>165</v>
          </cell>
          <cell r="W124">
            <v>9900</v>
          </cell>
          <cell r="X124">
            <v>0.5</v>
          </cell>
          <cell r="Y124">
            <v>4950</v>
          </cell>
          <cell r="Z124" t="str">
            <v>12</v>
          </cell>
          <cell r="AA124">
            <v>412.5</v>
          </cell>
          <cell r="AB124">
            <v>2.42</v>
          </cell>
          <cell r="AC124">
            <v>0.437</v>
          </cell>
          <cell r="AD124">
            <v>11744.812</v>
          </cell>
          <cell r="AE124">
            <v>75952</v>
          </cell>
          <cell r="AF124">
            <v>8.5</v>
          </cell>
          <cell r="AG124">
            <v>8935.5294099999992</v>
          </cell>
          <cell r="AH124">
            <v>120</v>
          </cell>
          <cell r="AI124">
            <v>2</v>
          </cell>
          <cell r="AJ124">
            <v>10</v>
          </cell>
          <cell r="AK124">
            <v>36.114000000000004</v>
          </cell>
          <cell r="AL124">
            <v>4.0399999999999998E-2</v>
          </cell>
          <cell r="AM124">
            <v>1085.7903999999999</v>
          </cell>
          <cell r="AN124" t="str">
            <v>K929</v>
          </cell>
          <cell r="AO124">
            <v>0.49759999999999999</v>
          </cell>
          <cell r="AP124">
            <v>3.0095000000000005</v>
          </cell>
        </row>
        <row r="125">
          <cell r="C125">
            <v>63006634</v>
          </cell>
          <cell r="D125" t="str">
            <v>KAH 32 12/500 21 GE</v>
          </cell>
          <cell r="E125" t="str">
            <v>FS01</v>
          </cell>
          <cell r="F125" t="str">
            <v>04DG02</v>
          </cell>
          <cell r="G125">
            <v>7561</v>
          </cell>
          <cell r="H125" t="str">
            <v>500</v>
          </cell>
          <cell r="I125" t="str">
            <v>MR04D01</v>
          </cell>
          <cell r="J125" t="str">
            <v>12</v>
          </cell>
          <cell r="K125">
            <v>90732</v>
          </cell>
          <cell r="L125">
            <v>0.66669999999999996</v>
          </cell>
          <cell r="M125">
            <v>5040.9186999999993</v>
          </cell>
          <cell r="N125">
            <v>4</v>
          </cell>
          <cell r="O125">
            <v>1</v>
          </cell>
          <cell r="P125">
            <v>0</v>
          </cell>
          <cell r="Q125">
            <v>5</v>
          </cell>
          <cell r="R125">
            <v>137.08000000000001</v>
          </cell>
          <cell r="S125">
            <v>43.49</v>
          </cell>
          <cell r="T125">
            <v>0</v>
          </cell>
          <cell r="U125">
            <v>180.57000000000002</v>
          </cell>
          <cell r="V125">
            <v>165</v>
          </cell>
          <cell r="W125">
            <v>9900</v>
          </cell>
          <cell r="X125">
            <v>0.45</v>
          </cell>
          <cell r="Y125">
            <v>4455</v>
          </cell>
          <cell r="Z125" t="str">
            <v>12</v>
          </cell>
          <cell r="AA125">
            <v>371.25</v>
          </cell>
          <cell r="AB125">
            <v>2.69</v>
          </cell>
          <cell r="AC125">
            <v>0.48570000000000002</v>
          </cell>
          <cell r="AD125">
            <v>3672.3777</v>
          </cell>
          <cell r="AE125">
            <v>7561</v>
          </cell>
          <cell r="AF125">
            <v>2</v>
          </cell>
          <cell r="AG125">
            <v>3780.5</v>
          </cell>
          <cell r="AH125">
            <v>120</v>
          </cell>
          <cell r="AI125">
            <v>2</v>
          </cell>
          <cell r="AJ125">
            <v>10</v>
          </cell>
          <cell r="AK125">
            <v>36.114000000000004</v>
          </cell>
          <cell r="AL125">
            <v>9.5500000000000002E-2</v>
          </cell>
          <cell r="AM125">
            <v>722.07550000000003</v>
          </cell>
          <cell r="AN125" t="str">
            <v>K929</v>
          </cell>
          <cell r="AO125">
            <v>0.60510000000000008</v>
          </cell>
          <cell r="AP125">
            <v>3.0095000000000005</v>
          </cell>
        </row>
        <row r="126">
          <cell r="C126">
            <v>63007630</v>
          </cell>
          <cell r="D126" t="str">
            <v>KAH 32 6/700 20 AU</v>
          </cell>
          <cell r="E126" t="str">
            <v>FS10</v>
          </cell>
          <cell r="F126" t="str">
            <v>04KG02</v>
          </cell>
          <cell r="G126">
            <v>74224</v>
          </cell>
          <cell r="H126" t="str">
            <v>700</v>
          </cell>
          <cell r="I126" t="str">
            <v>MR04K10-HALF PACK</v>
          </cell>
          <cell r="J126" t="str">
            <v>6</v>
          </cell>
          <cell r="K126">
            <v>445344</v>
          </cell>
          <cell r="L126">
            <v>0.4667</v>
          </cell>
          <cell r="M126">
            <v>34640.340799999998</v>
          </cell>
          <cell r="N126">
            <v>6</v>
          </cell>
          <cell r="O126">
            <v>1</v>
          </cell>
          <cell r="P126">
            <v>2</v>
          </cell>
          <cell r="Q126">
            <v>9</v>
          </cell>
          <cell r="R126">
            <v>205.62</v>
          </cell>
          <cell r="S126">
            <v>43.49</v>
          </cell>
          <cell r="T126">
            <v>37.68</v>
          </cell>
          <cell r="U126">
            <v>286.79000000000002</v>
          </cell>
          <cell r="V126">
            <v>180</v>
          </cell>
          <cell r="W126">
            <v>10800</v>
          </cell>
          <cell r="X126">
            <v>0.55000000000000004</v>
          </cell>
          <cell r="Y126">
            <v>5940.0000000000009</v>
          </cell>
          <cell r="Z126" t="str">
            <v>6</v>
          </cell>
          <cell r="AA126">
            <v>990.00000000000011</v>
          </cell>
          <cell r="AB126">
            <v>1.01</v>
          </cell>
          <cell r="AC126">
            <v>0.28970000000000001</v>
          </cell>
          <cell r="AD126">
            <v>21502.692800000001</v>
          </cell>
          <cell r="AE126">
            <v>130456</v>
          </cell>
          <cell r="AF126">
            <v>11.5</v>
          </cell>
          <cell r="AG126">
            <v>11344</v>
          </cell>
          <cell r="AH126">
            <v>120</v>
          </cell>
          <cell r="AI126">
            <v>2</v>
          </cell>
          <cell r="AJ126">
            <v>18</v>
          </cell>
          <cell r="AK126">
            <v>31.865555555555559</v>
          </cell>
          <cell r="AL126">
            <v>5.0599999999999999E-2</v>
          </cell>
          <cell r="AM126">
            <v>3755.7343999999998</v>
          </cell>
          <cell r="AN126" t="str">
            <v>K929</v>
          </cell>
          <cell r="AO126">
            <v>0.34799999999999998</v>
          </cell>
          <cell r="AP126">
            <v>4.7798333333333334</v>
          </cell>
        </row>
        <row r="127">
          <cell r="C127">
            <v>63007678</v>
          </cell>
          <cell r="D127" t="str">
            <v>KAH 40 12/700 16 GE</v>
          </cell>
          <cell r="E127" t="str">
            <v>FS10</v>
          </cell>
          <cell r="F127" t="str">
            <v>04KG02</v>
          </cell>
          <cell r="G127">
            <v>8129</v>
          </cell>
          <cell r="H127" t="str">
            <v>700</v>
          </cell>
          <cell r="I127" t="str">
            <v>MR04K10-INSP/STCKR</v>
          </cell>
          <cell r="J127" t="str">
            <v>12</v>
          </cell>
          <cell r="K127">
            <v>97548</v>
          </cell>
          <cell r="L127">
            <v>0.93330000000000002</v>
          </cell>
          <cell r="M127">
            <v>7586.7957000000006</v>
          </cell>
          <cell r="N127">
            <v>6</v>
          </cell>
          <cell r="O127">
            <v>1</v>
          </cell>
          <cell r="P127">
            <v>2</v>
          </cell>
          <cell r="Q127">
            <v>9</v>
          </cell>
          <cell r="R127">
            <v>205.62</v>
          </cell>
          <cell r="S127">
            <v>43.49</v>
          </cell>
          <cell r="T127">
            <v>37.68</v>
          </cell>
          <cell r="U127">
            <v>286.79000000000002</v>
          </cell>
          <cell r="V127">
            <v>180</v>
          </cell>
          <cell r="W127">
            <v>10800</v>
          </cell>
          <cell r="X127">
            <v>0.55000000000000004</v>
          </cell>
          <cell r="Y127">
            <v>5940.0000000000009</v>
          </cell>
          <cell r="Z127" t="str">
            <v>12</v>
          </cell>
          <cell r="AA127">
            <v>495.00000000000006</v>
          </cell>
          <cell r="AB127">
            <v>2.02</v>
          </cell>
          <cell r="AC127">
            <v>0.57930000000000004</v>
          </cell>
          <cell r="AD127">
            <v>4709.1297000000004</v>
          </cell>
          <cell r="AE127">
            <v>130456</v>
          </cell>
          <cell r="AF127">
            <v>11.5</v>
          </cell>
          <cell r="AG127">
            <v>11344</v>
          </cell>
          <cell r="AH127">
            <v>120</v>
          </cell>
          <cell r="AI127">
            <v>2</v>
          </cell>
          <cell r="AJ127">
            <v>18</v>
          </cell>
          <cell r="AK127">
            <v>31.865555555555559</v>
          </cell>
          <cell r="AL127">
            <v>5.0599999999999999E-2</v>
          </cell>
          <cell r="AM127">
            <v>411.32740000000001</v>
          </cell>
          <cell r="AN127" t="str">
            <v>K933</v>
          </cell>
          <cell r="AO127">
            <v>0.66520000000000001</v>
          </cell>
          <cell r="AP127">
            <v>4.7798333333333334</v>
          </cell>
        </row>
        <row r="128">
          <cell r="C128">
            <v>63007885</v>
          </cell>
          <cell r="D128" t="str">
            <v>KAH 40 12/700 19 JP</v>
          </cell>
          <cell r="E128" t="str">
            <v>FS10</v>
          </cell>
          <cell r="F128" t="str">
            <v>04KG02</v>
          </cell>
          <cell r="G128">
            <v>41343</v>
          </cell>
          <cell r="H128" t="str">
            <v>700</v>
          </cell>
          <cell r="I128" t="str">
            <v>MR04K10-JP</v>
          </cell>
          <cell r="J128" t="str">
            <v>12</v>
          </cell>
          <cell r="K128">
            <v>496116</v>
          </cell>
          <cell r="L128">
            <v>0.93330000000000002</v>
          </cell>
          <cell r="M128">
            <v>38585.421900000001</v>
          </cell>
          <cell r="N128">
            <v>8</v>
          </cell>
          <cell r="O128">
            <v>1</v>
          </cell>
          <cell r="P128">
            <v>2</v>
          </cell>
          <cell r="Q128">
            <v>11</v>
          </cell>
          <cell r="R128">
            <v>274.16000000000003</v>
          </cell>
          <cell r="S128">
            <v>43.49</v>
          </cell>
          <cell r="T128">
            <v>37.68</v>
          </cell>
          <cell r="U128">
            <v>355.33000000000004</v>
          </cell>
          <cell r="V128">
            <v>290</v>
          </cell>
          <cell r="W128">
            <v>17400</v>
          </cell>
          <cell r="X128">
            <v>0.32</v>
          </cell>
          <cell r="Y128">
            <v>5568</v>
          </cell>
          <cell r="Z128" t="str">
            <v>12</v>
          </cell>
          <cell r="AA128">
            <v>464</v>
          </cell>
          <cell r="AB128">
            <v>2.16</v>
          </cell>
          <cell r="AC128">
            <v>0.76749999999999996</v>
          </cell>
          <cell r="AD128">
            <v>31730.752499999999</v>
          </cell>
          <cell r="AE128">
            <v>130456</v>
          </cell>
          <cell r="AF128">
            <v>11.5</v>
          </cell>
          <cell r="AG128">
            <v>11344</v>
          </cell>
          <cell r="AH128">
            <v>120</v>
          </cell>
          <cell r="AI128">
            <v>2</v>
          </cell>
          <cell r="AJ128">
            <v>22</v>
          </cell>
          <cell r="AK128">
            <v>32.302727272727275</v>
          </cell>
          <cell r="AL128">
            <v>6.2600000000000003E-2</v>
          </cell>
          <cell r="AM128">
            <v>2588.0718000000002</v>
          </cell>
          <cell r="AN128" t="str">
            <v>K933</v>
          </cell>
          <cell r="AO128">
            <v>0.85589999999999999</v>
          </cell>
          <cell r="AP128">
            <v>5.9221666666666675</v>
          </cell>
        </row>
        <row r="129">
          <cell r="C129">
            <v>63008606</v>
          </cell>
          <cell r="D129" t="str">
            <v>KAH 43 12/750 16 OH</v>
          </cell>
          <cell r="E129" t="str">
            <v>FS10</v>
          </cell>
          <cell r="F129" t="str">
            <v>04CG02</v>
          </cell>
          <cell r="G129">
            <v>3621</v>
          </cell>
          <cell r="H129" t="str">
            <v>750</v>
          </cell>
          <cell r="I129" t="str">
            <v>MR04C10</v>
          </cell>
          <cell r="J129" t="str">
            <v>12</v>
          </cell>
          <cell r="K129">
            <v>43452</v>
          </cell>
          <cell r="L129">
            <v>1</v>
          </cell>
          <cell r="M129">
            <v>3621</v>
          </cell>
          <cell r="N129">
            <v>6</v>
          </cell>
          <cell r="O129">
            <v>1</v>
          </cell>
          <cell r="P129">
            <v>0</v>
          </cell>
          <cell r="Q129">
            <v>7</v>
          </cell>
          <cell r="R129">
            <v>205.62</v>
          </cell>
          <cell r="S129">
            <v>43.49</v>
          </cell>
          <cell r="T129">
            <v>0</v>
          </cell>
          <cell r="U129">
            <v>249.11</v>
          </cell>
          <cell r="V129">
            <v>290</v>
          </cell>
          <cell r="W129">
            <v>17400</v>
          </cell>
          <cell r="X129">
            <v>0.5</v>
          </cell>
          <cell r="Y129">
            <v>8700</v>
          </cell>
          <cell r="Z129" t="str">
            <v>12</v>
          </cell>
          <cell r="AA129">
            <v>725</v>
          </cell>
          <cell r="AB129">
            <v>1.38</v>
          </cell>
          <cell r="AC129">
            <v>0.34379999999999999</v>
          </cell>
          <cell r="AD129">
            <v>1244.8997999999999</v>
          </cell>
          <cell r="AE129">
            <v>502895</v>
          </cell>
          <cell r="AF129">
            <v>14</v>
          </cell>
          <cell r="AG129">
            <v>35921.071430000004</v>
          </cell>
          <cell r="AH129">
            <v>120</v>
          </cell>
          <cell r="AI129">
            <v>2</v>
          </cell>
          <cell r="AJ129">
            <v>14</v>
          </cell>
          <cell r="AK129">
            <v>35.587142857142858</v>
          </cell>
          <cell r="AL129">
            <v>1.3899999999999999E-2</v>
          </cell>
          <cell r="AM129">
            <v>50.331899999999997</v>
          </cell>
          <cell r="AN129" t="str">
            <v>K935</v>
          </cell>
          <cell r="AO129">
            <v>0.42649999999999999</v>
          </cell>
          <cell r="AP129">
            <v>4.1518333333333333</v>
          </cell>
        </row>
        <row r="130">
          <cell r="C130">
            <v>63008608</v>
          </cell>
          <cell r="D130" t="str">
            <v>KAH 40 12/750 CLBSHPR 16 US</v>
          </cell>
          <cell r="E130" t="str">
            <v>FS10</v>
          </cell>
          <cell r="F130" t="str">
            <v>04CG02</v>
          </cell>
          <cell r="G130">
            <v>3472</v>
          </cell>
          <cell r="H130" t="str">
            <v>750</v>
          </cell>
          <cell r="I130" t="str">
            <v>MR04C10 CLB</v>
          </cell>
          <cell r="J130" t="str">
            <v>12</v>
          </cell>
          <cell r="K130">
            <v>41664</v>
          </cell>
          <cell r="L130">
            <v>1</v>
          </cell>
          <cell r="M130">
            <v>3472</v>
          </cell>
          <cell r="N130">
            <v>6</v>
          </cell>
          <cell r="O130">
            <v>1</v>
          </cell>
          <cell r="P130">
            <v>4</v>
          </cell>
          <cell r="Q130">
            <v>11</v>
          </cell>
          <cell r="R130">
            <v>205.62</v>
          </cell>
          <cell r="S130">
            <v>43.49</v>
          </cell>
          <cell r="T130">
            <v>75.36</v>
          </cell>
          <cell r="U130">
            <v>324.47000000000003</v>
          </cell>
          <cell r="V130">
            <v>200</v>
          </cell>
          <cell r="W130">
            <v>12000</v>
          </cell>
          <cell r="X130">
            <v>0.5</v>
          </cell>
          <cell r="Y130">
            <v>6000</v>
          </cell>
          <cell r="Z130" t="str">
            <v>12</v>
          </cell>
          <cell r="AA130">
            <v>500</v>
          </cell>
          <cell r="AB130">
            <v>2</v>
          </cell>
          <cell r="AC130">
            <v>0.64890000000000003</v>
          </cell>
          <cell r="AD130">
            <v>2252.9808000000003</v>
          </cell>
          <cell r="AE130">
            <v>502895</v>
          </cell>
          <cell r="AF130">
            <v>14</v>
          </cell>
          <cell r="AG130">
            <v>35921.071430000004</v>
          </cell>
          <cell r="AH130">
            <v>120</v>
          </cell>
          <cell r="AI130">
            <v>2</v>
          </cell>
          <cell r="AJ130">
            <v>22</v>
          </cell>
          <cell r="AK130">
            <v>29.49727272727273</v>
          </cell>
          <cell r="AL130">
            <v>1.8100000000000002E-2</v>
          </cell>
          <cell r="AM130">
            <v>62.843200000000003</v>
          </cell>
          <cell r="AN130" t="str">
            <v>K934</v>
          </cell>
          <cell r="AO130">
            <v>0.76050000000000006</v>
          </cell>
          <cell r="AP130">
            <v>5.4078333333333335</v>
          </cell>
        </row>
        <row r="131">
          <cell r="C131">
            <v>63008612</v>
          </cell>
          <cell r="D131" t="str">
            <v>KAH 40 12/750 16 EX</v>
          </cell>
          <cell r="E131" t="str">
            <v>FS10</v>
          </cell>
          <cell r="F131" t="str">
            <v>04CG02</v>
          </cell>
          <cell r="G131">
            <v>3325</v>
          </cell>
          <cell r="H131" t="str">
            <v>750</v>
          </cell>
          <cell r="I131" t="str">
            <v>MR04C10</v>
          </cell>
          <cell r="J131" t="str">
            <v>12</v>
          </cell>
          <cell r="K131">
            <v>39900</v>
          </cell>
          <cell r="L131">
            <v>1</v>
          </cell>
          <cell r="M131">
            <v>3325</v>
          </cell>
          <cell r="N131">
            <v>6</v>
          </cell>
          <cell r="O131">
            <v>1</v>
          </cell>
          <cell r="P131">
            <v>0</v>
          </cell>
          <cell r="Q131">
            <v>7</v>
          </cell>
          <cell r="R131">
            <v>205.62</v>
          </cell>
          <cell r="S131">
            <v>43.49</v>
          </cell>
          <cell r="T131">
            <v>0</v>
          </cell>
          <cell r="U131">
            <v>249.11</v>
          </cell>
          <cell r="V131">
            <v>290</v>
          </cell>
          <cell r="W131">
            <v>17400</v>
          </cell>
          <cell r="X131">
            <v>0.5</v>
          </cell>
          <cell r="Y131">
            <v>8700</v>
          </cell>
          <cell r="Z131" t="str">
            <v>12</v>
          </cell>
          <cell r="AA131">
            <v>725</v>
          </cell>
          <cell r="AB131">
            <v>1.38</v>
          </cell>
          <cell r="AC131">
            <v>0.34379999999999999</v>
          </cell>
          <cell r="AD131">
            <v>1143.135</v>
          </cell>
          <cell r="AE131">
            <v>502895</v>
          </cell>
          <cell r="AF131">
            <v>14</v>
          </cell>
          <cell r="AG131">
            <v>35921.071430000004</v>
          </cell>
          <cell r="AH131">
            <v>120</v>
          </cell>
          <cell r="AI131">
            <v>2</v>
          </cell>
          <cell r="AJ131">
            <v>14</v>
          </cell>
          <cell r="AK131">
            <v>35.587142857142858</v>
          </cell>
          <cell r="AL131">
            <v>1.3899999999999999E-2</v>
          </cell>
          <cell r="AM131">
            <v>46.217499999999994</v>
          </cell>
          <cell r="AN131" t="str">
            <v>K933</v>
          </cell>
          <cell r="AO131">
            <v>0.43259999999999998</v>
          </cell>
          <cell r="AP131">
            <v>4.1518333333333333</v>
          </cell>
        </row>
        <row r="132">
          <cell r="C132">
            <v>63008613</v>
          </cell>
          <cell r="D132" t="str">
            <v>KAH 40 12/750 16 GE</v>
          </cell>
          <cell r="E132" t="str">
            <v>FS10</v>
          </cell>
          <cell r="F132" t="str">
            <v>04CG02</v>
          </cell>
          <cell r="G132">
            <v>2923</v>
          </cell>
          <cell r="H132" t="str">
            <v>750</v>
          </cell>
          <cell r="I132" t="str">
            <v>MR04C10</v>
          </cell>
          <cell r="J132" t="str">
            <v>12</v>
          </cell>
          <cell r="K132">
            <v>35076</v>
          </cell>
          <cell r="L132">
            <v>1</v>
          </cell>
          <cell r="M132">
            <v>2923</v>
          </cell>
          <cell r="N132">
            <v>6</v>
          </cell>
          <cell r="O132">
            <v>1</v>
          </cell>
          <cell r="P132">
            <v>0</v>
          </cell>
          <cell r="Q132">
            <v>7</v>
          </cell>
          <cell r="R132">
            <v>205.62</v>
          </cell>
          <cell r="S132">
            <v>43.49</v>
          </cell>
          <cell r="T132">
            <v>0</v>
          </cell>
          <cell r="U132">
            <v>249.11</v>
          </cell>
          <cell r="V132">
            <v>290</v>
          </cell>
          <cell r="W132">
            <v>17400</v>
          </cell>
          <cell r="X132">
            <v>0.5</v>
          </cell>
          <cell r="Y132">
            <v>8700</v>
          </cell>
          <cell r="Z132" t="str">
            <v>12</v>
          </cell>
          <cell r="AA132">
            <v>725</v>
          </cell>
          <cell r="AB132">
            <v>1.38</v>
          </cell>
          <cell r="AC132">
            <v>0.34379999999999999</v>
          </cell>
          <cell r="AD132">
            <v>1004.9274</v>
          </cell>
          <cell r="AE132">
            <v>502895</v>
          </cell>
          <cell r="AF132">
            <v>14</v>
          </cell>
          <cell r="AG132">
            <v>35921.071430000004</v>
          </cell>
          <cell r="AH132">
            <v>120</v>
          </cell>
          <cell r="AI132">
            <v>2</v>
          </cell>
          <cell r="AJ132">
            <v>14</v>
          </cell>
          <cell r="AK132">
            <v>35.587142857142858</v>
          </cell>
          <cell r="AL132">
            <v>1.3899999999999999E-2</v>
          </cell>
          <cell r="AM132">
            <v>40.6297</v>
          </cell>
          <cell r="AN132" t="str">
            <v>K933</v>
          </cell>
          <cell r="AO132">
            <v>0.44290000000000002</v>
          </cell>
          <cell r="AP132">
            <v>4.1518333333333333</v>
          </cell>
        </row>
        <row r="133">
          <cell r="C133">
            <v>63008615</v>
          </cell>
          <cell r="D133" t="str">
            <v>KAH 40 12/750 16 PR</v>
          </cell>
          <cell r="E133" t="str">
            <v>FS10</v>
          </cell>
          <cell r="F133" t="str">
            <v>04CG02</v>
          </cell>
          <cell r="G133">
            <v>1958</v>
          </cell>
          <cell r="H133" t="str">
            <v>750</v>
          </cell>
          <cell r="I133" t="str">
            <v>MR04C10-V</v>
          </cell>
          <cell r="J133" t="str">
            <v>12</v>
          </cell>
          <cell r="K133">
            <v>23496</v>
          </cell>
          <cell r="L133">
            <v>1</v>
          </cell>
          <cell r="M133">
            <v>1958</v>
          </cell>
          <cell r="N133">
            <v>6</v>
          </cell>
          <cell r="O133">
            <v>1</v>
          </cell>
          <cell r="P133">
            <v>0</v>
          </cell>
          <cell r="Q133">
            <v>7</v>
          </cell>
          <cell r="R133">
            <v>205.62</v>
          </cell>
          <cell r="S133">
            <v>43.49</v>
          </cell>
          <cell r="T133">
            <v>0</v>
          </cell>
          <cell r="U133">
            <v>249.11</v>
          </cell>
          <cell r="V133">
            <v>290</v>
          </cell>
          <cell r="W133">
            <v>17400</v>
          </cell>
          <cell r="X133">
            <v>0.5</v>
          </cell>
          <cell r="Y133">
            <v>8700</v>
          </cell>
          <cell r="Z133" t="str">
            <v>12</v>
          </cell>
          <cell r="AA133">
            <v>725</v>
          </cell>
          <cell r="AB133">
            <v>1.38</v>
          </cell>
          <cell r="AC133">
            <v>0.34379999999999999</v>
          </cell>
          <cell r="AD133">
            <v>673.16039999999998</v>
          </cell>
          <cell r="AE133">
            <v>502895</v>
          </cell>
          <cell r="AF133">
            <v>14</v>
          </cell>
          <cell r="AG133">
            <v>35921.071430000004</v>
          </cell>
          <cell r="AH133">
            <v>120</v>
          </cell>
          <cell r="AI133">
            <v>2</v>
          </cell>
          <cell r="AJ133">
            <v>14</v>
          </cell>
          <cell r="AK133">
            <v>35.587142857142858</v>
          </cell>
          <cell r="AL133">
            <v>1.3899999999999999E-2</v>
          </cell>
          <cell r="AM133">
            <v>27.216199999999997</v>
          </cell>
          <cell r="AN133" t="str">
            <v>K934</v>
          </cell>
          <cell r="AO133">
            <v>0.42130000000000001</v>
          </cell>
          <cell r="AP133">
            <v>4.1518333333333333</v>
          </cell>
        </row>
        <row r="134">
          <cell r="C134">
            <v>63008616</v>
          </cell>
          <cell r="D134" t="str">
            <v>KAH 32 12/750 21 EX</v>
          </cell>
          <cell r="E134" t="str">
            <v>FS10</v>
          </cell>
          <cell r="F134" t="str">
            <v>04CG02</v>
          </cell>
          <cell r="G134">
            <v>16048</v>
          </cell>
          <cell r="H134" t="str">
            <v>750</v>
          </cell>
          <cell r="I134" t="str">
            <v>MR04C10</v>
          </cell>
          <cell r="J134" t="str">
            <v>12</v>
          </cell>
          <cell r="K134">
            <v>192576</v>
          </cell>
          <cell r="L134">
            <v>1</v>
          </cell>
          <cell r="M134">
            <v>16048</v>
          </cell>
          <cell r="N134">
            <v>6</v>
          </cell>
          <cell r="O134">
            <v>1</v>
          </cell>
          <cell r="P134">
            <v>0</v>
          </cell>
          <cell r="Q134">
            <v>7</v>
          </cell>
          <cell r="R134">
            <v>205.62</v>
          </cell>
          <cell r="S134">
            <v>43.49</v>
          </cell>
          <cell r="T134">
            <v>0</v>
          </cell>
          <cell r="U134">
            <v>249.11</v>
          </cell>
          <cell r="V134">
            <v>290</v>
          </cell>
          <cell r="W134">
            <v>17400</v>
          </cell>
          <cell r="X134">
            <v>0.5</v>
          </cell>
          <cell r="Y134">
            <v>8700</v>
          </cell>
          <cell r="Z134" t="str">
            <v>12</v>
          </cell>
          <cell r="AA134">
            <v>725</v>
          </cell>
          <cell r="AB134">
            <v>1.38</v>
          </cell>
          <cell r="AC134">
            <v>0.34379999999999999</v>
          </cell>
          <cell r="AD134">
            <v>5517.3023999999996</v>
          </cell>
          <cell r="AE134">
            <v>502895</v>
          </cell>
          <cell r="AF134">
            <v>14</v>
          </cell>
          <cell r="AG134">
            <v>35921.071430000004</v>
          </cell>
          <cell r="AH134">
            <v>120</v>
          </cell>
          <cell r="AI134">
            <v>2</v>
          </cell>
          <cell r="AJ134">
            <v>14</v>
          </cell>
          <cell r="AK134">
            <v>35.587142857142858</v>
          </cell>
          <cell r="AL134">
            <v>1.3899999999999999E-2</v>
          </cell>
          <cell r="AM134">
            <v>223.06719999999999</v>
          </cell>
          <cell r="AN134" t="str">
            <v>K929</v>
          </cell>
          <cell r="AO134">
            <v>0.38870000000000005</v>
          </cell>
          <cell r="AP134">
            <v>4.1518333333333333</v>
          </cell>
        </row>
        <row r="135">
          <cell r="C135">
            <v>63008628</v>
          </cell>
          <cell r="D135" t="str">
            <v>KAH 40 12/750 16 US</v>
          </cell>
          <cell r="E135" t="str">
            <v>FS10</v>
          </cell>
          <cell r="F135" t="str">
            <v>04CG02</v>
          </cell>
          <cell r="G135">
            <v>369211</v>
          </cell>
          <cell r="H135" t="str">
            <v>750</v>
          </cell>
          <cell r="I135" t="str">
            <v>MR04C10</v>
          </cell>
          <cell r="J135" t="str">
            <v>12</v>
          </cell>
          <cell r="K135">
            <v>4430532</v>
          </cell>
          <cell r="L135">
            <v>1</v>
          </cell>
          <cell r="M135">
            <v>369211</v>
          </cell>
          <cell r="N135">
            <v>6</v>
          </cell>
          <cell r="O135">
            <v>1</v>
          </cell>
          <cell r="P135">
            <v>0</v>
          </cell>
          <cell r="Q135">
            <v>7</v>
          </cell>
          <cell r="R135">
            <v>205.62</v>
          </cell>
          <cell r="S135">
            <v>43.49</v>
          </cell>
          <cell r="T135">
            <v>0</v>
          </cell>
          <cell r="U135">
            <v>249.11</v>
          </cell>
          <cell r="V135">
            <v>290</v>
          </cell>
          <cell r="W135">
            <v>17400</v>
          </cell>
          <cell r="X135">
            <v>0.5</v>
          </cell>
          <cell r="Y135">
            <v>8700</v>
          </cell>
          <cell r="Z135" t="str">
            <v>12</v>
          </cell>
          <cell r="AA135">
            <v>725</v>
          </cell>
          <cell r="AB135">
            <v>1.38</v>
          </cell>
          <cell r="AC135">
            <v>0.34379999999999999</v>
          </cell>
          <cell r="AD135">
            <v>126934.7418</v>
          </cell>
          <cell r="AE135">
            <v>502895</v>
          </cell>
          <cell r="AF135">
            <v>14</v>
          </cell>
          <cell r="AG135">
            <v>35921.071430000004</v>
          </cell>
          <cell r="AH135">
            <v>120</v>
          </cell>
          <cell r="AI135">
            <v>2</v>
          </cell>
          <cell r="AJ135">
            <v>14</v>
          </cell>
          <cell r="AK135">
            <v>35.587142857142858</v>
          </cell>
          <cell r="AL135">
            <v>1.3899999999999999E-2</v>
          </cell>
          <cell r="AM135">
            <v>5132.0328999999992</v>
          </cell>
          <cell r="AN135" t="str">
            <v>K934</v>
          </cell>
          <cell r="AO135">
            <v>0.3624</v>
          </cell>
          <cell r="AP135">
            <v>4.1518333333333333</v>
          </cell>
        </row>
        <row r="136">
          <cell r="C136">
            <v>63008689</v>
          </cell>
          <cell r="D136" t="str">
            <v>KAH 16% 12/750 21 IN</v>
          </cell>
          <cell r="E136" t="str">
            <v>FS10</v>
          </cell>
          <cell r="F136" t="str">
            <v>04CG02</v>
          </cell>
          <cell r="G136">
            <v>3480</v>
          </cell>
          <cell r="H136" t="str">
            <v>750</v>
          </cell>
          <cell r="I136" t="str">
            <v>MR04C10-V</v>
          </cell>
          <cell r="J136" t="str">
            <v>12</v>
          </cell>
          <cell r="K136">
            <v>41760</v>
          </cell>
          <cell r="L136">
            <v>1</v>
          </cell>
          <cell r="M136">
            <v>3480</v>
          </cell>
          <cell r="N136">
            <v>6</v>
          </cell>
          <cell r="O136">
            <v>1</v>
          </cell>
          <cell r="P136">
            <v>0</v>
          </cell>
          <cell r="Q136">
            <v>7</v>
          </cell>
          <cell r="R136">
            <v>205.62</v>
          </cell>
          <cell r="S136">
            <v>43.49</v>
          </cell>
          <cell r="T136">
            <v>0</v>
          </cell>
          <cell r="U136">
            <v>249.11</v>
          </cell>
          <cell r="V136">
            <v>290</v>
          </cell>
          <cell r="W136">
            <v>17400</v>
          </cell>
          <cell r="X136">
            <v>0.5</v>
          </cell>
          <cell r="Y136">
            <v>8700</v>
          </cell>
          <cell r="Z136" t="str">
            <v>12</v>
          </cell>
          <cell r="AA136">
            <v>725</v>
          </cell>
          <cell r="AB136">
            <v>1.38</v>
          </cell>
          <cell r="AC136">
            <v>0.34379999999999999</v>
          </cell>
          <cell r="AD136">
            <v>1196.424</v>
          </cell>
          <cell r="AE136">
            <v>502895</v>
          </cell>
          <cell r="AF136">
            <v>14</v>
          </cell>
          <cell r="AG136">
            <v>35921.071430000004</v>
          </cell>
          <cell r="AH136">
            <v>120</v>
          </cell>
          <cell r="AI136">
            <v>2</v>
          </cell>
          <cell r="AJ136">
            <v>14</v>
          </cell>
          <cell r="AK136">
            <v>35.587142857142858</v>
          </cell>
          <cell r="AL136">
            <v>1.3899999999999999E-2</v>
          </cell>
          <cell r="AM136">
            <v>48.372</v>
          </cell>
          <cell r="AN136" t="str">
            <v>K929</v>
          </cell>
          <cell r="AO136">
            <v>0.42930000000000001</v>
          </cell>
          <cell r="AP136">
            <v>4.1518333333333333</v>
          </cell>
        </row>
        <row r="137">
          <cell r="C137">
            <v>63008811</v>
          </cell>
          <cell r="D137" t="str">
            <v>KAH 32 12/750 20 CA</v>
          </cell>
          <cell r="E137" t="str">
            <v>FS10</v>
          </cell>
          <cell r="F137" t="str">
            <v>04CG02</v>
          </cell>
          <cell r="G137">
            <v>53987</v>
          </cell>
          <cell r="H137" t="str">
            <v>750</v>
          </cell>
          <cell r="I137" t="str">
            <v>MR04C10</v>
          </cell>
          <cell r="J137" t="str">
            <v>12</v>
          </cell>
          <cell r="K137">
            <v>647844</v>
          </cell>
          <cell r="L137">
            <v>1</v>
          </cell>
          <cell r="M137">
            <v>53987</v>
          </cell>
          <cell r="N137">
            <v>6</v>
          </cell>
          <cell r="O137">
            <v>1</v>
          </cell>
          <cell r="P137">
            <v>0</v>
          </cell>
          <cell r="Q137">
            <v>7</v>
          </cell>
          <cell r="R137">
            <v>205.62</v>
          </cell>
          <cell r="S137">
            <v>43.49</v>
          </cell>
          <cell r="T137">
            <v>0</v>
          </cell>
          <cell r="U137">
            <v>249.11</v>
          </cell>
          <cell r="V137">
            <v>290</v>
          </cell>
          <cell r="W137">
            <v>17400</v>
          </cell>
          <cell r="X137">
            <v>0.5</v>
          </cell>
          <cell r="Y137">
            <v>8700</v>
          </cell>
          <cell r="Z137" t="str">
            <v>12</v>
          </cell>
          <cell r="AA137">
            <v>725</v>
          </cell>
          <cell r="AB137">
            <v>1.38</v>
          </cell>
          <cell r="AC137">
            <v>0.34379999999999999</v>
          </cell>
          <cell r="AD137">
            <v>18560.730599999999</v>
          </cell>
          <cell r="AE137">
            <v>502895</v>
          </cell>
          <cell r="AF137">
            <v>14</v>
          </cell>
          <cell r="AG137">
            <v>35921.071430000004</v>
          </cell>
          <cell r="AH137">
            <v>120</v>
          </cell>
          <cell r="AI137">
            <v>2</v>
          </cell>
          <cell r="AJ137">
            <v>14</v>
          </cell>
          <cell r="AK137">
            <v>35.587142857142858</v>
          </cell>
          <cell r="AL137">
            <v>1.3899999999999999E-2</v>
          </cell>
          <cell r="AM137">
            <v>750.41929999999991</v>
          </cell>
          <cell r="AN137" t="str">
            <v>K929</v>
          </cell>
          <cell r="AO137">
            <v>0.37380000000000002</v>
          </cell>
          <cell r="AP137">
            <v>4.1518333333333333</v>
          </cell>
        </row>
        <row r="138">
          <cell r="C138">
            <v>63008812</v>
          </cell>
          <cell r="D138" t="str">
            <v>KAH 32 12/750 21 CL</v>
          </cell>
          <cell r="E138" t="str">
            <v>FS10</v>
          </cell>
          <cell r="F138" t="str">
            <v>04CG02</v>
          </cell>
          <cell r="G138">
            <v>1528</v>
          </cell>
          <cell r="H138" t="str">
            <v>750</v>
          </cell>
          <cell r="I138" t="str">
            <v>MR04C10-V</v>
          </cell>
          <cell r="J138" t="str">
            <v>12</v>
          </cell>
          <cell r="K138">
            <v>18336</v>
          </cell>
          <cell r="L138">
            <v>1</v>
          </cell>
          <cell r="M138">
            <v>1528</v>
          </cell>
          <cell r="N138">
            <v>6</v>
          </cell>
          <cell r="O138">
            <v>1</v>
          </cell>
          <cell r="P138">
            <v>0</v>
          </cell>
          <cell r="Q138">
            <v>7</v>
          </cell>
          <cell r="R138">
            <v>205.62</v>
          </cell>
          <cell r="S138">
            <v>43.49</v>
          </cell>
          <cell r="T138">
            <v>0</v>
          </cell>
          <cell r="U138">
            <v>249.11</v>
          </cell>
          <cell r="V138">
            <v>290</v>
          </cell>
          <cell r="W138">
            <v>17400</v>
          </cell>
          <cell r="X138">
            <v>0.5</v>
          </cell>
          <cell r="Y138">
            <v>8700</v>
          </cell>
          <cell r="Z138" t="str">
            <v>12</v>
          </cell>
          <cell r="AA138">
            <v>725</v>
          </cell>
          <cell r="AB138">
            <v>1.38</v>
          </cell>
          <cell r="AC138">
            <v>0.34379999999999999</v>
          </cell>
          <cell r="AD138">
            <v>525.32640000000004</v>
          </cell>
          <cell r="AE138">
            <v>502895</v>
          </cell>
          <cell r="AF138">
            <v>14</v>
          </cell>
          <cell r="AG138">
            <v>35921.071430000004</v>
          </cell>
          <cell r="AH138">
            <v>120</v>
          </cell>
          <cell r="AI138">
            <v>2</v>
          </cell>
          <cell r="AJ138">
            <v>14</v>
          </cell>
          <cell r="AK138">
            <v>35.587142857142858</v>
          </cell>
          <cell r="AL138">
            <v>1.3899999999999999E-2</v>
          </cell>
          <cell r="AM138">
            <v>21.2392</v>
          </cell>
          <cell r="AN138" t="str">
            <v>K929</v>
          </cell>
          <cell r="AO138">
            <v>0.52070000000000005</v>
          </cell>
          <cell r="AP138">
            <v>4.1518333333333333</v>
          </cell>
        </row>
        <row r="139">
          <cell r="C139">
            <v>63008947</v>
          </cell>
          <cell r="D139" t="str">
            <v>KAH 32 12/750 21 SA</v>
          </cell>
          <cell r="E139" t="str">
            <v>FS10</v>
          </cell>
          <cell r="F139" t="str">
            <v>04CG02</v>
          </cell>
          <cell r="G139">
            <v>10295</v>
          </cell>
          <cell r="H139" t="str">
            <v>750</v>
          </cell>
          <cell r="I139" t="str">
            <v>MR04C10-V</v>
          </cell>
          <cell r="J139" t="str">
            <v>12</v>
          </cell>
          <cell r="K139">
            <v>123540</v>
          </cell>
          <cell r="L139">
            <v>1</v>
          </cell>
          <cell r="M139">
            <v>10295</v>
          </cell>
          <cell r="N139">
            <v>6</v>
          </cell>
          <cell r="O139">
            <v>1</v>
          </cell>
          <cell r="P139">
            <v>0</v>
          </cell>
          <cell r="Q139">
            <v>7</v>
          </cell>
          <cell r="R139">
            <v>205.62</v>
          </cell>
          <cell r="S139">
            <v>43.49</v>
          </cell>
          <cell r="T139">
            <v>0</v>
          </cell>
          <cell r="U139">
            <v>249.11</v>
          </cell>
          <cell r="V139">
            <v>290</v>
          </cell>
          <cell r="W139">
            <v>17400</v>
          </cell>
          <cell r="X139">
            <v>0.5</v>
          </cell>
          <cell r="Y139">
            <v>8700</v>
          </cell>
          <cell r="Z139" t="str">
            <v>12</v>
          </cell>
          <cell r="AA139">
            <v>725</v>
          </cell>
          <cell r="AB139">
            <v>1.38</v>
          </cell>
          <cell r="AC139">
            <v>0.34379999999999999</v>
          </cell>
          <cell r="AD139">
            <v>3539.4209999999998</v>
          </cell>
          <cell r="AE139">
            <v>502895</v>
          </cell>
          <cell r="AF139">
            <v>14</v>
          </cell>
          <cell r="AG139">
            <v>35921.071430000004</v>
          </cell>
          <cell r="AH139">
            <v>120</v>
          </cell>
          <cell r="AI139">
            <v>2</v>
          </cell>
          <cell r="AJ139">
            <v>14</v>
          </cell>
          <cell r="AK139">
            <v>35.587142857142858</v>
          </cell>
          <cell r="AL139">
            <v>1.3899999999999999E-2</v>
          </cell>
          <cell r="AM139">
            <v>143.10049999999998</v>
          </cell>
          <cell r="AN139" t="str">
            <v>K929</v>
          </cell>
          <cell r="AO139">
            <v>0.40610000000000002</v>
          </cell>
          <cell r="AP139">
            <v>4.1518333333333333</v>
          </cell>
        </row>
        <row r="140">
          <cell r="C140">
            <v>63009608</v>
          </cell>
          <cell r="D140" t="str">
            <v>KAH 40 12/1L CLBSHPR 16 US</v>
          </cell>
          <cell r="E140" t="str">
            <v>FS10</v>
          </cell>
          <cell r="F140" t="str">
            <v>04BG02</v>
          </cell>
          <cell r="G140">
            <v>25300</v>
          </cell>
          <cell r="H140">
            <v>1000</v>
          </cell>
          <cell r="I140" t="str">
            <v>MR04B10 CLB</v>
          </cell>
          <cell r="J140" t="str">
            <v>12</v>
          </cell>
          <cell r="K140">
            <v>303600</v>
          </cell>
          <cell r="L140">
            <v>1.3332999999999999</v>
          </cell>
          <cell r="M140">
            <v>33732.49</v>
          </cell>
          <cell r="N140">
            <v>6</v>
          </cell>
          <cell r="O140">
            <v>1</v>
          </cell>
          <cell r="P140">
            <v>0</v>
          </cell>
          <cell r="Q140">
            <v>7</v>
          </cell>
          <cell r="R140">
            <v>205.62</v>
          </cell>
          <cell r="S140">
            <v>43.49</v>
          </cell>
          <cell r="T140">
            <v>0</v>
          </cell>
          <cell r="U140">
            <v>249.11</v>
          </cell>
          <cell r="V140">
            <v>200</v>
          </cell>
          <cell r="W140">
            <v>12000</v>
          </cell>
          <cell r="X140">
            <v>0.55000000000000004</v>
          </cell>
          <cell r="Y140">
            <v>6600.0000000000009</v>
          </cell>
          <cell r="Z140" t="str">
            <v>12</v>
          </cell>
          <cell r="AA140">
            <v>550.00000000000011</v>
          </cell>
          <cell r="AB140">
            <v>1.82</v>
          </cell>
          <cell r="AC140">
            <v>0.45340000000000003</v>
          </cell>
          <cell r="AD140">
            <v>11471.02</v>
          </cell>
          <cell r="AE140">
            <v>299850</v>
          </cell>
          <cell r="AF140">
            <v>13.25</v>
          </cell>
          <cell r="AG140">
            <v>22630.188679999999</v>
          </cell>
          <cell r="AH140">
            <v>120</v>
          </cell>
          <cell r="AI140">
            <v>2</v>
          </cell>
          <cell r="AJ140">
            <v>14</v>
          </cell>
          <cell r="AK140">
            <v>35.587142857142858</v>
          </cell>
          <cell r="AL140">
            <v>2.1999999999999999E-2</v>
          </cell>
          <cell r="AM140">
            <v>556.6</v>
          </cell>
          <cell r="AN140" t="str">
            <v>K934</v>
          </cell>
          <cell r="AO140">
            <v>0.49510000000000004</v>
          </cell>
          <cell r="AP140">
            <v>4.1518333333333333</v>
          </cell>
        </row>
        <row r="141">
          <cell r="C141">
            <v>63009616</v>
          </cell>
          <cell r="D141" t="str">
            <v>KAH 40 12/1L CLBSHPR 16 PR</v>
          </cell>
          <cell r="E141" t="str">
            <v>FS10</v>
          </cell>
          <cell r="F141" t="str">
            <v>04BG02</v>
          </cell>
          <cell r="G141">
            <v>1364</v>
          </cell>
          <cell r="H141">
            <v>1000</v>
          </cell>
          <cell r="I141" t="str">
            <v>MR04B10 CLB</v>
          </cell>
          <cell r="J141" t="str">
            <v>12</v>
          </cell>
          <cell r="K141">
            <v>16368</v>
          </cell>
          <cell r="L141">
            <v>1.3332999999999999</v>
          </cell>
          <cell r="M141">
            <v>1818.6211999999998</v>
          </cell>
          <cell r="N141">
            <v>6</v>
          </cell>
          <cell r="O141">
            <v>1</v>
          </cell>
          <cell r="P141">
            <v>0</v>
          </cell>
          <cell r="Q141">
            <v>7</v>
          </cell>
          <cell r="R141">
            <v>205.62</v>
          </cell>
          <cell r="S141">
            <v>43.49</v>
          </cell>
          <cell r="T141">
            <v>0</v>
          </cell>
          <cell r="U141">
            <v>249.11</v>
          </cell>
          <cell r="V141">
            <v>200</v>
          </cell>
          <cell r="W141">
            <v>12000</v>
          </cell>
          <cell r="X141">
            <v>0.55000000000000004</v>
          </cell>
          <cell r="Y141">
            <v>6600.0000000000009</v>
          </cell>
          <cell r="Z141" t="str">
            <v>12</v>
          </cell>
          <cell r="AA141">
            <v>550.00000000000011</v>
          </cell>
          <cell r="AB141">
            <v>1.82</v>
          </cell>
          <cell r="AC141">
            <v>0.45340000000000003</v>
          </cell>
          <cell r="AD141">
            <v>618.43760000000009</v>
          </cell>
          <cell r="AE141">
            <v>299850</v>
          </cell>
          <cell r="AF141">
            <v>13.25</v>
          </cell>
          <cell r="AG141">
            <v>22630.188679999999</v>
          </cell>
          <cell r="AH141">
            <v>120</v>
          </cell>
          <cell r="AI141">
            <v>2</v>
          </cell>
          <cell r="AJ141">
            <v>14</v>
          </cell>
          <cell r="AK141">
            <v>35.587142857142858</v>
          </cell>
          <cell r="AL141">
            <v>2.1999999999999999E-2</v>
          </cell>
          <cell r="AM141">
            <v>30.007999999999999</v>
          </cell>
          <cell r="AN141" t="str">
            <v>K934</v>
          </cell>
          <cell r="AO141">
            <v>0.65800000000000003</v>
          </cell>
          <cell r="AP141">
            <v>4.1518333333333333</v>
          </cell>
        </row>
        <row r="142">
          <cell r="C142">
            <v>63009647</v>
          </cell>
          <cell r="D142" t="str">
            <v>KAH 40 12/1L 16 US</v>
          </cell>
          <cell r="E142" t="str">
            <v>FS10</v>
          </cell>
          <cell r="F142" t="str">
            <v>04BG02</v>
          </cell>
          <cell r="G142">
            <v>149052</v>
          </cell>
          <cell r="H142">
            <v>1000</v>
          </cell>
          <cell r="I142" t="str">
            <v>MR04B10</v>
          </cell>
          <cell r="J142" t="str">
            <v>12</v>
          </cell>
          <cell r="K142">
            <v>1788624</v>
          </cell>
          <cell r="L142">
            <v>1.3332999999999999</v>
          </cell>
          <cell r="M142">
            <v>198731.03159999999</v>
          </cell>
          <cell r="N142">
            <v>6</v>
          </cell>
          <cell r="O142">
            <v>1</v>
          </cell>
          <cell r="P142">
            <v>0</v>
          </cell>
          <cell r="Q142">
            <v>7</v>
          </cell>
          <cell r="R142">
            <v>205.62</v>
          </cell>
          <cell r="S142">
            <v>43.49</v>
          </cell>
          <cell r="T142">
            <v>0</v>
          </cell>
          <cell r="U142">
            <v>249.11</v>
          </cell>
          <cell r="V142">
            <v>250</v>
          </cell>
          <cell r="W142">
            <v>15000</v>
          </cell>
          <cell r="X142">
            <v>0.55000000000000004</v>
          </cell>
          <cell r="Y142">
            <v>8250</v>
          </cell>
          <cell r="Z142" t="str">
            <v>12</v>
          </cell>
          <cell r="AA142">
            <v>687.5</v>
          </cell>
          <cell r="AB142">
            <v>1.45</v>
          </cell>
          <cell r="AC142">
            <v>0.36120000000000002</v>
          </cell>
          <cell r="AD142">
            <v>53837.582400000007</v>
          </cell>
          <cell r="AE142">
            <v>299850</v>
          </cell>
          <cell r="AF142">
            <v>13.25</v>
          </cell>
          <cell r="AG142">
            <v>22630.188679999999</v>
          </cell>
          <cell r="AH142">
            <v>120</v>
          </cell>
          <cell r="AI142">
            <v>2</v>
          </cell>
          <cell r="AJ142">
            <v>14</v>
          </cell>
          <cell r="AK142">
            <v>35.587142857142858</v>
          </cell>
          <cell r="AL142">
            <v>2.1999999999999999E-2</v>
          </cell>
          <cell r="AM142">
            <v>3279.1439999999998</v>
          </cell>
          <cell r="AN142" t="str">
            <v>K934</v>
          </cell>
          <cell r="AO142">
            <v>0.39320000000000005</v>
          </cell>
          <cell r="AP142">
            <v>4.1518333333333333</v>
          </cell>
        </row>
        <row r="143">
          <cell r="C143">
            <v>63009653</v>
          </cell>
          <cell r="D143" t="str">
            <v>KAH 40 12/1L 16 GE</v>
          </cell>
          <cell r="E143" t="str">
            <v>FS10</v>
          </cell>
          <cell r="F143" t="str">
            <v>04BG02</v>
          </cell>
          <cell r="G143">
            <v>3180</v>
          </cell>
          <cell r="H143">
            <v>1000</v>
          </cell>
          <cell r="I143" t="str">
            <v>MR04B10</v>
          </cell>
          <cell r="J143" t="str">
            <v>12</v>
          </cell>
          <cell r="K143">
            <v>38160</v>
          </cell>
          <cell r="L143">
            <v>1.3332999999999999</v>
          </cell>
          <cell r="M143">
            <v>4239.8939999999993</v>
          </cell>
          <cell r="N143">
            <v>6</v>
          </cell>
          <cell r="O143">
            <v>1</v>
          </cell>
          <cell r="P143">
            <v>0</v>
          </cell>
          <cell r="Q143">
            <v>7</v>
          </cell>
          <cell r="R143">
            <v>205.62</v>
          </cell>
          <cell r="S143">
            <v>43.49</v>
          </cell>
          <cell r="T143">
            <v>0</v>
          </cell>
          <cell r="U143">
            <v>249.11</v>
          </cell>
          <cell r="V143">
            <v>250</v>
          </cell>
          <cell r="W143">
            <v>15000</v>
          </cell>
          <cell r="X143">
            <v>0.55000000000000004</v>
          </cell>
          <cell r="Y143">
            <v>8250</v>
          </cell>
          <cell r="Z143" t="str">
            <v>12</v>
          </cell>
          <cell r="AA143">
            <v>687.5</v>
          </cell>
          <cell r="AB143">
            <v>1.45</v>
          </cell>
          <cell r="AC143">
            <v>0.36120000000000002</v>
          </cell>
          <cell r="AD143">
            <v>1148.616</v>
          </cell>
          <cell r="AE143">
            <v>299850</v>
          </cell>
          <cell r="AF143">
            <v>13.25</v>
          </cell>
          <cell r="AG143">
            <v>22630.188679999999</v>
          </cell>
          <cell r="AH143">
            <v>120</v>
          </cell>
          <cell r="AI143">
            <v>2</v>
          </cell>
          <cell r="AJ143">
            <v>14</v>
          </cell>
          <cell r="AK143">
            <v>35.587142857142858</v>
          </cell>
          <cell r="AL143">
            <v>2.1999999999999999E-2</v>
          </cell>
          <cell r="AM143">
            <v>69.959999999999994</v>
          </cell>
          <cell r="AN143" t="str">
            <v>K933</v>
          </cell>
          <cell r="AO143">
            <v>0.46150000000000002</v>
          </cell>
          <cell r="AP143">
            <v>4.1518333333333333</v>
          </cell>
        </row>
        <row r="144">
          <cell r="C144">
            <v>63009663</v>
          </cell>
          <cell r="D144" t="str">
            <v>KAH 40 6/1L 16 AU</v>
          </cell>
          <cell r="E144" t="str">
            <v>FS10</v>
          </cell>
          <cell r="F144" t="str">
            <v>04BG02</v>
          </cell>
          <cell r="G144">
            <v>19480</v>
          </cell>
          <cell r="H144">
            <v>1000</v>
          </cell>
          <cell r="I144" t="str">
            <v>MR01B10 AU-HP</v>
          </cell>
          <cell r="J144" t="str">
            <v>6</v>
          </cell>
          <cell r="K144">
            <v>116880</v>
          </cell>
          <cell r="L144">
            <v>0.66669999999999996</v>
          </cell>
          <cell r="M144">
            <v>12987.315999999999</v>
          </cell>
          <cell r="N144">
            <v>6</v>
          </cell>
          <cell r="O144">
            <v>1</v>
          </cell>
          <cell r="P144">
            <v>2</v>
          </cell>
          <cell r="Q144">
            <v>9</v>
          </cell>
          <cell r="R144">
            <v>205.62</v>
          </cell>
          <cell r="S144">
            <v>43.49</v>
          </cell>
          <cell r="T144">
            <v>37.68</v>
          </cell>
          <cell r="U144">
            <v>286.79000000000002</v>
          </cell>
          <cell r="V144">
            <v>180</v>
          </cell>
          <cell r="W144">
            <v>10800</v>
          </cell>
          <cell r="X144">
            <v>0.55000000000000004</v>
          </cell>
          <cell r="Y144">
            <v>5940.0000000000009</v>
          </cell>
          <cell r="Z144" t="str">
            <v>6</v>
          </cell>
          <cell r="AA144">
            <v>990.00000000000011</v>
          </cell>
          <cell r="AB144">
            <v>1.01</v>
          </cell>
          <cell r="AC144">
            <v>0.28970000000000001</v>
          </cell>
          <cell r="AD144">
            <v>5643.3560000000007</v>
          </cell>
          <cell r="AE144">
            <v>299850</v>
          </cell>
          <cell r="AF144">
            <v>13.25</v>
          </cell>
          <cell r="AG144">
            <v>22630.188679999999</v>
          </cell>
          <cell r="AH144">
            <v>120</v>
          </cell>
          <cell r="AI144">
            <v>2</v>
          </cell>
          <cell r="AJ144">
            <v>18</v>
          </cell>
          <cell r="AK144">
            <v>31.865555555555559</v>
          </cell>
          <cell r="AL144">
            <v>2.53E-2</v>
          </cell>
          <cell r="AM144">
            <v>492.84399999999999</v>
          </cell>
          <cell r="AN144" t="str">
            <v>K933</v>
          </cell>
          <cell r="AO144">
            <v>0.33710000000000001</v>
          </cell>
          <cell r="AP144">
            <v>4.7798333333333334</v>
          </cell>
        </row>
        <row r="145">
          <cell r="C145">
            <v>63009669</v>
          </cell>
          <cell r="D145" t="str">
            <v>KAH 40 6/1L 19 RU</v>
          </cell>
          <cell r="E145" t="str">
            <v>FS10</v>
          </cell>
          <cell r="F145" t="str">
            <v>04BG02</v>
          </cell>
          <cell r="G145">
            <v>3000</v>
          </cell>
          <cell r="H145">
            <v>1000</v>
          </cell>
          <cell r="I145" t="str">
            <v>MR04B10-HALF PACK</v>
          </cell>
          <cell r="J145" t="str">
            <v>6</v>
          </cell>
          <cell r="K145">
            <v>18000</v>
          </cell>
          <cell r="L145">
            <v>0.66669999999999996</v>
          </cell>
          <cell r="M145">
            <v>2000.1</v>
          </cell>
          <cell r="N145">
            <v>6</v>
          </cell>
          <cell r="O145">
            <v>1</v>
          </cell>
          <cell r="P145">
            <v>2</v>
          </cell>
          <cell r="Q145">
            <v>9</v>
          </cell>
          <cell r="R145">
            <v>205.62</v>
          </cell>
          <cell r="S145">
            <v>43.49</v>
          </cell>
          <cell r="T145">
            <v>37.68</v>
          </cell>
          <cell r="U145">
            <v>286.79000000000002</v>
          </cell>
          <cell r="V145">
            <v>180</v>
          </cell>
          <cell r="W145">
            <v>10800</v>
          </cell>
          <cell r="X145">
            <v>0.55000000000000004</v>
          </cell>
          <cell r="Y145">
            <v>5940.0000000000009</v>
          </cell>
          <cell r="Z145" t="str">
            <v>6</v>
          </cell>
          <cell r="AA145">
            <v>990.00000000000011</v>
          </cell>
          <cell r="AB145">
            <v>1.01</v>
          </cell>
          <cell r="AC145">
            <v>0.28970000000000001</v>
          </cell>
          <cell r="AD145">
            <v>869.1</v>
          </cell>
          <cell r="AE145">
            <v>299850</v>
          </cell>
          <cell r="AF145">
            <v>13.25</v>
          </cell>
          <cell r="AG145">
            <v>22630.188679999999</v>
          </cell>
          <cell r="AH145">
            <v>120</v>
          </cell>
          <cell r="AI145">
            <v>2</v>
          </cell>
          <cell r="AJ145">
            <v>18</v>
          </cell>
          <cell r="AK145">
            <v>31.865555555555559</v>
          </cell>
          <cell r="AL145">
            <v>2.53E-2</v>
          </cell>
          <cell r="AM145">
            <v>75.900000000000006</v>
          </cell>
          <cell r="AN145" t="str">
            <v>K933</v>
          </cell>
          <cell r="AO145">
            <v>0.41060000000000002</v>
          </cell>
          <cell r="AP145">
            <v>4.7798333333333334</v>
          </cell>
        </row>
        <row r="146">
          <cell r="C146">
            <v>63009692</v>
          </cell>
          <cell r="D146" t="str">
            <v>KAH 43 12/1L 16 OH</v>
          </cell>
          <cell r="E146" t="str">
            <v>FS10</v>
          </cell>
          <cell r="F146" t="str">
            <v>04BG02</v>
          </cell>
          <cell r="G146">
            <v>2974</v>
          </cell>
          <cell r="H146">
            <v>1000</v>
          </cell>
          <cell r="I146" t="str">
            <v>MR04B10</v>
          </cell>
          <cell r="J146" t="str">
            <v>12</v>
          </cell>
          <cell r="K146">
            <v>35688</v>
          </cell>
          <cell r="L146">
            <v>1.3332999999999999</v>
          </cell>
          <cell r="M146">
            <v>3965.2341999999999</v>
          </cell>
          <cell r="N146">
            <v>6</v>
          </cell>
          <cell r="O146">
            <v>1</v>
          </cell>
          <cell r="P146">
            <v>0</v>
          </cell>
          <cell r="Q146">
            <v>7</v>
          </cell>
          <cell r="R146">
            <v>205.62</v>
          </cell>
          <cell r="S146">
            <v>43.49</v>
          </cell>
          <cell r="T146">
            <v>0</v>
          </cell>
          <cell r="U146">
            <v>249.11</v>
          </cell>
          <cell r="V146">
            <v>250</v>
          </cell>
          <cell r="W146">
            <v>15000</v>
          </cell>
          <cell r="X146">
            <v>0.55000000000000004</v>
          </cell>
          <cell r="Y146">
            <v>8250</v>
          </cell>
          <cell r="Z146" t="str">
            <v>12</v>
          </cell>
          <cell r="AA146">
            <v>687.5</v>
          </cell>
          <cell r="AB146">
            <v>1.45</v>
          </cell>
          <cell r="AC146">
            <v>0.36120000000000002</v>
          </cell>
          <cell r="AD146">
            <v>1074.2088000000001</v>
          </cell>
          <cell r="AE146">
            <v>299850</v>
          </cell>
          <cell r="AF146">
            <v>13.25</v>
          </cell>
          <cell r="AG146">
            <v>22630.188679999999</v>
          </cell>
          <cell r="AH146">
            <v>120</v>
          </cell>
          <cell r="AI146">
            <v>2</v>
          </cell>
          <cell r="AJ146">
            <v>14</v>
          </cell>
          <cell r="AK146">
            <v>35.587142857142858</v>
          </cell>
          <cell r="AL146">
            <v>2.1999999999999999E-2</v>
          </cell>
          <cell r="AM146">
            <v>65.427999999999997</v>
          </cell>
          <cell r="AN146" t="str">
            <v>K935</v>
          </cell>
          <cell r="AO146">
            <v>0.46700000000000003</v>
          </cell>
          <cell r="AP146">
            <v>4.1518333333333333</v>
          </cell>
        </row>
        <row r="147">
          <cell r="C147">
            <v>63009850</v>
          </cell>
          <cell r="D147" t="str">
            <v>KAH 32 12/1L 20 EX</v>
          </cell>
          <cell r="E147" t="str">
            <v>FS10</v>
          </cell>
          <cell r="F147" t="str">
            <v>04BG02</v>
          </cell>
          <cell r="G147">
            <v>16682</v>
          </cell>
          <cell r="H147">
            <v>1000</v>
          </cell>
          <cell r="I147" t="str">
            <v>MR04B10</v>
          </cell>
          <cell r="J147" t="str">
            <v>12</v>
          </cell>
          <cell r="K147">
            <v>200184</v>
          </cell>
          <cell r="L147">
            <v>1.3332999999999999</v>
          </cell>
          <cell r="M147">
            <v>22242.1106</v>
          </cell>
          <cell r="N147">
            <v>6</v>
          </cell>
          <cell r="O147">
            <v>1</v>
          </cell>
          <cell r="P147">
            <v>0</v>
          </cell>
          <cell r="Q147">
            <v>7</v>
          </cell>
          <cell r="R147">
            <v>205.62</v>
          </cell>
          <cell r="S147">
            <v>43.49</v>
          </cell>
          <cell r="T147">
            <v>0</v>
          </cell>
          <cell r="U147">
            <v>249.11</v>
          </cell>
          <cell r="V147">
            <v>250</v>
          </cell>
          <cell r="W147">
            <v>15000</v>
          </cell>
          <cell r="X147">
            <v>0.55000000000000004</v>
          </cell>
          <cell r="Y147">
            <v>8250</v>
          </cell>
          <cell r="Z147" t="str">
            <v>12</v>
          </cell>
          <cell r="AA147">
            <v>687.5</v>
          </cell>
          <cell r="AB147">
            <v>1.45</v>
          </cell>
          <cell r="AC147">
            <v>0.36120000000000002</v>
          </cell>
          <cell r="AD147">
            <v>6025.5384000000004</v>
          </cell>
          <cell r="AE147">
            <v>299850</v>
          </cell>
          <cell r="AF147">
            <v>13.25</v>
          </cell>
          <cell r="AG147">
            <v>22630.188679999999</v>
          </cell>
          <cell r="AH147">
            <v>120</v>
          </cell>
          <cell r="AI147">
            <v>2</v>
          </cell>
          <cell r="AJ147">
            <v>14</v>
          </cell>
          <cell r="AK147">
            <v>35.587142857142858</v>
          </cell>
          <cell r="AL147">
            <v>2.1999999999999999E-2</v>
          </cell>
          <cell r="AM147">
            <v>367.00399999999996</v>
          </cell>
          <cell r="AN147" t="str">
            <v>K929</v>
          </cell>
          <cell r="AO147">
            <v>0.41310000000000002</v>
          </cell>
          <cell r="AP147">
            <v>4.1518333333333333</v>
          </cell>
        </row>
        <row r="148">
          <cell r="C148">
            <v>63009851</v>
          </cell>
          <cell r="D148" t="str">
            <v>KAH 32 12/1L 21 MX</v>
          </cell>
          <cell r="E148" t="str">
            <v>FS10</v>
          </cell>
          <cell r="F148" t="str">
            <v>04BG02</v>
          </cell>
          <cell r="G148">
            <v>67797</v>
          </cell>
          <cell r="H148">
            <v>1000</v>
          </cell>
          <cell r="I148" t="str">
            <v>MR04B10</v>
          </cell>
          <cell r="J148" t="str">
            <v>12</v>
          </cell>
          <cell r="K148">
            <v>813564</v>
          </cell>
          <cell r="L148">
            <v>1.3332999999999999</v>
          </cell>
          <cell r="M148">
            <v>90393.740099999995</v>
          </cell>
          <cell r="N148">
            <v>6</v>
          </cell>
          <cell r="O148">
            <v>1</v>
          </cell>
          <cell r="P148">
            <v>0</v>
          </cell>
          <cell r="Q148">
            <v>7</v>
          </cell>
          <cell r="R148">
            <v>205.62</v>
          </cell>
          <cell r="S148">
            <v>43.49</v>
          </cell>
          <cell r="T148">
            <v>0</v>
          </cell>
          <cell r="U148">
            <v>249.11</v>
          </cell>
          <cell r="V148">
            <v>250</v>
          </cell>
          <cell r="W148">
            <v>15000</v>
          </cell>
          <cell r="X148">
            <v>0.55000000000000004</v>
          </cell>
          <cell r="Y148">
            <v>8250</v>
          </cell>
          <cell r="Z148" t="str">
            <v>12</v>
          </cell>
          <cell r="AA148">
            <v>687.5</v>
          </cell>
          <cell r="AB148">
            <v>1.45</v>
          </cell>
          <cell r="AC148">
            <v>0.36120000000000002</v>
          </cell>
          <cell r="AD148">
            <v>24488.276400000002</v>
          </cell>
          <cell r="AE148">
            <v>299850</v>
          </cell>
          <cell r="AF148">
            <v>13.25</v>
          </cell>
          <cell r="AG148">
            <v>22630.188679999999</v>
          </cell>
          <cell r="AH148">
            <v>120</v>
          </cell>
          <cell r="AI148">
            <v>2</v>
          </cell>
          <cell r="AJ148">
            <v>14</v>
          </cell>
          <cell r="AK148">
            <v>35.587142857142858</v>
          </cell>
          <cell r="AL148">
            <v>2.1999999999999999E-2</v>
          </cell>
          <cell r="AM148">
            <v>1491.5339999999999</v>
          </cell>
          <cell r="AN148" t="str">
            <v>K929</v>
          </cell>
          <cell r="AO148">
            <v>0.39790000000000003</v>
          </cell>
          <cell r="AP148">
            <v>4.1518333333333333</v>
          </cell>
        </row>
        <row r="149">
          <cell r="C149">
            <v>63009857</v>
          </cell>
          <cell r="D149" t="str">
            <v>KAH 40 12/1L 20 JP</v>
          </cell>
          <cell r="E149" t="str">
            <v>FS10</v>
          </cell>
          <cell r="F149" t="str">
            <v>04BG02</v>
          </cell>
          <cell r="G149">
            <v>11021</v>
          </cell>
          <cell r="H149">
            <v>1000</v>
          </cell>
          <cell r="I149" t="str">
            <v>MR04B10-JP</v>
          </cell>
          <cell r="J149" t="str">
            <v>12</v>
          </cell>
          <cell r="K149">
            <v>132252</v>
          </cell>
          <cell r="L149">
            <v>1.3332999999999999</v>
          </cell>
          <cell r="M149">
            <v>14694.299299999999</v>
          </cell>
          <cell r="N149">
            <v>8</v>
          </cell>
          <cell r="O149">
            <v>1</v>
          </cell>
          <cell r="P149">
            <v>2</v>
          </cell>
          <cell r="Q149">
            <v>11</v>
          </cell>
          <cell r="R149">
            <v>274.16000000000003</v>
          </cell>
          <cell r="S149">
            <v>43.49</v>
          </cell>
          <cell r="T149">
            <v>37.68</v>
          </cell>
          <cell r="U149">
            <v>355.33000000000004</v>
          </cell>
          <cell r="V149">
            <v>250</v>
          </cell>
          <cell r="W149">
            <v>15000</v>
          </cell>
          <cell r="X149">
            <v>0.32</v>
          </cell>
          <cell r="Y149">
            <v>4800</v>
          </cell>
          <cell r="Z149" t="str">
            <v>12</v>
          </cell>
          <cell r="AA149">
            <v>400</v>
          </cell>
          <cell r="AB149">
            <v>2.5</v>
          </cell>
          <cell r="AC149">
            <v>0.88829999999999998</v>
          </cell>
          <cell r="AD149">
            <v>9789.9542999999994</v>
          </cell>
          <cell r="AE149">
            <v>299850</v>
          </cell>
          <cell r="AF149">
            <v>13.25</v>
          </cell>
          <cell r="AG149">
            <v>22630.188679999999</v>
          </cell>
          <cell r="AH149">
            <v>120</v>
          </cell>
          <cell r="AI149">
            <v>2</v>
          </cell>
          <cell r="AJ149">
            <v>22</v>
          </cell>
          <cell r="AK149">
            <v>32.302727272727275</v>
          </cell>
          <cell r="AL149">
            <v>3.1399999999999997E-2</v>
          </cell>
          <cell r="AM149">
            <v>346.05939999999998</v>
          </cell>
          <cell r="AN149" t="str">
            <v>K933</v>
          </cell>
          <cell r="AO149">
            <v>0.95189999999999997</v>
          </cell>
          <cell r="AP149">
            <v>5.9221666666666675</v>
          </cell>
        </row>
        <row r="150">
          <cell r="C150">
            <v>63010814</v>
          </cell>
          <cell r="D150" t="str">
            <v>KAH 32 6/1.14L 20 CA</v>
          </cell>
          <cell r="E150" t="str">
            <v>FS10</v>
          </cell>
          <cell r="F150" t="str">
            <v>04LG02</v>
          </cell>
          <cell r="G150">
            <v>62533</v>
          </cell>
          <cell r="H150">
            <v>1140</v>
          </cell>
          <cell r="I150" t="str">
            <v>MR04L10</v>
          </cell>
          <cell r="J150" t="str">
            <v>6</v>
          </cell>
          <cell r="K150">
            <v>375198</v>
          </cell>
          <cell r="L150">
            <v>0.76</v>
          </cell>
          <cell r="M150">
            <v>47525.08</v>
          </cell>
          <cell r="N150">
            <v>6</v>
          </cell>
          <cell r="O150">
            <v>1</v>
          </cell>
          <cell r="P150">
            <v>2</v>
          </cell>
          <cell r="Q150">
            <v>9</v>
          </cell>
          <cell r="R150">
            <v>205.62</v>
          </cell>
          <cell r="S150">
            <v>43.49</v>
          </cell>
          <cell r="T150">
            <v>37.68</v>
          </cell>
          <cell r="U150">
            <v>286.79000000000002</v>
          </cell>
          <cell r="V150">
            <v>180</v>
          </cell>
          <cell r="W150">
            <v>10800</v>
          </cell>
          <cell r="X150">
            <v>0.55000000000000004</v>
          </cell>
          <cell r="Y150">
            <v>5940.0000000000009</v>
          </cell>
          <cell r="Z150" t="str">
            <v>6</v>
          </cell>
          <cell r="AA150">
            <v>990.00000000000011</v>
          </cell>
          <cell r="AB150">
            <v>1.01</v>
          </cell>
          <cell r="AC150">
            <v>0.28970000000000001</v>
          </cell>
          <cell r="AD150">
            <v>18115.810100000002</v>
          </cell>
          <cell r="AE150">
            <v>62533</v>
          </cell>
          <cell r="AF150">
            <v>8</v>
          </cell>
          <cell r="AG150">
            <v>7816.625</v>
          </cell>
          <cell r="AH150">
            <v>120</v>
          </cell>
          <cell r="AI150">
            <v>2</v>
          </cell>
          <cell r="AJ150">
            <v>18</v>
          </cell>
          <cell r="AK150">
            <v>31.865555555555559</v>
          </cell>
          <cell r="AL150">
            <v>7.3400000000000007E-2</v>
          </cell>
          <cell r="AM150">
            <v>4589.9222000000009</v>
          </cell>
          <cell r="AN150" t="str">
            <v>K929</v>
          </cell>
          <cell r="AO150">
            <v>0.38140000000000002</v>
          </cell>
          <cell r="AP150">
            <v>4.7798333333333334</v>
          </cell>
        </row>
        <row r="151">
          <cell r="C151">
            <v>63012622</v>
          </cell>
          <cell r="D151" t="str">
            <v>KAH 40 6/1.75L PT 16 US</v>
          </cell>
          <cell r="E151" t="str">
            <v>FS12</v>
          </cell>
          <cell r="F151" t="str">
            <v>04AP02</v>
          </cell>
          <cell r="G151">
            <v>178989</v>
          </cell>
          <cell r="H151">
            <v>1750</v>
          </cell>
          <cell r="I151" t="str">
            <v>MR04A12</v>
          </cell>
          <cell r="J151" t="str">
            <v>6</v>
          </cell>
          <cell r="K151">
            <v>1073934</v>
          </cell>
          <cell r="L151">
            <v>1.1667000000000001</v>
          </cell>
          <cell r="M151">
            <v>208826.4663</v>
          </cell>
          <cell r="N151">
            <v>4</v>
          </cell>
          <cell r="O151">
            <v>1</v>
          </cell>
          <cell r="P151">
            <v>0</v>
          </cell>
          <cell r="Q151">
            <v>5</v>
          </cell>
          <cell r="R151">
            <v>137.08000000000001</v>
          </cell>
          <cell r="S151">
            <v>43.49</v>
          </cell>
          <cell r="T151">
            <v>0</v>
          </cell>
          <cell r="U151">
            <v>180.57000000000002</v>
          </cell>
          <cell r="V151">
            <v>110</v>
          </cell>
          <cell r="W151">
            <v>6600</v>
          </cell>
          <cell r="X151">
            <v>0.55000000000000004</v>
          </cell>
          <cell r="Y151">
            <v>3630.0000000000005</v>
          </cell>
          <cell r="Z151" t="str">
            <v>6</v>
          </cell>
          <cell r="AA151">
            <v>605.00000000000011</v>
          </cell>
          <cell r="AB151">
            <v>1.65</v>
          </cell>
          <cell r="AC151">
            <v>0.2979</v>
          </cell>
          <cell r="AD151">
            <v>53320.823100000001</v>
          </cell>
          <cell r="AE151">
            <v>316341</v>
          </cell>
          <cell r="AF151">
            <v>13</v>
          </cell>
          <cell r="AG151">
            <v>24333.92308</v>
          </cell>
          <cell r="AH151">
            <v>120</v>
          </cell>
          <cell r="AI151">
            <v>2</v>
          </cell>
          <cell r="AJ151">
            <v>10</v>
          </cell>
          <cell r="AK151">
            <v>36.114000000000004</v>
          </cell>
          <cell r="AL151">
            <v>1.4800000000000001E-2</v>
          </cell>
          <cell r="AM151">
            <v>2649.0372000000002</v>
          </cell>
          <cell r="AN151" t="str">
            <v>K934</v>
          </cell>
          <cell r="AO151">
            <v>0.31929999999999997</v>
          </cell>
          <cell r="AP151">
            <v>3.0095000000000005</v>
          </cell>
        </row>
        <row r="152">
          <cell r="C152">
            <v>63012657</v>
          </cell>
          <cell r="D152" t="str">
            <v>KAH 32 6/1.75L PT 21  AU</v>
          </cell>
          <cell r="E152" t="str">
            <v>FS12</v>
          </cell>
          <cell r="F152" t="str">
            <v>04AP02</v>
          </cell>
          <cell r="G152">
            <v>1981</v>
          </cell>
          <cell r="H152">
            <v>1750</v>
          </cell>
          <cell r="I152" t="str">
            <v>MR04A12-V</v>
          </cell>
          <cell r="J152" t="str">
            <v>6</v>
          </cell>
          <cell r="K152">
            <v>11886</v>
          </cell>
          <cell r="L152">
            <v>1.1667000000000001</v>
          </cell>
          <cell r="M152">
            <v>2311.2327</v>
          </cell>
          <cell r="N152">
            <v>4</v>
          </cell>
          <cell r="O152">
            <v>1</v>
          </cell>
          <cell r="P152">
            <v>0</v>
          </cell>
          <cell r="Q152">
            <v>5</v>
          </cell>
          <cell r="R152">
            <v>137.08000000000001</v>
          </cell>
          <cell r="S152">
            <v>43.49</v>
          </cell>
          <cell r="T152">
            <v>0</v>
          </cell>
          <cell r="U152">
            <v>180.57000000000002</v>
          </cell>
          <cell r="V152">
            <v>110</v>
          </cell>
          <cell r="W152">
            <v>6600</v>
          </cell>
          <cell r="X152">
            <v>0.55000000000000004</v>
          </cell>
          <cell r="Y152">
            <v>3630.0000000000005</v>
          </cell>
          <cell r="Z152" t="str">
            <v>6</v>
          </cell>
          <cell r="AA152">
            <v>605.00000000000011</v>
          </cell>
          <cell r="AB152">
            <v>1.65</v>
          </cell>
          <cell r="AC152">
            <v>0.2979</v>
          </cell>
          <cell r="AD152">
            <v>590.13990000000001</v>
          </cell>
          <cell r="AE152">
            <v>316341</v>
          </cell>
          <cell r="AF152">
            <v>13</v>
          </cell>
          <cell r="AG152">
            <v>24333.92308</v>
          </cell>
          <cell r="AH152">
            <v>120</v>
          </cell>
          <cell r="AI152">
            <v>2</v>
          </cell>
          <cell r="AJ152">
            <v>10</v>
          </cell>
          <cell r="AK152">
            <v>36.114000000000004</v>
          </cell>
          <cell r="AL152">
            <v>1.4800000000000001E-2</v>
          </cell>
          <cell r="AM152">
            <v>29.3188</v>
          </cell>
          <cell r="AN152" t="str">
            <v>K929</v>
          </cell>
          <cell r="AO152">
            <v>0.40389999999999998</v>
          </cell>
          <cell r="AP152">
            <v>3.0095000000000005</v>
          </cell>
        </row>
        <row r="153">
          <cell r="C153">
            <v>63012691</v>
          </cell>
          <cell r="D153" t="str">
            <v>KAH 43 6/1.75L PT 16 OH</v>
          </cell>
          <cell r="E153" t="str">
            <v>FS12</v>
          </cell>
          <cell r="F153" t="str">
            <v>04AP02</v>
          </cell>
          <cell r="G153">
            <v>2187</v>
          </cell>
          <cell r="H153">
            <v>1750</v>
          </cell>
          <cell r="I153" t="str">
            <v>MR04A12-V</v>
          </cell>
          <cell r="J153" t="str">
            <v>6</v>
          </cell>
          <cell r="K153">
            <v>13122</v>
          </cell>
          <cell r="L153">
            <v>1.1667000000000001</v>
          </cell>
          <cell r="M153">
            <v>2551.5729000000001</v>
          </cell>
          <cell r="N153">
            <v>4</v>
          </cell>
          <cell r="O153">
            <v>1</v>
          </cell>
          <cell r="P153">
            <v>0</v>
          </cell>
          <cell r="Q153">
            <v>5</v>
          </cell>
          <cell r="R153">
            <v>137.08000000000001</v>
          </cell>
          <cell r="S153">
            <v>43.49</v>
          </cell>
          <cell r="T153">
            <v>0</v>
          </cell>
          <cell r="U153">
            <v>180.57000000000002</v>
          </cell>
          <cell r="V153">
            <v>110</v>
          </cell>
          <cell r="W153">
            <v>6600</v>
          </cell>
          <cell r="X153">
            <v>0.55000000000000004</v>
          </cell>
          <cell r="Y153">
            <v>3630.0000000000005</v>
          </cell>
          <cell r="Z153" t="str">
            <v>6</v>
          </cell>
          <cell r="AA153">
            <v>605.00000000000011</v>
          </cell>
          <cell r="AB153">
            <v>1.65</v>
          </cell>
          <cell r="AC153">
            <v>0.2979</v>
          </cell>
          <cell r="AD153">
            <v>651.50729999999999</v>
          </cell>
          <cell r="AE153">
            <v>316341</v>
          </cell>
          <cell r="AF153">
            <v>13</v>
          </cell>
          <cell r="AG153">
            <v>24333.92308</v>
          </cell>
          <cell r="AH153">
            <v>120</v>
          </cell>
          <cell r="AI153">
            <v>2</v>
          </cell>
          <cell r="AJ153">
            <v>10</v>
          </cell>
          <cell r="AK153">
            <v>36.114000000000004</v>
          </cell>
          <cell r="AL153">
            <v>1.4800000000000001E-2</v>
          </cell>
          <cell r="AM153">
            <v>32.367600000000003</v>
          </cell>
          <cell r="AN153" t="str">
            <v>K935</v>
          </cell>
          <cell r="AO153">
            <v>0.39529999999999998</v>
          </cell>
          <cell r="AP153">
            <v>3.0095000000000005</v>
          </cell>
        </row>
        <row r="154">
          <cell r="C154">
            <v>63012825</v>
          </cell>
          <cell r="D154" t="str">
            <v>KAH 32 6/1.75L PT 20 CA</v>
          </cell>
          <cell r="E154" t="str">
            <v>FS12</v>
          </cell>
          <cell r="F154" t="str">
            <v>04AP02</v>
          </cell>
          <cell r="G154">
            <v>14049</v>
          </cell>
          <cell r="H154">
            <v>1750</v>
          </cell>
          <cell r="I154" t="str">
            <v>MR04A12</v>
          </cell>
          <cell r="J154" t="str">
            <v>6</v>
          </cell>
          <cell r="K154">
            <v>84294</v>
          </cell>
          <cell r="L154">
            <v>1.1667000000000001</v>
          </cell>
          <cell r="M154">
            <v>16390.9683</v>
          </cell>
          <cell r="N154">
            <v>4</v>
          </cell>
          <cell r="O154">
            <v>1</v>
          </cell>
          <cell r="P154">
            <v>0</v>
          </cell>
          <cell r="Q154">
            <v>5</v>
          </cell>
          <cell r="R154">
            <v>137.08000000000001</v>
          </cell>
          <cell r="S154">
            <v>43.49</v>
          </cell>
          <cell r="T154">
            <v>0</v>
          </cell>
          <cell r="U154">
            <v>180.57000000000002</v>
          </cell>
          <cell r="V154">
            <v>110</v>
          </cell>
          <cell r="W154">
            <v>6600</v>
          </cell>
          <cell r="X154">
            <v>0.55000000000000004</v>
          </cell>
          <cell r="Y154">
            <v>3630.0000000000005</v>
          </cell>
          <cell r="Z154" t="str">
            <v>6</v>
          </cell>
          <cell r="AA154">
            <v>605.00000000000011</v>
          </cell>
          <cell r="AB154">
            <v>1.65</v>
          </cell>
          <cell r="AC154">
            <v>0.2979</v>
          </cell>
          <cell r="AD154">
            <v>4185.1971000000003</v>
          </cell>
          <cell r="AE154">
            <v>316341</v>
          </cell>
          <cell r="AF154">
            <v>13</v>
          </cell>
          <cell r="AG154">
            <v>24333.92308</v>
          </cell>
          <cell r="AH154">
            <v>120</v>
          </cell>
          <cell r="AI154">
            <v>2</v>
          </cell>
          <cell r="AJ154">
            <v>10</v>
          </cell>
          <cell r="AK154">
            <v>36.114000000000004</v>
          </cell>
          <cell r="AL154">
            <v>1.4800000000000001E-2</v>
          </cell>
          <cell r="AM154">
            <v>207.92520000000002</v>
          </cell>
          <cell r="AN154" t="str">
            <v>K929</v>
          </cell>
          <cell r="AO154">
            <v>0.3448</v>
          </cell>
          <cell r="AP154">
            <v>3.0095000000000005</v>
          </cell>
        </row>
        <row r="155">
          <cell r="C155">
            <v>63012829</v>
          </cell>
          <cell r="D155" t="str">
            <v>KAH 40 6/1.75L PT 19 JP</v>
          </cell>
          <cell r="E155" t="str">
            <v>FS12</v>
          </cell>
          <cell r="F155" t="str">
            <v>04AP01</v>
          </cell>
          <cell r="G155">
            <v>3799</v>
          </cell>
          <cell r="H155">
            <v>1750</v>
          </cell>
          <cell r="I155" t="str">
            <v>MR04A12-JP</v>
          </cell>
          <cell r="J155" t="str">
            <v>6</v>
          </cell>
          <cell r="K155">
            <v>22794</v>
          </cell>
          <cell r="L155">
            <v>1.1667000000000001</v>
          </cell>
          <cell r="M155">
            <v>4432.2933000000003</v>
          </cell>
          <cell r="N155">
            <v>6</v>
          </cell>
          <cell r="O155">
            <v>1</v>
          </cell>
          <cell r="P155">
            <v>2</v>
          </cell>
          <cell r="Q155">
            <v>9</v>
          </cell>
          <cell r="R155">
            <v>205.62</v>
          </cell>
          <cell r="S155">
            <v>43.49</v>
          </cell>
          <cell r="T155">
            <v>37.68</v>
          </cell>
          <cell r="U155">
            <v>286.79000000000002</v>
          </cell>
          <cell r="V155">
            <v>110</v>
          </cell>
          <cell r="W155">
            <v>6600</v>
          </cell>
          <cell r="X155">
            <v>0.55000000000000004</v>
          </cell>
          <cell r="Y155">
            <v>3630.0000000000005</v>
          </cell>
          <cell r="Z155" t="str">
            <v>6</v>
          </cell>
          <cell r="AA155">
            <v>605.00000000000011</v>
          </cell>
          <cell r="AB155">
            <v>1.65</v>
          </cell>
          <cell r="AC155">
            <v>0.47320000000000001</v>
          </cell>
          <cell r="AD155">
            <v>1797.6867999999999</v>
          </cell>
          <cell r="AE155">
            <v>3799</v>
          </cell>
          <cell r="AF155">
            <v>2</v>
          </cell>
          <cell r="AG155">
            <v>1899.5</v>
          </cell>
          <cell r="AH155">
            <v>120</v>
          </cell>
          <cell r="AI155">
            <v>2</v>
          </cell>
          <cell r="AJ155">
            <v>18</v>
          </cell>
          <cell r="AK155">
            <v>31.865555555555559</v>
          </cell>
          <cell r="AL155">
            <v>0.30199999999999999</v>
          </cell>
          <cell r="AM155">
            <v>1147.298</v>
          </cell>
          <cell r="AN155" t="str">
            <v>K933</v>
          </cell>
          <cell r="AO155">
            <v>0.85070000000000001</v>
          </cell>
          <cell r="AP155">
            <v>4.7798333333333334</v>
          </cell>
        </row>
        <row r="156">
          <cell r="C156">
            <v>63015819</v>
          </cell>
          <cell r="D156" t="str">
            <v>KAH 32 12/350 OTC 21 KP  </v>
          </cell>
          <cell r="E156" t="str">
            <v>FS01</v>
          </cell>
          <cell r="F156" t="str">
            <v>04MG02</v>
          </cell>
          <cell r="G156">
            <v>5992</v>
          </cell>
          <cell r="H156" t="str">
            <v>350</v>
          </cell>
          <cell r="I156" t="str">
            <v>MR04M01</v>
          </cell>
          <cell r="J156" t="str">
            <v>12</v>
          </cell>
          <cell r="K156">
            <v>71904</v>
          </cell>
          <cell r="L156">
            <v>0.4667</v>
          </cell>
          <cell r="M156">
            <v>2796.4664000000002</v>
          </cell>
          <cell r="N156">
            <v>4</v>
          </cell>
          <cell r="O156">
            <v>1</v>
          </cell>
          <cell r="P156">
            <v>2</v>
          </cell>
          <cell r="Q156">
            <v>7</v>
          </cell>
          <cell r="R156">
            <v>137.08000000000001</v>
          </cell>
          <cell r="S156">
            <v>43.49</v>
          </cell>
          <cell r="T156">
            <v>37.68</v>
          </cell>
          <cell r="U156">
            <v>218.25000000000003</v>
          </cell>
          <cell r="V156">
            <v>165</v>
          </cell>
          <cell r="W156">
            <v>9900</v>
          </cell>
          <cell r="X156">
            <v>0.5</v>
          </cell>
          <cell r="Y156">
            <v>4950</v>
          </cell>
          <cell r="Z156" t="str">
            <v>12</v>
          </cell>
          <cell r="AA156">
            <v>412.5</v>
          </cell>
          <cell r="AB156">
            <v>2.42</v>
          </cell>
          <cell r="AC156">
            <v>0.5282</v>
          </cell>
          <cell r="AD156">
            <v>3164.9744000000001</v>
          </cell>
          <cell r="AE156">
            <v>19368</v>
          </cell>
          <cell r="AF156">
            <v>4</v>
          </cell>
          <cell r="AG156">
            <v>4842</v>
          </cell>
          <cell r="AH156">
            <v>120</v>
          </cell>
          <cell r="AI156">
            <v>2</v>
          </cell>
          <cell r="AJ156">
            <v>14</v>
          </cell>
          <cell r="AK156">
            <v>31.178571428571434</v>
          </cell>
          <cell r="AL156">
            <v>9.01E-2</v>
          </cell>
          <cell r="AM156">
            <v>539.87919999999997</v>
          </cell>
          <cell r="AN156" t="str">
            <v>K929</v>
          </cell>
          <cell r="AO156">
            <v>0.65469999999999995</v>
          </cell>
          <cell r="AP156">
            <v>3.6375000000000006</v>
          </cell>
        </row>
        <row r="157">
          <cell r="C157">
            <v>63015820</v>
          </cell>
          <cell r="D157" t="str">
            <v>KAH 40 12/350 19 JP</v>
          </cell>
          <cell r="E157" t="str">
            <v>FS01</v>
          </cell>
          <cell r="F157" t="str">
            <v>04MG02</v>
          </cell>
          <cell r="G157">
            <v>13376</v>
          </cell>
          <cell r="H157" t="str">
            <v>350</v>
          </cell>
          <cell r="I157" t="str">
            <v>MR04M01-JP</v>
          </cell>
          <cell r="J157" t="str">
            <v>12</v>
          </cell>
          <cell r="K157">
            <v>160512</v>
          </cell>
          <cell r="L157">
            <v>0.4667</v>
          </cell>
          <cell r="M157">
            <v>6242.5792000000001</v>
          </cell>
          <cell r="N157">
            <v>6</v>
          </cell>
          <cell r="O157">
            <v>1</v>
          </cell>
          <cell r="P157">
            <v>2</v>
          </cell>
          <cell r="Q157">
            <v>9</v>
          </cell>
          <cell r="R157">
            <v>205.62</v>
          </cell>
          <cell r="S157">
            <v>43.49</v>
          </cell>
          <cell r="T157">
            <v>37.68</v>
          </cell>
          <cell r="U157">
            <v>286.79000000000002</v>
          </cell>
          <cell r="V157">
            <v>165</v>
          </cell>
          <cell r="W157">
            <v>9900</v>
          </cell>
          <cell r="X157">
            <v>0.32</v>
          </cell>
          <cell r="Y157">
            <v>3168</v>
          </cell>
          <cell r="Z157" t="str">
            <v>12</v>
          </cell>
          <cell r="AA157">
            <v>264</v>
          </cell>
          <cell r="AB157">
            <v>3.79</v>
          </cell>
          <cell r="AC157">
            <v>1.0869</v>
          </cell>
          <cell r="AD157">
            <v>14538.374400000001</v>
          </cell>
          <cell r="AE157">
            <v>19368</v>
          </cell>
          <cell r="AF157">
            <v>4</v>
          </cell>
          <cell r="AG157">
            <v>4842</v>
          </cell>
          <cell r="AH157">
            <v>120</v>
          </cell>
          <cell r="AI157">
            <v>2</v>
          </cell>
          <cell r="AJ157">
            <v>18</v>
          </cell>
          <cell r="AK157">
            <v>31.865555555555559</v>
          </cell>
          <cell r="AL157">
            <v>0.11849999999999999</v>
          </cell>
          <cell r="AM157">
            <v>1585.0559999999998</v>
          </cell>
          <cell r="AN157" t="str">
            <v>K933</v>
          </cell>
          <cell r="AO157">
            <v>1.2483</v>
          </cell>
          <cell r="AP157">
            <v>4.7798333333333334</v>
          </cell>
        </row>
        <row r="158">
          <cell r="C158">
            <v>63108014</v>
          </cell>
          <cell r="D158" t="str">
            <v>KAH ESP 70 12/750 NB US</v>
          </cell>
          <cell r="E158" t="str">
            <v>FS10</v>
          </cell>
          <cell r="F158" t="str">
            <v>04CG02</v>
          </cell>
          <cell r="G158">
            <v>8943</v>
          </cell>
          <cell r="H158" t="str">
            <v>750</v>
          </cell>
          <cell r="I158" t="str">
            <v>MR04C10</v>
          </cell>
          <cell r="J158" t="str">
            <v>12</v>
          </cell>
          <cell r="K158">
            <v>107316</v>
          </cell>
          <cell r="L158">
            <v>1</v>
          </cell>
          <cell r="M158">
            <v>8943</v>
          </cell>
          <cell r="N158">
            <v>6</v>
          </cell>
          <cell r="O158">
            <v>1</v>
          </cell>
          <cell r="P158">
            <v>0</v>
          </cell>
          <cell r="Q158">
            <v>7</v>
          </cell>
          <cell r="R158">
            <v>205.62</v>
          </cell>
          <cell r="S158">
            <v>43.49</v>
          </cell>
          <cell r="T158">
            <v>0</v>
          </cell>
          <cell r="U158">
            <v>249.11</v>
          </cell>
          <cell r="V158">
            <v>290</v>
          </cell>
          <cell r="W158">
            <v>17400</v>
          </cell>
          <cell r="X158">
            <v>0.5</v>
          </cell>
          <cell r="Y158">
            <v>8700</v>
          </cell>
          <cell r="Z158" t="str">
            <v>12</v>
          </cell>
          <cell r="AA158">
            <v>725</v>
          </cell>
          <cell r="AB158">
            <v>1.38</v>
          </cell>
          <cell r="AC158">
            <v>0.34379999999999999</v>
          </cell>
          <cell r="AD158">
            <v>3074.6034</v>
          </cell>
          <cell r="AE158">
            <v>502895</v>
          </cell>
          <cell r="AF158">
            <v>14</v>
          </cell>
          <cell r="AG158">
            <v>35921.071430000004</v>
          </cell>
          <cell r="AH158">
            <v>120</v>
          </cell>
          <cell r="AI158">
            <v>2</v>
          </cell>
          <cell r="AJ158">
            <v>14</v>
          </cell>
          <cell r="AK158">
            <v>35.587142857142858</v>
          </cell>
          <cell r="AL158">
            <v>1.3899999999999999E-2</v>
          </cell>
          <cell r="AM158">
            <v>124.3077</v>
          </cell>
          <cell r="AN158" t="str">
            <v>K850</v>
          </cell>
          <cell r="AO158">
            <v>0.3856</v>
          </cell>
          <cell r="AP158">
            <v>4.1518333333333333</v>
          </cell>
        </row>
        <row r="159">
          <cell r="C159">
            <v>63212081</v>
          </cell>
          <cell r="D159" t="str">
            <v>KAH RTD WHRS 25 6/1.75 PT NBUS</v>
          </cell>
          <cell r="E159" t="str">
            <v>FS12</v>
          </cell>
          <cell r="F159" t="str">
            <v>04AP02</v>
          </cell>
          <cell r="G159">
            <v>64679</v>
          </cell>
          <cell r="H159">
            <v>1750</v>
          </cell>
          <cell r="I159" t="str">
            <v>MR04A12-LNSPD100</v>
          </cell>
          <cell r="J159" t="str">
            <v>6</v>
          </cell>
          <cell r="K159">
            <v>388074</v>
          </cell>
          <cell r="L159">
            <v>1.1667000000000001</v>
          </cell>
          <cell r="M159">
            <v>75460.989300000001</v>
          </cell>
          <cell r="N159">
            <v>4</v>
          </cell>
          <cell r="O159">
            <v>1</v>
          </cell>
          <cell r="P159">
            <v>0</v>
          </cell>
          <cell r="Q159">
            <v>5</v>
          </cell>
          <cell r="R159">
            <v>137.08000000000001</v>
          </cell>
          <cell r="S159">
            <v>43.49</v>
          </cell>
          <cell r="T159">
            <v>0</v>
          </cell>
          <cell r="U159">
            <v>180.57000000000002</v>
          </cell>
          <cell r="V159">
            <v>110</v>
          </cell>
          <cell r="W159">
            <v>6600</v>
          </cell>
          <cell r="X159">
            <v>0.55000000000000004</v>
          </cell>
          <cell r="Y159">
            <v>3630.0000000000005</v>
          </cell>
          <cell r="Z159" t="str">
            <v>6</v>
          </cell>
          <cell r="AA159">
            <v>605.00000000000011</v>
          </cell>
          <cell r="AB159">
            <v>1.65</v>
          </cell>
          <cell r="AC159">
            <v>0.2979</v>
          </cell>
          <cell r="AD159">
            <v>19267.874100000001</v>
          </cell>
          <cell r="AE159">
            <v>316341</v>
          </cell>
          <cell r="AF159">
            <v>13</v>
          </cell>
          <cell r="AG159">
            <v>24333.92308</v>
          </cell>
          <cell r="AH159">
            <v>120</v>
          </cell>
          <cell r="AI159">
            <v>2</v>
          </cell>
          <cell r="AJ159">
            <v>10</v>
          </cell>
          <cell r="AK159">
            <v>36.114000000000004</v>
          </cell>
          <cell r="AL159">
            <v>1.4800000000000001E-2</v>
          </cell>
          <cell r="AM159">
            <v>957.24920000000009</v>
          </cell>
          <cell r="AN159" t="str">
            <v>K948</v>
          </cell>
          <cell r="AO159">
            <v>0.37549999999999994</v>
          </cell>
          <cell r="AP159">
            <v>3.0095000000000005</v>
          </cell>
        </row>
        <row r="160">
          <cell r="C160">
            <v>63212082</v>
          </cell>
          <cell r="D160" t="str">
            <v>KAH RTD MUD 25 6/1.75 PT NB US</v>
          </cell>
          <cell r="E160" t="str">
            <v>FS12</v>
          </cell>
          <cell r="F160" t="str">
            <v>04AP02</v>
          </cell>
          <cell r="G160">
            <v>54456</v>
          </cell>
          <cell r="H160">
            <v>1750</v>
          </cell>
          <cell r="I160" t="str">
            <v>MR04A12-LNSPD100</v>
          </cell>
          <cell r="J160" t="str">
            <v>6</v>
          </cell>
          <cell r="K160">
            <v>326736</v>
          </cell>
          <cell r="L160">
            <v>1.1667000000000001</v>
          </cell>
          <cell r="M160">
            <v>63533.815200000005</v>
          </cell>
          <cell r="N160">
            <v>4</v>
          </cell>
          <cell r="O160">
            <v>1</v>
          </cell>
          <cell r="P160">
            <v>0</v>
          </cell>
          <cell r="Q160">
            <v>5</v>
          </cell>
          <cell r="R160">
            <v>137.08000000000001</v>
          </cell>
          <cell r="S160">
            <v>43.49</v>
          </cell>
          <cell r="T160">
            <v>0</v>
          </cell>
          <cell r="U160">
            <v>180.57000000000002</v>
          </cell>
          <cell r="V160">
            <v>110</v>
          </cell>
          <cell r="W160">
            <v>6600</v>
          </cell>
          <cell r="X160">
            <v>0.55000000000000004</v>
          </cell>
          <cell r="Y160">
            <v>3630.0000000000005</v>
          </cell>
          <cell r="Z160" t="str">
            <v>6</v>
          </cell>
          <cell r="AA160">
            <v>605.00000000000011</v>
          </cell>
          <cell r="AB160">
            <v>1.65</v>
          </cell>
          <cell r="AC160">
            <v>0.2979</v>
          </cell>
          <cell r="AD160">
            <v>16222.4424</v>
          </cell>
          <cell r="AE160">
            <v>316341</v>
          </cell>
          <cell r="AF160">
            <v>13</v>
          </cell>
          <cell r="AG160">
            <v>24333.92308</v>
          </cell>
          <cell r="AH160">
            <v>120</v>
          </cell>
          <cell r="AI160">
            <v>2</v>
          </cell>
          <cell r="AJ160">
            <v>10</v>
          </cell>
          <cell r="AK160">
            <v>36.114000000000004</v>
          </cell>
          <cell r="AL160">
            <v>1.4800000000000001E-2</v>
          </cell>
          <cell r="AM160">
            <v>805.94880000000001</v>
          </cell>
          <cell r="AN160" t="str">
            <v>K947</v>
          </cell>
          <cell r="AO160">
            <v>0.37069999999999997</v>
          </cell>
          <cell r="AP160">
            <v>3.0095000000000005</v>
          </cell>
        </row>
        <row r="161">
          <cell r="C161">
            <v>64307001</v>
          </cell>
          <cell r="D161" t="str">
            <v>KAH MINT MOCHA 40 6/700 KP</v>
          </cell>
          <cell r="E161" t="str">
            <v>FS10</v>
          </cell>
          <cell r="F161" t="str">
            <v>04KG02</v>
          </cell>
          <cell r="G161">
            <v>3397</v>
          </cell>
          <cell r="H161" t="str">
            <v>700</v>
          </cell>
          <cell r="I161" t="str">
            <v>MR04K10-HALF PACK</v>
          </cell>
          <cell r="J161" t="str">
            <v>6</v>
          </cell>
          <cell r="K161">
            <v>20382</v>
          </cell>
          <cell r="L161">
            <v>0.4667</v>
          </cell>
          <cell r="M161">
            <v>1585.3798999999999</v>
          </cell>
          <cell r="N161">
            <v>6</v>
          </cell>
          <cell r="O161">
            <v>1</v>
          </cell>
          <cell r="P161">
            <v>2</v>
          </cell>
          <cell r="Q161">
            <v>9</v>
          </cell>
          <cell r="R161">
            <v>205.62</v>
          </cell>
          <cell r="S161">
            <v>43.49</v>
          </cell>
          <cell r="T161">
            <v>37.68</v>
          </cell>
          <cell r="U161">
            <v>286.79000000000002</v>
          </cell>
          <cell r="V161">
            <v>180</v>
          </cell>
          <cell r="W161">
            <v>10800</v>
          </cell>
          <cell r="X161">
            <v>0.55000000000000004</v>
          </cell>
          <cell r="Y161">
            <v>5940.0000000000009</v>
          </cell>
          <cell r="Z161" t="str">
            <v>6</v>
          </cell>
          <cell r="AA161">
            <v>990.00000000000011</v>
          </cell>
          <cell r="AB161">
            <v>1.01</v>
          </cell>
          <cell r="AC161">
            <v>0.28970000000000001</v>
          </cell>
          <cell r="AD161">
            <v>984.11090000000002</v>
          </cell>
          <cell r="AE161">
            <v>130456</v>
          </cell>
          <cell r="AF161">
            <v>11.5</v>
          </cell>
          <cell r="AG161">
            <v>11344</v>
          </cell>
          <cell r="AH161">
            <v>120</v>
          </cell>
          <cell r="AI161">
            <v>2</v>
          </cell>
          <cell r="AJ161">
            <v>18</v>
          </cell>
          <cell r="AK161">
            <v>31.865555555555559</v>
          </cell>
          <cell r="AL161">
            <v>5.0599999999999999E-2</v>
          </cell>
          <cell r="AM161">
            <v>171.88819999999998</v>
          </cell>
          <cell r="AN161" t="str">
            <v>K576</v>
          </cell>
          <cell r="AO161">
            <v>0.42469999999999997</v>
          </cell>
          <cell r="AP161">
            <v>4.7798333333333334</v>
          </cell>
        </row>
        <row r="162">
          <cell r="C162">
            <v>64508017</v>
          </cell>
          <cell r="D162" t="str">
            <v>KAH SALTED CARAMEL40 12/750 US</v>
          </cell>
          <cell r="E162" t="str">
            <v>FS10</v>
          </cell>
          <cell r="F162" t="str">
            <v>04CG02</v>
          </cell>
          <cell r="G162">
            <v>9865</v>
          </cell>
          <cell r="H162" t="str">
            <v>750</v>
          </cell>
          <cell r="I162" t="str">
            <v>MR04C10</v>
          </cell>
          <cell r="J162" t="str">
            <v>12</v>
          </cell>
          <cell r="K162">
            <v>118380</v>
          </cell>
          <cell r="L162">
            <v>1</v>
          </cell>
          <cell r="M162">
            <v>9865</v>
          </cell>
          <cell r="N162">
            <v>6</v>
          </cell>
          <cell r="O162">
            <v>1</v>
          </cell>
          <cell r="P162">
            <v>0</v>
          </cell>
          <cell r="Q162">
            <v>7</v>
          </cell>
          <cell r="R162">
            <v>205.62</v>
          </cell>
          <cell r="S162">
            <v>43.49</v>
          </cell>
          <cell r="T162">
            <v>0</v>
          </cell>
          <cell r="U162">
            <v>249.11</v>
          </cell>
          <cell r="V162">
            <v>290</v>
          </cell>
          <cell r="W162">
            <v>17400</v>
          </cell>
          <cell r="X162">
            <v>0.5</v>
          </cell>
          <cell r="Y162">
            <v>8700</v>
          </cell>
          <cell r="Z162" t="str">
            <v>12</v>
          </cell>
          <cell r="AA162">
            <v>725</v>
          </cell>
          <cell r="AB162">
            <v>1.38</v>
          </cell>
          <cell r="AC162">
            <v>0.34379999999999999</v>
          </cell>
          <cell r="AD162">
            <v>3391.587</v>
          </cell>
          <cell r="AE162">
            <v>502895</v>
          </cell>
          <cell r="AF162">
            <v>14</v>
          </cell>
          <cell r="AG162">
            <v>35921.071430000004</v>
          </cell>
          <cell r="AH162">
            <v>120</v>
          </cell>
          <cell r="AI162">
            <v>2</v>
          </cell>
          <cell r="AJ162">
            <v>14</v>
          </cell>
          <cell r="AK162">
            <v>35.587142857142858</v>
          </cell>
          <cell r="AL162">
            <v>1.3899999999999999E-2</v>
          </cell>
          <cell r="AM162">
            <v>137.12349999999998</v>
          </cell>
          <cell r="AN162" t="str">
            <v>K859</v>
          </cell>
          <cell r="AO162">
            <v>0.38300000000000001</v>
          </cell>
          <cell r="AP162">
            <v>4.1518333333333333</v>
          </cell>
        </row>
        <row r="163">
          <cell r="C163">
            <v>64805001</v>
          </cell>
          <cell r="D163" t="str">
            <v>KAH VAN 40 12/375 CA</v>
          </cell>
          <cell r="E163" t="str">
            <v>FS01</v>
          </cell>
          <cell r="F163" t="str">
            <v>04GG02</v>
          </cell>
          <cell r="G163">
            <v>8884</v>
          </cell>
          <cell r="H163" t="str">
            <v>375</v>
          </cell>
          <cell r="I163" t="str">
            <v>MR04G01-HALF PACK</v>
          </cell>
          <cell r="J163" t="str">
            <v>12</v>
          </cell>
          <cell r="K163">
            <v>106608</v>
          </cell>
          <cell r="L163">
            <v>0.5</v>
          </cell>
          <cell r="M163">
            <v>4442</v>
          </cell>
          <cell r="N163">
            <v>4</v>
          </cell>
          <cell r="O163">
            <v>1</v>
          </cell>
          <cell r="P163">
            <v>0</v>
          </cell>
          <cell r="Q163">
            <v>5</v>
          </cell>
          <cell r="R163">
            <v>137.08000000000001</v>
          </cell>
          <cell r="S163">
            <v>43.49</v>
          </cell>
          <cell r="T163">
            <v>0</v>
          </cell>
          <cell r="U163">
            <v>180.57000000000002</v>
          </cell>
          <cell r="V163">
            <v>165</v>
          </cell>
          <cell r="W163">
            <v>9900</v>
          </cell>
          <cell r="X163">
            <v>0.5</v>
          </cell>
          <cell r="Y163">
            <v>4950</v>
          </cell>
          <cell r="Z163" t="str">
            <v>12</v>
          </cell>
          <cell r="AA163">
            <v>412.5</v>
          </cell>
          <cell r="AB163">
            <v>2.42</v>
          </cell>
          <cell r="AC163">
            <v>0.437</v>
          </cell>
          <cell r="AD163">
            <v>3882.308</v>
          </cell>
          <cell r="AE163">
            <v>75952</v>
          </cell>
          <cell r="AF163">
            <v>8.5</v>
          </cell>
          <cell r="AG163">
            <v>8935.5294099999992</v>
          </cell>
          <cell r="AH163">
            <v>120</v>
          </cell>
          <cell r="AI163">
            <v>2</v>
          </cell>
          <cell r="AJ163">
            <v>10</v>
          </cell>
          <cell r="AK163">
            <v>36.114000000000004</v>
          </cell>
          <cell r="AL163">
            <v>4.0399999999999998E-2</v>
          </cell>
          <cell r="AM163">
            <v>358.91359999999997</v>
          </cell>
          <cell r="AN163" t="str">
            <v>K852</v>
          </cell>
          <cell r="AO163">
            <v>0.48759999999999998</v>
          </cell>
          <cell r="AP163">
            <v>3.0095000000000005</v>
          </cell>
        </row>
        <row r="164">
          <cell r="C164">
            <v>64808017</v>
          </cell>
          <cell r="D164" t="str">
            <v>KAH VANILLA 40 12/750 US</v>
          </cell>
          <cell r="E164" t="str">
            <v>FS10</v>
          </cell>
          <cell r="F164" t="str">
            <v>04CG02</v>
          </cell>
          <cell r="G164">
            <v>7976</v>
          </cell>
          <cell r="H164" t="str">
            <v>750</v>
          </cell>
          <cell r="I164" t="str">
            <v>MR04C10</v>
          </cell>
          <cell r="J164" t="str">
            <v>12</v>
          </cell>
          <cell r="K164">
            <v>95712</v>
          </cell>
          <cell r="L164">
            <v>1</v>
          </cell>
          <cell r="M164">
            <v>7976</v>
          </cell>
          <cell r="N164">
            <v>6</v>
          </cell>
          <cell r="O164">
            <v>1</v>
          </cell>
          <cell r="P164">
            <v>0</v>
          </cell>
          <cell r="Q164">
            <v>7</v>
          </cell>
          <cell r="R164">
            <v>205.62</v>
          </cell>
          <cell r="S164">
            <v>43.49</v>
          </cell>
          <cell r="T164">
            <v>0</v>
          </cell>
          <cell r="U164">
            <v>249.11</v>
          </cell>
          <cell r="V164">
            <v>290</v>
          </cell>
          <cell r="W164">
            <v>17400</v>
          </cell>
          <cell r="X164">
            <v>0.5</v>
          </cell>
          <cell r="Y164">
            <v>8700</v>
          </cell>
          <cell r="Z164" t="str">
            <v>12</v>
          </cell>
          <cell r="AA164">
            <v>725</v>
          </cell>
          <cell r="AB164">
            <v>1.38</v>
          </cell>
          <cell r="AC164">
            <v>0.34379999999999999</v>
          </cell>
          <cell r="AD164">
            <v>2742.1487999999999</v>
          </cell>
          <cell r="AE164">
            <v>502895</v>
          </cell>
          <cell r="AF164">
            <v>14</v>
          </cell>
          <cell r="AG164">
            <v>35921.071430000004</v>
          </cell>
          <cell r="AH164">
            <v>120</v>
          </cell>
          <cell r="AI164">
            <v>2</v>
          </cell>
          <cell r="AJ164">
            <v>14</v>
          </cell>
          <cell r="AK164">
            <v>35.587142857142858</v>
          </cell>
          <cell r="AL164">
            <v>1.3899999999999999E-2</v>
          </cell>
          <cell r="AM164">
            <v>110.8664</v>
          </cell>
          <cell r="AN164" t="str">
            <v>K852</v>
          </cell>
          <cell r="AO164">
            <v>0.38890000000000002</v>
          </cell>
          <cell r="AP164">
            <v>4.1518333333333333</v>
          </cell>
        </row>
        <row r="165">
          <cell r="C165">
            <v>65703005</v>
          </cell>
          <cell r="D165" t="str">
            <v>KAH MATCHA 40 24/200 19 JP</v>
          </cell>
          <cell r="E165" t="str">
            <v>FS01</v>
          </cell>
          <cell r="F165" t="str">
            <v>04EG02</v>
          </cell>
          <cell r="G165">
            <v>1497</v>
          </cell>
          <cell r="H165" t="str">
            <v>200</v>
          </cell>
          <cell r="I165" t="str">
            <v>MR04E02-V</v>
          </cell>
          <cell r="J165" t="str">
            <v>24</v>
          </cell>
          <cell r="K165">
            <v>35928</v>
          </cell>
          <cell r="L165">
            <v>0.5333</v>
          </cell>
          <cell r="M165">
            <v>798.3501</v>
          </cell>
          <cell r="N165">
            <v>6</v>
          </cell>
          <cell r="O165">
            <v>1</v>
          </cell>
          <cell r="P165">
            <v>2</v>
          </cell>
          <cell r="Q165">
            <v>9</v>
          </cell>
          <cell r="R165">
            <v>205.62</v>
          </cell>
          <cell r="S165">
            <v>43.49</v>
          </cell>
          <cell r="T165">
            <v>37.68</v>
          </cell>
          <cell r="U165">
            <v>286.79000000000002</v>
          </cell>
          <cell r="V165">
            <v>165</v>
          </cell>
          <cell r="W165">
            <v>9900</v>
          </cell>
          <cell r="X165">
            <v>0.32</v>
          </cell>
          <cell r="Y165">
            <v>3168</v>
          </cell>
          <cell r="Z165" t="str">
            <v>24</v>
          </cell>
          <cell r="AA165">
            <v>132</v>
          </cell>
          <cell r="AB165">
            <v>7.58</v>
          </cell>
          <cell r="AC165">
            <v>2.1739000000000002</v>
          </cell>
          <cell r="AD165">
            <v>3254.3283000000001</v>
          </cell>
          <cell r="AE165">
            <v>25703</v>
          </cell>
          <cell r="AF165">
            <v>4.5</v>
          </cell>
          <cell r="AG165">
            <v>5711.7777800000003</v>
          </cell>
          <cell r="AH165">
            <v>120</v>
          </cell>
          <cell r="AI165">
            <v>2</v>
          </cell>
          <cell r="AJ165">
            <v>18</v>
          </cell>
          <cell r="AK165">
            <v>31.865555555555559</v>
          </cell>
          <cell r="AL165">
            <v>0.1004</v>
          </cell>
          <cell r="AM165">
            <v>150.2988</v>
          </cell>
          <cell r="AN165" t="str">
            <v>K946</v>
          </cell>
          <cell r="AO165">
            <v>2.3701000000000003</v>
          </cell>
          <cell r="AP165">
            <v>4.7798333333333334</v>
          </cell>
        </row>
        <row r="166">
          <cell r="C166">
            <v>65707005</v>
          </cell>
          <cell r="D166" t="str">
            <v>KAH MATCHA 40 12/700 19 JP</v>
          </cell>
          <cell r="E166" t="str">
            <v>FS10</v>
          </cell>
          <cell r="F166" t="str">
            <v>04KG02</v>
          </cell>
          <cell r="G166">
            <v>3363</v>
          </cell>
          <cell r="H166" t="str">
            <v>700</v>
          </cell>
          <cell r="I166" t="str">
            <v>MR04K10-JP</v>
          </cell>
          <cell r="J166" t="str">
            <v>12</v>
          </cell>
          <cell r="K166">
            <v>40356</v>
          </cell>
          <cell r="L166">
            <v>0.93330000000000002</v>
          </cell>
          <cell r="M166">
            <v>3138.6878999999999</v>
          </cell>
          <cell r="N166">
            <v>8</v>
          </cell>
          <cell r="O166">
            <v>1</v>
          </cell>
          <cell r="P166">
            <v>2</v>
          </cell>
          <cell r="Q166">
            <v>11</v>
          </cell>
          <cell r="R166">
            <v>274.16000000000003</v>
          </cell>
          <cell r="S166">
            <v>43.49</v>
          </cell>
          <cell r="T166">
            <v>37.68</v>
          </cell>
          <cell r="U166">
            <v>355.33000000000004</v>
          </cell>
          <cell r="V166">
            <v>290</v>
          </cell>
          <cell r="W166">
            <v>17400</v>
          </cell>
          <cell r="X166">
            <v>0.32</v>
          </cell>
          <cell r="Y166">
            <v>5568</v>
          </cell>
          <cell r="Z166" t="str">
            <v>12</v>
          </cell>
          <cell r="AA166">
            <v>464</v>
          </cell>
          <cell r="AB166">
            <v>2.16</v>
          </cell>
          <cell r="AC166">
            <v>0.76749999999999996</v>
          </cell>
          <cell r="AD166">
            <v>2581.1025</v>
          </cell>
          <cell r="AE166">
            <v>130456</v>
          </cell>
          <cell r="AF166">
            <v>11.5</v>
          </cell>
          <cell r="AG166">
            <v>11344</v>
          </cell>
          <cell r="AH166">
            <v>120</v>
          </cell>
          <cell r="AI166">
            <v>2</v>
          </cell>
          <cell r="AJ166">
            <v>22</v>
          </cell>
          <cell r="AK166">
            <v>32.302727272727275</v>
          </cell>
          <cell r="AL166">
            <v>6.2600000000000003E-2</v>
          </cell>
          <cell r="AM166">
            <v>210.52380000000002</v>
          </cell>
          <cell r="AN166" t="str">
            <v>K946</v>
          </cell>
          <cell r="AO166">
            <v>0.93579999999999997</v>
          </cell>
          <cell r="AP166">
            <v>5.9221666666666675</v>
          </cell>
        </row>
        <row r="167">
          <cell r="C167">
            <v>73608001</v>
          </cell>
          <cell r="D167" t="str">
            <v>KAH BLONDE 40 12/750 20  US</v>
          </cell>
          <cell r="E167" t="str">
            <v>FS10</v>
          </cell>
          <cell r="F167" t="str">
            <v>04CG02</v>
          </cell>
          <cell r="G167">
            <v>6263</v>
          </cell>
          <cell r="H167" t="str">
            <v>750</v>
          </cell>
          <cell r="I167" t="str">
            <v>MR04C10</v>
          </cell>
          <cell r="J167" t="str">
            <v>12</v>
          </cell>
          <cell r="K167">
            <v>75156</v>
          </cell>
          <cell r="L167">
            <v>1</v>
          </cell>
          <cell r="M167">
            <v>6263</v>
          </cell>
          <cell r="N167">
            <v>6</v>
          </cell>
          <cell r="O167">
            <v>1</v>
          </cell>
          <cell r="P167">
            <v>0</v>
          </cell>
          <cell r="Q167">
            <v>7</v>
          </cell>
          <cell r="R167">
            <v>205.62</v>
          </cell>
          <cell r="S167">
            <v>43.49</v>
          </cell>
          <cell r="T167">
            <v>0</v>
          </cell>
          <cell r="U167">
            <v>249.11</v>
          </cell>
          <cell r="V167">
            <v>290</v>
          </cell>
          <cell r="W167">
            <v>17400</v>
          </cell>
          <cell r="X167">
            <v>0.5</v>
          </cell>
          <cell r="Y167">
            <v>8700</v>
          </cell>
          <cell r="Z167" t="str">
            <v>12</v>
          </cell>
          <cell r="AA167">
            <v>725</v>
          </cell>
          <cell r="AB167">
            <v>1.38</v>
          </cell>
          <cell r="AC167">
            <v>0.34379999999999999</v>
          </cell>
          <cell r="AD167">
            <v>2153.2194</v>
          </cell>
          <cell r="AE167">
            <v>502895</v>
          </cell>
          <cell r="AF167">
            <v>14</v>
          </cell>
          <cell r="AG167">
            <v>35921.071430000004</v>
          </cell>
          <cell r="AH167">
            <v>120</v>
          </cell>
          <cell r="AI167">
            <v>2</v>
          </cell>
          <cell r="AJ167">
            <v>14</v>
          </cell>
          <cell r="AK167">
            <v>35.587142857142858</v>
          </cell>
          <cell r="AL167">
            <v>1.3899999999999999E-2</v>
          </cell>
          <cell r="AM167">
            <v>87.055700000000002</v>
          </cell>
          <cell r="AN167" t="str">
            <v>K964</v>
          </cell>
          <cell r="AO167">
            <v>0.65600000000000003</v>
          </cell>
          <cell r="AP167">
            <v>4.1518333333333333</v>
          </cell>
        </row>
        <row r="168">
          <cell r="C168">
            <v>74000001</v>
          </cell>
          <cell r="D168" t="str">
            <v>MALI WATERMELON 42 120/50 US</v>
          </cell>
          <cell r="E168" t="str">
            <v>FS03</v>
          </cell>
          <cell r="F168" t="str">
            <v>01FP08</v>
          </cell>
          <cell r="G168">
            <v>7433</v>
          </cell>
          <cell r="H168" t="str">
            <v>50</v>
          </cell>
          <cell r="I168" t="str">
            <v>MR01F03</v>
          </cell>
          <cell r="J168" t="str">
            <v>120</v>
          </cell>
          <cell r="K168">
            <v>891960</v>
          </cell>
          <cell r="L168">
            <v>0.66669999999999996</v>
          </cell>
          <cell r="M168">
            <v>4955.5810999999994</v>
          </cell>
          <cell r="N168">
            <v>4</v>
          </cell>
          <cell r="O168">
            <v>1</v>
          </cell>
          <cell r="P168">
            <v>0</v>
          </cell>
          <cell r="Q168">
            <v>5</v>
          </cell>
          <cell r="R168">
            <v>137.08000000000001</v>
          </cell>
          <cell r="S168">
            <v>43.49</v>
          </cell>
          <cell r="T168">
            <v>0</v>
          </cell>
          <cell r="U168">
            <v>180.57000000000002</v>
          </cell>
          <cell r="V168">
            <v>380</v>
          </cell>
          <cell r="W168">
            <v>22800</v>
          </cell>
          <cell r="X168">
            <v>0.45</v>
          </cell>
          <cell r="Y168">
            <v>10260</v>
          </cell>
          <cell r="Z168" t="str">
            <v>120</v>
          </cell>
          <cell r="AA168">
            <v>85.5</v>
          </cell>
          <cell r="AB168">
            <v>11.7</v>
          </cell>
          <cell r="AC168">
            <v>2.1126999999999998</v>
          </cell>
          <cell r="AD168">
            <v>15703.699099999998</v>
          </cell>
          <cell r="AE168">
            <v>39944</v>
          </cell>
          <cell r="AF168">
            <v>6</v>
          </cell>
          <cell r="AG168">
            <v>6657.3333300000004</v>
          </cell>
          <cell r="AH168">
            <v>120</v>
          </cell>
          <cell r="AI168">
            <v>2</v>
          </cell>
          <cell r="AJ168">
            <v>10</v>
          </cell>
          <cell r="AK168">
            <v>36.114000000000004</v>
          </cell>
          <cell r="AL168">
            <v>5.4199999999999998E-2</v>
          </cell>
          <cell r="AM168">
            <v>402.86859999999996</v>
          </cell>
          <cell r="AN168" t="str">
            <v>K973</v>
          </cell>
          <cell r="AO168">
            <v>3.0292999999999997</v>
          </cell>
          <cell r="AP168">
            <v>3.0095000000000005</v>
          </cell>
        </row>
        <row r="169">
          <cell r="C169">
            <v>96308001</v>
          </cell>
          <cell r="D169" t="str">
            <v>SK PB WHKSY 70 12/750 MF CP</v>
          </cell>
          <cell r="E169" t="str">
            <v>FS10</v>
          </cell>
          <cell r="F169" t="str">
            <v>61CG01</v>
          </cell>
          <cell r="G169">
            <v>210000</v>
          </cell>
          <cell r="H169" t="str">
            <v>750</v>
          </cell>
          <cell r="I169" t="str">
            <v>MR61C10</v>
          </cell>
          <cell r="J169" t="str">
            <v>12</v>
          </cell>
          <cell r="K169">
            <v>2520000</v>
          </cell>
          <cell r="L169">
            <v>1</v>
          </cell>
          <cell r="M169">
            <v>210000</v>
          </cell>
          <cell r="N169">
            <v>4</v>
          </cell>
          <cell r="O169">
            <v>1</v>
          </cell>
          <cell r="P169">
            <v>2</v>
          </cell>
          <cell r="Q169">
            <v>7</v>
          </cell>
          <cell r="R169">
            <v>137.08000000000001</v>
          </cell>
          <cell r="S169">
            <v>43.49</v>
          </cell>
          <cell r="T169">
            <v>37.68</v>
          </cell>
          <cell r="U169">
            <v>218.25000000000003</v>
          </cell>
          <cell r="V169">
            <v>280</v>
          </cell>
          <cell r="W169">
            <v>16800</v>
          </cell>
          <cell r="X169">
            <v>0.5</v>
          </cell>
          <cell r="Y169">
            <v>8400</v>
          </cell>
          <cell r="Z169" t="str">
            <v>12</v>
          </cell>
          <cell r="AA169">
            <v>700</v>
          </cell>
          <cell r="AB169">
            <v>1.43</v>
          </cell>
          <cell r="AC169">
            <v>0.31209999999999999</v>
          </cell>
          <cell r="AD169">
            <v>65541</v>
          </cell>
          <cell r="AE169">
            <v>210000</v>
          </cell>
          <cell r="AF169">
            <v>12</v>
          </cell>
          <cell r="AG169">
            <v>17500</v>
          </cell>
          <cell r="AH169">
            <v>120</v>
          </cell>
          <cell r="AI169">
            <v>2</v>
          </cell>
          <cell r="AJ169">
            <v>14</v>
          </cell>
          <cell r="AK169">
            <v>31.178571428571434</v>
          </cell>
          <cell r="AL169">
            <v>2.4899999999999999E-2</v>
          </cell>
          <cell r="AM169">
            <v>5229</v>
          </cell>
          <cell r="AN169">
            <v>0</v>
          </cell>
          <cell r="AO169">
            <v>0.37439999999999996</v>
          </cell>
          <cell r="AP169">
            <v>3.6375000000000006</v>
          </cell>
        </row>
        <row r="170">
          <cell r="C170">
            <v>96700022</v>
          </cell>
          <cell r="D170" t="str">
            <v>SEAG VDK APLE 70 120/50 SWNDUS</v>
          </cell>
          <cell r="E170" t="str">
            <v>FS03</v>
          </cell>
          <cell r="F170" t="str">
            <v>42FP01</v>
          </cell>
          <cell r="G170">
            <v>1871.9082989999997</v>
          </cell>
          <cell r="H170" t="str">
            <v>50</v>
          </cell>
          <cell r="I170" t="str">
            <v>MR42F03-SEAG VDK</v>
          </cell>
          <cell r="J170" t="str">
            <v>120</v>
          </cell>
          <cell r="K170">
            <v>224628.99587999997</v>
          </cell>
          <cell r="L170">
            <v>0.66669999999999996</v>
          </cell>
          <cell r="M170">
            <v>1248.0012629432997</v>
          </cell>
          <cell r="N170">
            <v>4</v>
          </cell>
          <cell r="O170">
            <v>1</v>
          </cell>
          <cell r="P170">
            <v>0</v>
          </cell>
          <cell r="Q170">
            <v>5</v>
          </cell>
          <cell r="R170">
            <v>137.08000000000001</v>
          </cell>
          <cell r="S170">
            <v>43.49</v>
          </cell>
          <cell r="T170">
            <v>0</v>
          </cell>
          <cell r="U170">
            <v>180.57000000000002</v>
          </cell>
          <cell r="V170">
            <v>380</v>
          </cell>
          <cell r="W170">
            <v>22800</v>
          </cell>
          <cell r="X170">
            <v>0.45</v>
          </cell>
          <cell r="Y170">
            <v>10260</v>
          </cell>
          <cell r="Z170" t="str">
            <v>120</v>
          </cell>
          <cell r="AA170">
            <v>85.5</v>
          </cell>
          <cell r="AB170">
            <v>11.7</v>
          </cell>
          <cell r="AC170">
            <v>2.1126999999999998</v>
          </cell>
          <cell r="AD170">
            <v>3954.7806632972988</v>
          </cell>
          <cell r="AE170">
            <v>87418.664220680002</v>
          </cell>
          <cell r="AF170">
            <v>12</v>
          </cell>
          <cell r="AG170">
            <v>7284.8886899999998</v>
          </cell>
          <cell r="AH170">
            <v>120</v>
          </cell>
          <cell r="AI170">
            <v>2</v>
          </cell>
          <cell r="AJ170">
            <v>10</v>
          </cell>
          <cell r="AK170">
            <v>36.114000000000004</v>
          </cell>
          <cell r="AL170">
            <v>4.9599999999999998E-2</v>
          </cell>
          <cell r="AM170">
            <v>92.84665163039999</v>
          </cell>
          <cell r="AN170" t="str">
            <v>K528</v>
          </cell>
          <cell r="AO170">
            <v>2.3905999999999996</v>
          </cell>
          <cell r="AP170">
            <v>3.0095000000000005</v>
          </cell>
        </row>
        <row r="171">
          <cell r="C171">
            <v>96700024</v>
          </cell>
          <cell r="D171" t="str">
            <v>SEAG VDK PEACH 70 120/50SWNDUS</v>
          </cell>
          <cell r="E171" t="str">
            <v>FS03</v>
          </cell>
          <cell r="F171" t="str">
            <v>42FP01</v>
          </cell>
          <cell r="G171">
            <v>3224.1366273599997</v>
          </cell>
          <cell r="H171" t="str">
            <v>50</v>
          </cell>
          <cell r="I171" t="str">
            <v>MR42F03-SEAG VDK-V</v>
          </cell>
          <cell r="J171" t="str">
            <v>120</v>
          </cell>
          <cell r="K171">
            <v>386896.39528319996</v>
          </cell>
          <cell r="L171">
            <v>0.66669999999999996</v>
          </cell>
          <cell r="M171">
            <v>2149.5318894609118</v>
          </cell>
          <cell r="N171">
            <v>4</v>
          </cell>
          <cell r="O171">
            <v>1</v>
          </cell>
          <cell r="P171">
            <v>0</v>
          </cell>
          <cell r="Q171">
            <v>5</v>
          </cell>
          <cell r="R171">
            <v>137.08000000000001</v>
          </cell>
          <cell r="S171">
            <v>43.49</v>
          </cell>
          <cell r="T171">
            <v>0</v>
          </cell>
          <cell r="U171">
            <v>180.57000000000002</v>
          </cell>
          <cell r="V171">
            <v>380</v>
          </cell>
          <cell r="W171">
            <v>22800</v>
          </cell>
          <cell r="X171">
            <v>0.45</v>
          </cell>
          <cell r="Y171">
            <v>10260</v>
          </cell>
          <cell r="Z171" t="str">
            <v>120</v>
          </cell>
          <cell r="AA171">
            <v>85.5</v>
          </cell>
          <cell r="AB171">
            <v>11.7</v>
          </cell>
          <cell r="AC171">
            <v>2.1126999999999998</v>
          </cell>
          <cell r="AD171">
            <v>6811.6334526234705</v>
          </cell>
          <cell r="AE171">
            <v>87418.664220680002</v>
          </cell>
          <cell r="AF171">
            <v>12</v>
          </cell>
          <cell r="AG171">
            <v>7284.8886899999998</v>
          </cell>
          <cell r="AH171">
            <v>120</v>
          </cell>
          <cell r="AI171">
            <v>2</v>
          </cell>
          <cell r="AJ171">
            <v>10</v>
          </cell>
          <cell r="AK171">
            <v>36.114000000000004</v>
          </cell>
          <cell r="AL171">
            <v>4.9599999999999998E-2</v>
          </cell>
          <cell r="AM171">
            <v>159.91717671705598</v>
          </cell>
          <cell r="AN171" t="str">
            <v>K781</v>
          </cell>
          <cell r="AO171">
            <v>2.3302999999999998</v>
          </cell>
          <cell r="AP171">
            <v>3.0095000000000005</v>
          </cell>
        </row>
        <row r="172">
          <cell r="C172">
            <v>96700026</v>
          </cell>
          <cell r="D172" t="str">
            <v>SEAG VDK EXSM 80 120/50 SWNDUS</v>
          </cell>
          <cell r="E172" t="str">
            <v>FS03</v>
          </cell>
          <cell r="F172" t="str">
            <v>42FP01</v>
          </cell>
          <cell r="G172">
            <v>30709.921835100002</v>
          </cell>
          <cell r="H172" t="str">
            <v>50</v>
          </cell>
          <cell r="I172" t="str">
            <v>MR42F03-SEAG VDK-V</v>
          </cell>
          <cell r="J172" t="str">
            <v>120</v>
          </cell>
          <cell r="K172">
            <v>3685190.6202120003</v>
          </cell>
          <cell r="L172">
            <v>0.66669999999999996</v>
          </cell>
          <cell r="M172">
            <v>20474.30488746117</v>
          </cell>
          <cell r="N172">
            <v>4</v>
          </cell>
          <cell r="O172">
            <v>1</v>
          </cell>
          <cell r="P172">
            <v>0</v>
          </cell>
          <cell r="Q172">
            <v>5</v>
          </cell>
          <cell r="R172">
            <v>137.08000000000001</v>
          </cell>
          <cell r="S172">
            <v>43.49</v>
          </cell>
          <cell r="T172">
            <v>0</v>
          </cell>
          <cell r="U172">
            <v>180.57000000000002</v>
          </cell>
          <cell r="V172">
            <v>380</v>
          </cell>
          <cell r="W172">
            <v>22800</v>
          </cell>
          <cell r="X172">
            <v>0.45</v>
          </cell>
          <cell r="Y172">
            <v>10260</v>
          </cell>
          <cell r="Z172" t="str">
            <v>120</v>
          </cell>
          <cell r="AA172">
            <v>85.5</v>
          </cell>
          <cell r="AB172">
            <v>11.7</v>
          </cell>
          <cell r="AC172">
            <v>2.1126999999999998</v>
          </cell>
          <cell r="AD172">
            <v>64880.85186101577</v>
          </cell>
          <cell r="AE172">
            <v>87418.664220680002</v>
          </cell>
          <cell r="AF172">
            <v>12</v>
          </cell>
          <cell r="AG172">
            <v>7284.8886899999998</v>
          </cell>
          <cell r="AH172">
            <v>120</v>
          </cell>
          <cell r="AI172">
            <v>2</v>
          </cell>
          <cell r="AJ172">
            <v>10</v>
          </cell>
          <cell r="AK172">
            <v>36.114000000000004</v>
          </cell>
          <cell r="AL172">
            <v>4.9599999999999998E-2</v>
          </cell>
          <cell r="AM172">
            <v>1523.21212302096</v>
          </cell>
          <cell r="AN172" t="str">
            <v>K492</v>
          </cell>
          <cell r="AO172">
            <v>2.2457999999999996</v>
          </cell>
          <cell r="AP172">
            <v>3.0095000000000005</v>
          </cell>
        </row>
        <row r="173">
          <cell r="C173">
            <v>96700027</v>
          </cell>
          <cell r="D173" t="str">
            <v>SEAG VDK PLAT 100 120/50SWNDUS</v>
          </cell>
          <cell r="E173" t="str">
            <v>FS03</v>
          </cell>
          <cell r="F173" t="str">
            <v>42FP01</v>
          </cell>
          <cell r="G173">
            <v>5242.5449931599996</v>
          </cell>
          <cell r="H173" t="str">
            <v>50</v>
          </cell>
          <cell r="I173" t="str">
            <v>MR42F03-SEAG VDK</v>
          </cell>
          <cell r="J173" t="str">
            <v>120</v>
          </cell>
          <cell r="K173">
            <v>629105.39917919994</v>
          </cell>
          <cell r="L173">
            <v>0.66669999999999996</v>
          </cell>
          <cell r="M173">
            <v>3495.2047469397717</v>
          </cell>
          <cell r="N173">
            <v>4</v>
          </cell>
          <cell r="O173">
            <v>1</v>
          </cell>
          <cell r="P173">
            <v>0</v>
          </cell>
          <cell r="Q173">
            <v>5</v>
          </cell>
          <cell r="R173">
            <v>137.08000000000001</v>
          </cell>
          <cell r="S173">
            <v>43.49</v>
          </cell>
          <cell r="T173">
            <v>0</v>
          </cell>
          <cell r="U173">
            <v>180.57000000000002</v>
          </cell>
          <cell r="V173">
            <v>380</v>
          </cell>
          <cell r="W173">
            <v>22800</v>
          </cell>
          <cell r="X173">
            <v>0.45</v>
          </cell>
          <cell r="Y173">
            <v>10260</v>
          </cell>
          <cell r="Z173" t="str">
            <v>120</v>
          </cell>
          <cell r="AA173">
            <v>85.5</v>
          </cell>
          <cell r="AB173">
            <v>11.7</v>
          </cell>
          <cell r="AC173">
            <v>2.1126999999999998</v>
          </cell>
          <cell r="AD173">
            <v>11075.92480704913</v>
          </cell>
          <cell r="AE173">
            <v>87418.664220680002</v>
          </cell>
          <cell r="AF173">
            <v>12</v>
          </cell>
          <cell r="AG173">
            <v>7284.8886899999998</v>
          </cell>
          <cell r="AH173">
            <v>120</v>
          </cell>
          <cell r="AI173">
            <v>2</v>
          </cell>
          <cell r="AJ173">
            <v>10</v>
          </cell>
          <cell r="AK173">
            <v>36.114000000000004</v>
          </cell>
          <cell r="AL173">
            <v>4.9599999999999998E-2</v>
          </cell>
          <cell r="AM173">
            <v>260.03023166073598</v>
          </cell>
          <cell r="AN173" t="str">
            <v>K493</v>
          </cell>
          <cell r="AO173">
            <v>2.4883999999999995</v>
          </cell>
          <cell r="AP173">
            <v>3.0095000000000005</v>
          </cell>
        </row>
        <row r="174">
          <cell r="C174">
            <v>96700031</v>
          </cell>
          <cell r="D174" t="str">
            <v>SEAG VDK WTRMEL70 120/50PTSWUS</v>
          </cell>
          <cell r="E174" t="str">
            <v>FS03</v>
          </cell>
          <cell r="F174" t="str">
            <v>42FP01</v>
          </cell>
          <cell r="G174">
            <v>4196.5668023600001</v>
          </cell>
          <cell r="H174" t="str">
            <v>50</v>
          </cell>
          <cell r="I174" t="str">
            <v>MR42F03-SEAG VDK</v>
          </cell>
          <cell r="J174" t="str">
            <v>120</v>
          </cell>
          <cell r="K174">
            <v>503588.01628320001</v>
          </cell>
          <cell r="L174">
            <v>0.66669999999999996</v>
          </cell>
          <cell r="M174">
            <v>2797.851087133412</v>
          </cell>
          <cell r="N174">
            <v>4</v>
          </cell>
          <cell r="O174">
            <v>1</v>
          </cell>
          <cell r="P174">
            <v>0</v>
          </cell>
          <cell r="Q174">
            <v>5</v>
          </cell>
          <cell r="R174">
            <v>137.08000000000001</v>
          </cell>
          <cell r="S174">
            <v>43.49</v>
          </cell>
          <cell r="T174">
            <v>0</v>
          </cell>
          <cell r="U174">
            <v>180.57000000000002</v>
          </cell>
          <cell r="V174">
            <v>380</v>
          </cell>
          <cell r="W174">
            <v>22800</v>
          </cell>
          <cell r="X174">
            <v>0.45</v>
          </cell>
          <cell r="Y174">
            <v>10260</v>
          </cell>
          <cell r="Z174" t="str">
            <v>120</v>
          </cell>
          <cell r="AA174">
            <v>85.5</v>
          </cell>
          <cell r="AB174">
            <v>11.7</v>
          </cell>
          <cell r="AC174">
            <v>2.1126999999999998</v>
          </cell>
          <cell r="AD174">
            <v>8866.0866833459713</v>
          </cell>
          <cell r="AE174">
            <v>87418.664220680002</v>
          </cell>
          <cell r="AF174">
            <v>12</v>
          </cell>
          <cell r="AG174">
            <v>7284.8886899999998</v>
          </cell>
          <cell r="AH174">
            <v>120</v>
          </cell>
          <cell r="AI174">
            <v>2</v>
          </cell>
          <cell r="AJ174">
            <v>10</v>
          </cell>
          <cell r="AK174">
            <v>36.114000000000004</v>
          </cell>
          <cell r="AL174">
            <v>4.9599999999999998E-2</v>
          </cell>
          <cell r="AM174">
            <v>208.14971339705599</v>
          </cell>
          <cell r="AN174" t="str">
            <v>K884</v>
          </cell>
          <cell r="AO174">
            <v>2.3659999999999997</v>
          </cell>
          <cell r="AP174">
            <v>3.0095000000000005</v>
          </cell>
        </row>
        <row r="175">
          <cell r="C175">
            <v>96700032</v>
          </cell>
          <cell r="D175" t="str">
            <v>SEAG VDK TRPINE70 120/50PTSWUS</v>
          </cell>
          <cell r="E175" t="str">
            <v>FS03</v>
          </cell>
          <cell r="F175" t="str">
            <v>42FP01</v>
          </cell>
          <cell r="G175">
            <v>339.65366370000004</v>
          </cell>
          <cell r="H175" t="str">
            <v>50</v>
          </cell>
          <cell r="I175" t="str">
            <v>MR42F03-SEAG VDK-V</v>
          </cell>
          <cell r="J175" t="str">
            <v>120</v>
          </cell>
          <cell r="K175">
            <v>40758.439644000006</v>
          </cell>
          <cell r="L175">
            <v>0.66669999999999996</v>
          </cell>
          <cell r="M175">
            <v>226.44709758879</v>
          </cell>
          <cell r="N175">
            <v>4</v>
          </cell>
          <cell r="O175">
            <v>1</v>
          </cell>
          <cell r="P175">
            <v>0</v>
          </cell>
          <cell r="Q175">
            <v>5</v>
          </cell>
          <cell r="R175">
            <v>137.08000000000001</v>
          </cell>
          <cell r="S175">
            <v>43.49</v>
          </cell>
          <cell r="T175">
            <v>0</v>
          </cell>
          <cell r="U175">
            <v>180.57000000000002</v>
          </cell>
          <cell r="V175">
            <v>380</v>
          </cell>
          <cell r="W175">
            <v>22800</v>
          </cell>
          <cell r="X175">
            <v>0.45</v>
          </cell>
          <cell r="Y175">
            <v>10260</v>
          </cell>
          <cell r="Z175" t="str">
            <v>120</v>
          </cell>
          <cell r="AA175">
            <v>85.5</v>
          </cell>
          <cell r="AB175">
            <v>11.7</v>
          </cell>
          <cell r="AC175">
            <v>2.1126999999999998</v>
          </cell>
          <cell r="AD175">
            <v>717.58629529898997</v>
          </cell>
          <cell r="AE175">
            <v>87418.664220680002</v>
          </cell>
          <cell r="AF175">
            <v>12</v>
          </cell>
          <cell r="AG175">
            <v>7284.8886899999998</v>
          </cell>
          <cell r="AH175">
            <v>120</v>
          </cell>
          <cell r="AI175">
            <v>2</v>
          </cell>
          <cell r="AJ175">
            <v>10</v>
          </cell>
          <cell r="AK175">
            <v>36.114000000000004</v>
          </cell>
          <cell r="AL175">
            <v>4.9599999999999998E-2</v>
          </cell>
          <cell r="AM175">
            <v>16.846821719520001</v>
          </cell>
          <cell r="AN175" t="str">
            <v>K923</v>
          </cell>
          <cell r="AO175">
            <v>3.4204999999999997</v>
          </cell>
          <cell r="AP175">
            <v>3.0095000000000005</v>
          </cell>
        </row>
        <row r="176">
          <cell r="C176">
            <v>96700040</v>
          </cell>
          <cell r="D176" t="str">
            <v>SEAG VDK STRLMD 70 120/50PT US</v>
          </cell>
          <cell r="E176" t="str">
            <v>FS03</v>
          </cell>
          <cell r="F176" t="str">
            <v>42FP01</v>
          </cell>
          <cell r="G176">
            <v>2310</v>
          </cell>
          <cell r="H176" t="str">
            <v>50</v>
          </cell>
          <cell r="I176" t="str">
            <v>MR42F03-SEAG VDK</v>
          </cell>
          <cell r="J176" t="str">
            <v>120</v>
          </cell>
          <cell r="K176">
            <v>277200</v>
          </cell>
          <cell r="L176">
            <v>0.66669999999999996</v>
          </cell>
          <cell r="M176">
            <v>1540.077</v>
          </cell>
          <cell r="N176">
            <v>4</v>
          </cell>
          <cell r="O176">
            <v>1</v>
          </cell>
          <cell r="P176">
            <v>0</v>
          </cell>
          <cell r="Q176">
            <v>5</v>
          </cell>
          <cell r="R176">
            <v>137.08000000000001</v>
          </cell>
          <cell r="S176">
            <v>43.49</v>
          </cell>
          <cell r="T176">
            <v>0</v>
          </cell>
          <cell r="U176">
            <v>180.57000000000002</v>
          </cell>
          <cell r="V176">
            <v>380</v>
          </cell>
          <cell r="W176">
            <v>22800</v>
          </cell>
          <cell r="X176">
            <v>0.45</v>
          </cell>
          <cell r="Y176">
            <v>10260</v>
          </cell>
          <cell r="Z176" t="str">
            <v>120</v>
          </cell>
          <cell r="AA176">
            <v>85.5</v>
          </cell>
          <cell r="AB176">
            <v>11.7</v>
          </cell>
          <cell r="AC176">
            <v>2.1126999999999998</v>
          </cell>
          <cell r="AD176">
            <v>4880.3369999999995</v>
          </cell>
          <cell r="AE176">
            <v>87418.664220680002</v>
          </cell>
          <cell r="AF176">
            <v>12</v>
          </cell>
          <cell r="AG176">
            <v>7284.8886899999998</v>
          </cell>
          <cell r="AH176">
            <v>120</v>
          </cell>
          <cell r="AI176">
            <v>2</v>
          </cell>
          <cell r="AJ176">
            <v>10</v>
          </cell>
          <cell r="AK176">
            <v>36.114000000000004</v>
          </cell>
          <cell r="AL176">
            <v>4.9599999999999998E-2</v>
          </cell>
          <cell r="AM176">
            <v>114.57599999999999</v>
          </cell>
          <cell r="AN176" t="str">
            <v>K1014</v>
          </cell>
          <cell r="AO176">
            <v>2.3967999999999998</v>
          </cell>
          <cell r="AP176">
            <v>3.0095000000000005</v>
          </cell>
        </row>
        <row r="177">
          <cell r="C177">
            <v>96700050</v>
          </cell>
          <cell r="D177" t="str">
            <v>SEAG VDK MNGPNP 70 120/50PT US</v>
          </cell>
          <cell r="E177" t="str">
            <v>FS03</v>
          </cell>
          <cell r="F177" t="str">
            <v>42FP01</v>
          </cell>
          <cell r="G177">
            <v>2310</v>
          </cell>
          <cell r="H177" t="str">
            <v>50</v>
          </cell>
          <cell r="I177" t="str">
            <v>MR42F03-SEAG VDK</v>
          </cell>
          <cell r="J177" t="str">
            <v>120</v>
          </cell>
          <cell r="K177">
            <v>277200</v>
          </cell>
          <cell r="L177">
            <v>0.66669999999999996</v>
          </cell>
          <cell r="M177">
            <v>1540.077</v>
          </cell>
          <cell r="N177">
            <v>4</v>
          </cell>
          <cell r="O177">
            <v>1</v>
          </cell>
          <cell r="P177">
            <v>0</v>
          </cell>
          <cell r="Q177">
            <v>5</v>
          </cell>
          <cell r="R177">
            <v>137.08000000000001</v>
          </cell>
          <cell r="S177">
            <v>43.49</v>
          </cell>
          <cell r="T177">
            <v>0</v>
          </cell>
          <cell r="U177">
            <v>180.57000000000002</v>
          </cell>
          <cell r="V177">
            <v>380</v>
          </cell>
          <cell r="W177">
            <v>22800</v>
          </cell>
          <cell r="X177">
            <v>0.45</v>
          </cell>
          <cell r="Y177">
            <v>10260</v>
          </cell>
          <cell r="Z177" t="str">
            <v>120</v>
          </cell>
          <cell r="AA177">
            <v>85.5</v>
          </cell>
          <cell r="AB177">
            <v>11.7</v>
          </cell>
          <cell r="AC177">
            <v>2.1126999999999998</v>
          </cell>
          <cell r="AD177">
            <v>4880.3369999999995</v>
          </cell>
          <cell r="AE177">
            <v>87418.664220680002</v>
          </cell>
          <cell r="AF177">
            <v>12</v>
          </cell>
          <cell r="AG177">
            <v>7284.8886899999998</v>
          </cell>
          <cell r="AH177">
            <v>120</v>
          </cell>
          <cell r="AI177">
            <v>2</v>
          </cell>
          <cell r="AJ177">
            <v>10</v>
          </cell>
          <cell r="AK177">
            <v>36.114000000000004</v>
          </cell>
          <cell r="AL177">
            <v>4.9599999999999998E-2</v>
          </cell>
          <cell r="AM177">
            <v>114.57599999999999</v>
          </cell>
          <cell r="AN177" t="str">
            <v>K1013</v>
          </cell>
          <cell r="AO177">
            <v>2.3967999999999998</v>
          </cell>
          <cell r="AP177">
            <v>3.0095000000000005</v>
          </cell>
        </row>
        <row r="178">
          <cell r="C178">
            <v>96701001</v>
          </cell>
          <cell r="D178" t="str">
            <v>SEAG VDK APL 70 48/100 US</v>
          </cell>
          <cell r="E178" t="str">
            <v>FS05</v>
          </cell>
          <cell r="F178" t="str">
            <v>42HG01</v>
          </cell>
          <cell r="G178">
            <v>1992.2916580000003</v>
          </cell>
          <cell r="H178" t="str">
            <v>100</v>
          </cell>
          <cell r="I178" t="str">
            <v>MR42H05</v>
          </cell>
          <cell r="J178" t="str">
            <v>48</v>
          </cell>
          <cell r="K178">
            <v>95629.999584000019</v>
          </cell>
          <cell r="L178">
            <v>0.5333</v>
          </cell>
          <cell r="M178">
            <v>1062.4891412114002</v>
          </cell>
          <cell r="N178">
            <v>4</v>
          </cell>
          <cell r="O178">
            <v>1</v>
          </cell>
          <cell r="P178">
            <v>1</v>
          </cell>
          <cell r="Q178">
            <v>6</v>
          </cell>
          <cell r="R178">
            <v>137.08000000000001</v>
          </cell>
          <cell r="S178">
            <v>43.49</v>
          </cell>
          <cell r="T178">
            <v>18.84</v>
          </cell>
          <cell r="U178">
            <v>199.41000000000003</v>
          </cell>
          <cell r="V178">
            <v>250</v>
          </cell>
          <cell r="W178">
            <v>15000</v>
          </cell>
          <cell r="X178">
            <v>0.45</v>
          </cell>
          <cell r="Y178">
            <v>6750</v>
          </cell>
          <cell r="Z178" t="str">
            <v>48</v>
          </cell>
          <cell r="AA178">
            <v>140.625</v>
          </cell>
          <cell r="AB178">
            <v>7.11</v>
          </cell>
          <cell r="AC178">
            <v>1.4177999999999999</v>
          </cell>
          <cell r="AD178">
            <v>2824.6711127124004</v>
          </cell>
          <cell r="AE178">
            <v>138330.16108689</v>
          </cell>
          <cell r="AF178">
            <v>15</v>
          </cell>
          <cell r="AG178">
            <v>9222.0107399999997</v>
          </cell>
          <cell r="AH178">
            <v>120</v>
          </cell>
          <cell r="AI178">
            <v>2</v>
          </cell>
          <cell r="AJ178">
            <v>12</v>
          </cell>
          <cell r="AK178">
            <v>33.235000000000007</v>
          </cell>
          <cell r="AL178">
            <v>4.3200000000000002E-2</v>
          </cell>
          <cell r="AM178">
            <v>86.066999625600019</v>
          </cell>
          <cell r="AN178" t="str">
            <v>K528</v>
          </cell>
          <cell r="AO178">
            <v>1.6111</v>
          </cell>
          <cell r="AP178">
            <v>3.3235000000000006</v>
          </cell>
        </row>
        <row r="179">
          <cell r="C179">
            <v>96701002</v>
          </cell>
          <cell r="D179" t="str">
            <v>SEAG VDK EXSM 80 48/100 US</v>
          </cell>
          <cell r="E179" t="str">
            <v>FS05</v>
          </cell>
          <cell r="F179" t="str">
            <v>42HG01</v>
          </cell>
          <cell r="G179">
            <v>33099.361260540005</v>
          </cell>
          <cell r="H179" t="str">
            <v>100</v>
          </cell>
          <cell r="I179" t="str">
            <v>MR42H05</v>
          </cell>
          <cell r="J179" t="str">
            <v>48</v>
          </cell>
          <cell r="K179">
            <v>1588769.3405059204</v>
          </cell>
          <cell r="L179">
            <v>0.5333</v>
          </cell>
          <cell r="M179">
            <v>17651.889360245983</v>
          </cell>
          <cell r="N179">
            <v>4</v>
          </cell>
          <cell r="O179">
            <v>1</v>
          </cell>
          <cell r="P179">
            <v>1</v>
          </cell>
          <cell r="Q179">
            <v>6</v>
          </cell>
          <cell r="R179">
            <v>137.08000000000001</v>
          </cell>
          <cell r="S179">
            <v>43.49</v>
          </cell>
          <cell r="T179">
            <v>18.84</v>
          </cell>
          <cell r="U179">
            <v>199.41000000000003</v>
          </cell>
          <cell r="V179">
            <v>250</v>
          </cell>
          <cell r="W179">
            <v>15000</v>
          </cell>
          <cell r="X179">
            <v>0.45</v>
          </cell>
          <cell r="Y179">
            <v>6750</v>
          </cell>
          <cell r="Z179" t="str">
            <v>48</v>
          </cell>
          <cell r="AA179">
            <v>140.625</v>
          </cell>
          <cell r="AB179">
            <v>7.11</v>
          </cell>
          <cell r="AC179">
            <v>1.4177999999999999</v>
          </cell>
          <cell r="AD179">
            <v>46928.274395193614</v>
          </cell>
          <cell r="AE179">
            <v>138330.16108689</v>
          </cell>
          <cell r="AF179">
            <v>15</v>
          </cell>
          <cell r="AG179">
            <v>9222.0107399999997</v>
          </cell>
          <cell r="AH179">
            <v>120</v>
          </cell>
          <cell r="AI179">
            <v>2</v>
          </cell>
          <cell r="AJ179">
            <v>12</v>
          </cell>
          <cell r="AK179">
            <v>33.235000000000007</v>
          </cell>
          <cell r="AL179">
            <v>4.3200000000000002E-2</v>
          </cell>
          <cell r="AM179">
            <v>1429.8924064553282</v>
          </cell>
          <cell r="AN179" t="str">
            <v>K492</v>
          </cell>
          <cell r="AO179">
            <v>1.4850999999999999</v>
          </cell>
          <cell r="AP179">
            <v>3.3235000000000006</v>
          </cell>
        </row>
        <row r="180">
          <cell r="C180">
            <v>96701005</v>
          </cell>
          <cell r="D180" t="str">
            <v>SEAG VDK JCYWTRML 70 48/100 US</v>
          </cell>
          <cell r="E180" t="str">
            <v>FS05</v>
          </cell>
          <cell r="F180" t="str">
            <v>42HG01</v>
          </cell>
          <cell r="G180">
            <v>924.73916835000011</v>
          </cell>
          <cell r="H180" t="str">
            <v>100</v>
          </cell>
          <cell r="I180" t="str">
            <v>MR42H05</v>
          </cell>
          <cell r="J180" t="str">
            <v>48</v>
          </cell>
          <cell r="K180">
            <v>44387.480080800007</v>
          </cell>
          <cell r="L180">
            <v>0.5333</v>
          </cell>
          <cell r="M180">
            <v>493.16339848105508</v>
          </cell>
          <cell r="N180">
            <v>4</v>
          </cell>
          <cell r="O180">
            <v>1</v>
          </cell>
          <cell r="P180">
            <v>1</v>
          </cell>
          <cell r="Q180">
            <v>6</v>
          </cell>
          <cell r="R180">
            <v>137.08000000000001</v>
          </cell>
          <cell r="S180">
            <v>43.49</v>
          </cell>
          <cell r="T180">
            <v>18.84</v>
          </cell>
          <cell r="U180">
            <v>199.41000000000003</v>
          </cell>
          <cell r="V180">
            <v>250</v>
          </cell>
          <cell r="W180">
            <v>15000</v>
          </cell>
          <cell r="X180">
            <v>0.45</v>
          </cell>
          <cell r="Y180">
            <v>6750</v>
          </cell>
          <cell r="Z180" t="str">
            <v>48</v>
          </cell>
          <cell r="AA180">
            <v>140.625</v>
          </cell>
          <cell r="AB180">
            <v>7.11</v>
          </cell>
          <cell r="AC180">
            <v>1.4177999999999999</v>
          </cell>
          <cell r="AD180">
            <v>1311.09519288663</v>
          </cell>
          <cell r="AE180">
            <v>138330.16108689</v>
          </cell>
          <cell r="AF180">
            <v>15</v>
          </cell>
          <cell r="AG180">
            <v>9222.0107399999997</v>
          </cell>
          <cell r="AH180">
            <v>120</v>
          </cell>
          <cell r="AI180">
            <v>2</v>
          </cell>
          <cell r="AJ180">
            <v>12</v>
          </cell>
          <cell r="AK180">
            <v>33.235000000000007</v>
          </cell>
          <cell r="AL180">
            <v>4.3200000000000002E-2</v>
          </cell>
          <cell r="AM180">
            <v>39.948732072720006</v>
          </cell>
          <cell r="AN180" t="str">
            <v>K884</v>
          </cell>
          <cell r="AO180">
            <v>1.5688</v>
          </cell>
          <cell r="AP180">
            <v>3.3235000000000006</v>
          </cell>
        </row>
        <row r="181">
          <cell r="C181">
            <v>96701006</v>
          </cell>
          <cell r="D181" t="str">
            <v>SEAG VDK LM 70 48/100 US</v>
          </cell>
          <cell r="E181" t="str">
            <v>FS05</v>
          </cell>
          <cell r="F181" t="str">
            <v>42HG01</v>
          </cell>
          <cell r="G181">
            <v>272.84000000000003</v>
          </cell>
          <cell r="H181" t="str">
            <v>100</v>
          </cell>
          <cell r="I181" t="str">
            <v>MR42H05</v>
          </cell>
          <cell r="J181" t="str">
            <v>48</v>
          </cell>
          <cell r="K181">
            <v>13096.320000000002</v>
          </cell>
          <cell r="L181">
            <v>0.5333</v>
          </cell>
          <cell r="M181">
            <v>145.50557200000003</v>
          </cell>
          <cell r="N181">
            <v>4</v>
          </cell>
          <cell r="O181">
            <v>1</v>
          </cell>
          <cell r="P181">
            <v>1</v>
          </cell>
          <cell r="Q181">
            <v>6</v>
          </cell>
          <cell r="R181">
            <v>137.08000000000001</v>
          </cell>
          <cell r="S181">
            <v>43.49</v>
          </cell>
          <cell r="T181">
            <v>18.84</v>
          </cell>
          <cell r="U181">
            <v>199.41000000000003</v>
          </cell>
          <cell r="V181">
            <v>250</v>
          </cell>
          <cell r="W181">
            <v>15000</v>
          </cell>
          <cell r="X181">
            <v>0.45</v>
          </cell>
          <cell r="Y181">
            <v>6750</v>
          </cell>
          <cell r="Z181" t="str">
            <v>48</v>
          </cell>
          <cell r="AA181">
            <v>140.625</v>
          </cell>
          <cell r="AB181">
            <v>7.11</v>
          </cell>
          <cell r="AC181">
            <v>1.4177999999999999</v>
          </cell>
          <cell r="AD181">
            <v>386.83255200000002</v>
          </cell>
          <cell r="AE181">
            <v>138330.16108689</v>
          </cell>
          <cell r="AF181">
            <v>15</v>
          </cell>
          <cell r="AG181">
            <v>9222.0107399999997</v>
          </cell>
          <cell r="AH181">
            <v>120</v>
          </cell>
          <cell r="AI181">
            <v>2</v>
          </cell>
          <cell r="AJ181">
            <v>12</v>
          </cell>
          <cell r="AK181">
            <v>33.235000000000007</v>
          </cell>
          <cell r="AL181">
            <v>4.3200000000000002E-2</v>
          </cell>
          <cell r="AM181">
            <v>11.786688000000002</v>
          </cell>
          <cell r="AN181" t="str">
            <v>K945</v>
          </cell>
          <cell r="AO181">
            <v>1.8263999999999998</v>
          </cell>
          <cell r="AP181">
            <v>3.3235000000000006</v>
          </cell>
        </row>
        <row r="182">
          <cell r="C182">
            <v>96701040</v>
          </cell>
          <cell r="D182" t="str">
            <v>SEAG VDK STRLMD 70 48/100 US</v>
          </cell>
          <cell r="E182" t="str">
            <v>FS05</v>
          </cell>
          <cell r="F182" t="str">
            <v>42HG01</v>
          </cell>
          <cell r="G182">
            <v>425</v>
          </cell>
          <cell r="H182" t="str">
            <v>100</v>
          </cell>
          <cell r="I182" t="str">
            <v>MR42H05-V</v>
          </cell>
          <cell r="J182" t="str">
            <v>48</v>
          </cell>
          <cell r="K182">
            <v>20400</v>
          </cell>
          <cell r="L182">
            <v>0.5333</v>
          </cell>
          <cell r="M182">
            <v>226.6525</v>
          </cell>
          <cell r="N182">
            <v>4</v>
          </cell>
          <cell r="O182">
            <v>1</v>
          </cell>
          <cell r="P182">
            <v>1</v>
          </cell>
          <cell r="Q182">
            <v>6</v>
          </cell>
          <cell r="R182">
            <v>137.08000000000001</v>
          </cell>
          <cell r="S182">
            <v>43.49</v>
          </cell>
          <cell r="T182">
            <v>18.84</v>
          </cell>
          <cell r="U182">
            <v>199.41000000000003</v>
          </cell>
          <cell r="V182">
            <v>250</v>
          </cell>
          <cell r="W182">
            <v>15000</v>
          </cell>
          <cell r="X182">
            <v>0.45</v>
          </cell>
          <cell r="Y182">
            <v>6750</v>
          </cell>
          <cell r="Z182" t="str">
            <v>48</v>
          </cell>
          <cell r="AA182">
            <v>140.625</v>
          </cell>
          <cell r="AB182">
            <v>7.11</v>
          </cell>
          <cell r="AC182">
            <v>1.4177999999999999</v>
          </cell>
          <cell r="AD182">
            <v>602.56499999999994</v>
          </cell>
          <cell r="AE182">
            <v>138330.16108689</v>
          </cell>
          <cell r="AF182">
            <v>15</v>
          </cell>
          <cell r="AG182">
            <v>9222.0107399999997</v>
          </cell>
          <cell r="AH182">
            <v>120</v>
          </cell>
          <cell r="AI182">
            <v>2</v>
          </cell>
          <cell r="AJ182">
            <v>12</v>
          </cell>
          <cell r="AK182">
            <v>33.235000000000007</v>
          </cell>
          <cell r="AL182">
            <v>4.3200000000000002E-2</v>
          </cell>
          <cell r="AM182">
            <v>18.36</v>
          </cell>
          <cell r="AN182" t="str">
            <v>K1014</v>
          </cell>
          <cell r="AO182">
            <v>1.6955999999999998</v>
          </cell>
          <cell r="AP182">
            <v>3.3235000000000006</v>
          </cell>
        </row>
        <row r="183">
          <cell r="C183">
            <v>96701050</v>
          </cell>
          <cell r="D183" t="str">
            <v>SEAG VDK MNGPNP 70 48/100 US</v>
          </cell>
          <cell r="E183" t="str">
            <v>FS05</v>
          </cell>
          <cell r="F183" t="str">
            <v>42HG01</v>
          </cell>
          <cell r="G183">
            <v>425</v>
          </cell>
          <cell r="H183" t="str">
            <v>100</v>
          </cell>
          <cell r="I183" t="str">
            <v>MR42H05-V</v>
          </cell>
          <cell r="J183" t="str">
            <v>48</v>
          </cell>
          <cell r="K183">
            <v>20400</v>
          </cell>
          <cell r="L183">
            <v>0.5333</v>
          </cell>
          <cell r="M183">
            <v>226.6525</v>
          </cell>
          <cell r="N183">
            <v>4</v>
          </cell>
          <cell r="O183">
            <v>1</v>
          </cell>
          <cell r="P183">
            <v>1</v>
          </cell>
          <cell r="Q183">
            <v>6</v>
          </cell>
          <cell r="R183">
            <v>137.08000000000001</v>
          </cell>
          <cell r="S183">
            <v>43.49</v>
          </cell>
          <cell r="T183">
            <v>18.84</v>
          </cell>
          <cell r="U183">
            <v>199.41000000000003</v>
          </cell>
          <cell r="V183">
            <v>250</v>
          </cell>
          <cell r="W183">
            <v>15000</v>
          </cell>
          <cell r="X183">
            <v>0.45</v>
          </cell>
          <cell r="Y183">
            <v>6750</v>
          </cell>
          <cell r="Z183" t="str">
            <v>48</v>
          </cell>
          <cell r="AA183">
            <v>140.625</v>
          </cell>
          <cell r="AB183">
            <v>7.11</v>
          </cell>
          <cell r="AC183">
            <v>1.4177999999999999</v>
          </cell>
          <cell r="AD183">
            <v>602.56499999999994</v>
          </cell>
          <cell r="AE183">
            <v>138330.16108689</v>
          </cell>
          <cell r="AF183">
            <v>15</v>
          </cell>
          <cell r="AG183">
            <v>9222.0107399999997</v>
          </cell>
          <cell r="AH183">
            <v>120</v>
          </cell>
          <cell r="AI183">
            <v>2</v>
          </cell>
          <cell r="AJ183">
            <v>12</v>
          </cell>
          <cell r="AK183">
            <v>33.235000000000007</v>
          </cell>
          <cell r="AL183">
            <v>4.3200000000000002E-2</v>
          </cell>
          <cell r="AM183">
            <v>18.36</v>
          </cell>
          <cell r="AN183" t="str">
            <v>K1013</v>
          </cell>
          <cell r="AO183">
            <v>1.6955999999999998</v>
          </cell>
          <cell r="AP183">
            <v>3.3235000000000006</v>
          </cell>
        </row>
        <row r="184">
          <cell r="C184">
            <v>96703001</v>
          </cell>
          <cell r="D184" t="str">
            <v>SEAG VDK APL 70 24/200 US</v>
          </cell>
          <cell r="E184" t="str">
            <v>FS05</v>
          </cell>
          <cell r="F184" t="str">
            <v>42EG01</v>
          </cell>
          <cell r="G184">
            <v>3639.8750100000002</v>
          </cell>
          <cell r="H184" t="str">
            <v>200</v>
          </cell>
          <cell r="I184" t="str">
            <v>MR42E05-HALF PACK</v>
          </cell>
          <cell r="J184" t="str">
            <v>24</v>
          </cell>
          <cell r="K184">
            <v>87357.000240000008</v>
          </cell>
          <cell r="L184">
            <v>0.5333</v>
          </cell>
          <cell r="M184">
            <v>1941.1453428330001</v>
          </cell>
          <cell r="N184">
            <v>4</v>
          </cell>
          <cell r="O184">
            <v>1</v>
          </cell>
          <cell r="P184">
            <v>1</v>
          </cell>
          <cell r="Q184">
            <v>6</v>
          </cell>
          <cell r="R184">
            <v>137.08000000000001</v>
          </cell>
          <cell r="S184">
            <v>43.49</v>
          </cell>
          <cell r="T184">
            <v>18.84</v>
          </cell>
          <cell r="U184">
            <v>199.41000000000003</v>
          </cell>
          <cell r="V184">
            <v>250</v>
          </cell>
          <cell r="W184">
            <v>15000</v>
          </cell>
          <cell r="X184">
            <v>0.45</v>
          </cell>
          <cell r="Y184">
            <v>6750</v>
          </cell>
          <cell r="Z184" t="str">
            <v>24</v>
          </cell>
          <cell r="AA184">
            <v>281.25</v>
          </cell>
          <cell r="AB184">
            <v>3.56</v>
          </cell>
          <cell r="AC184">
            <v>0.70989999999999998</v>
          </cell>
          <cell r="AD184">
            <v>2583.9472695990003</v>
          </cell>
          <cell r="AE184">
            <v>191540.93765112999</v>
          </cell>
          <cell r="AF184">
            <v>12</v>
          </cell>
          <cell r="AG184">
            <v>15961.7448</v>
          </cell>
          <cell r="AH184">
            <v>120</v>
          </cell>
          <cell r="AI184">
            <v>2</v>
          </cell>
          <cell r="AJ184">
            <v>12</v>
          </cell>
          <cell r="AK184">
            <v>33.235000000000007</v>
          </cell>
          <cell r="AL184">
            <v>2.5000000000000001E-2</v>
          </cell>
          <cell r="AM184">
            <v>90.996875250000016</v>
          </cell>
          <cell r="AN184" t="str">
            <v>K528</v>
          </cell>
          <cell r="AO184">
            <v>0.81709999999999994</v>
          </cell>
          <cell r="AP184">
            <v>3.3235000000000006</v>
          </cell>
        </row>
        <row r="185">
          <cell r="C185">
            <v>96703003</v>
          </cell>
          <cell r="D185" t="str">
            <v>SEAG VDK EXSM 80 24/200 US</v>
          </cell>
          <cell r="E185" t="str">
            <v>FS05</v>
          </cell>
          <cell r="F185" t="str">
            <v>42EG01</v>
          </cell>
          <cell r="G185">
            <v>116820.02622552001</v>
          </cell>
          <cell r="H185" t="str">
            <v>200</v>
          </cell>
          <cell r="I185" t="str">
            <v>MR42E05-HALF PACK</v>
          </cell>
          <cell r="J185" t="str">
            <v>24</v>
          </cell>
          <cell r="K185">
            <v>2803680.6294124802</v>
          </cell>
          <cell r="L185">
            <v>0.5333</v>
          </cell>
          <cell r="M185">
            <v>62300.119986069818</v>
          </cell>
          <cell r="N185">
            <v>4</v>
          </cell>
          <cell r="O185">
            <v>1</v>
          </cell>
          <cell r="P185">
            <v>1</v>
          </cell>
          <cell r="Q185">
            <v>6</v>
          </cell>
          <cell r="R185">
            <v>137.08000000000001</v>
          </cell>
          <cell r="S185">
            <v>43.49</v>
          </cell>
          <cell r="T185">
            <v>18.84</v>
          </cell>
          <cell r="U185">
            <v>199.41000000000003</v>
          </cell>
          <cell r="V185">
            <v>250</v>
          </cell>
          <cell r="W185">
            <v>15000</v>
          </cell>
          <cell r="X185">
            <v>0.45</v>
          </cell>
          <cell r="Y185">
            <v>6750</v>
          </cell>
          <cell r="Z185" t="str">
            <v>24</v>
          </cell>
          <cell r="AA185">
            <v>281.25</v>
          </cell>
          <cell r="AB185">
            <v>3.56</v>
          </cell>
          <cell r="AC185">
            <v>0.70989999999999998</v>
          </cell>
          <cell r="AD185">
            <v>82930.536617496648</v>
          </cell>
          <cell r="AE185">
            <v>191540.93765112999</v>
          </cell>
          <cell r="AF185">
            <v>12</v>
          </cell>
          <cell r="AG185">
            <v>15961.7448</v>
          </cell>
          <cell r="AH185">
            <v>120</v>
          </cell>
          <cell r="AI185">
            <v>2</v>
          </cell>
          <cell r="AJ185">
            <v>12</v>
          </cell>
          <cell r="AK185">
            <v>33.235000000000007</v>
          </cell>
          <cell r="AL185">
            <v>2.5000000000000001E-2</v>
          </cell>
          <cell r="AM185">
            <v>2920.5006556380004</v>
          </cell>
          <cell r="AN185" t="str">
            <v>K492</v>
          </cell>
          <cell r="AO185">
            <v>0.74509999999999998</v>
          </cell>
          <cell r="AP185">
            <v>3.3235000000000006</v>
          </cell>
        </row>
        <row r="186">
          <cell r="C186">
            <v>96703004</v>
          </cell>
          <cell r="D186" t="str">
            <v>SEAG VDK PLT 100 24/200 US</v>
          </cell>
          <cell r="E186" t="str">
            <v>FS05</v>
          </cell>
          <cell r="F186" t="str">
            <v>42EG01</v>
          </cell>
          <cell r="G186">
            <v>5642.2349949600002</v>
          </cell>
          <cell r="H186" t="str">
            <v>200</v>
          </cell>
          <cell r="I186" t="str">
            <v>MR42E05-HALF PACK</v>
          </cell>
          <cell r="J186" t="str">
            <v>24</v>
          </cell>
          <cell r="K186">
            <v>135413.63987904001</v>
          </cell>
          <cell r="L186">
            <v>0.5333</v>
          </cell>
          <cell r="M186">
            <v>3009.0039228121682</v>
          </cell>
          <cell r="N186">
            <v>4</v>
          </cell>
          <cell r="O186">
            <v>1</v>
          </cell>
          <cell r="P186">
            <v>1</v>
          </cell>
          <cell r="Q186">
            <v>6</v>
          </cell>
          <cell r="R186">
            <v>137.08000000000001</v>
          </cell>
          <cell r="S186">
            <v>43.49</v>
          </cell>
          <cell r="T186">
            <v>18.84</v>
          </cell>
          <cell r="U186">
            <v>199.41000000000003</v>
          </cell>
          <cell r="V186">
            <v>250</v>
          </cell>
          <cell r="W186">
            <v>15000</v>
          </cell>
          <cell r="X186">
            <v>0.45</v>
          </cell>
          <cell r="Y186">
            <v>6750</v>
          </cell>
          <cell r="Z186" t="str">
            <v>24</v>
          </cell>
          <cell r="AA186">
            <v>281.25</v>
          </cell>
          <cell r="AB186">
            <v>3.56</v>
          </cell>
          <cell r="AC186">
            <v>0.70989999999999998</v>
          </cell>
          <cell r="AD186">
            <v>4005.422622922104</v>
          </cell>
          <cell r="AE186">
            <v>191540.93765112999</v>
          </cell>
          <cell r="AF186">
            <v>12</v>
          </cell>
          <cell r="AG186">
            <v>15961.7448</v>
          </cell>
          <cell r="AH186">
            <v>120</v>
          </cell>
          <cell r="AI186">
            <v>2</v>
          </cell>
          <cell r="AJ186">
            <v>12</v>
          </cell>
          <cell r="AK186">
            <v>33.235000000000007</v>
          </cell>
          <cell r="AL186">
            <v>2.5000000000000001E-2</v>
          </cell>
          <cell r="AM186">
            <v>141.05587487400001</v>
          </cell>
          <cell r="AN186" t="str">
            <v>K493</v>
          </cell>
          <cell r="AO186">
            <v>0.7702</v>
          </cell>
          <cell r="AP186">
            <v>3.3235000000000006</v>
          </cell>
        </row>
        <row r="187">
          <cell r="C187">
            <v>96703005</v>
          </cell>
          <cell r="D187" t="str">
            <v>SEAG VDK PINAPL 70 24/200 US</v>
          </cell>
          <cell r="E187" t="str">
            <v>FS05</v>
          </cell>
          <cell r="F187" t="str">
            <v>42EG01</v>
          </cell>
          <cell r="G187">
            <v>1599.4791641999998</v>
          </cell>
          <cell r="H187" t="str">
            <v>200</v>
          </cell>
          <cell r="I187" t="str">
            <v>MR42E05-HALF PACK-V</v>
          </cell>
          <cell r="J187" t="str">
            <v>24</v>
          </cell>
          <cell r="K187">
            <v>38387.499940799993</v>
          </cell>
          <cell r="L187">
            <v>0.5333</v>
          </cell>
          <cell r="M187">
            <v>853.00223826785987</v>
          </cell>
          <cell r="N187">
            <v>4</v>
          </cell>
          <cell r="O187">
            <v>1</v>
          </cell>
          <cell r="P187">
            <v>1</v>
          </cell>
          <cell r="Q187">
            <v>6</v>
          </cell>
          <cell r="R187">
            <v>137.08000000000001</v>
          </cell>
          <cell r="S187">
            <v>43.49</v>
          </cell>
          <cell r="T187">
            <v>18.84</v>
          </cell>
          <cell r="U187">
            <v>199.41000000000003</v>
          </cell>
          <cell r="V187">
            <v>250</v>
          </cell>
          <cell r="W187">
            <v>15000</v>
          </cell>
          <cell r="X187">
            <v>0.45</v>
          </cell>
          <cell r="Y187">
            <v>6750</v>
          </cell>
          <cell r="Z187" t="str">
            <v>24</v>
          </cell>
          <cell r="AA187">
            <v>281.25</v>
          </cell>
          <cell r="AB187">
            <v>3.56</v>
          </cell>
          <cell r="AC187">
            <v>0.70989999999999998</v>
          </cell>
          <cell r="AD187">
            <v>1135.4702586655799</v>
          </cell>
          <cell r="AE187">
            <v>191540.93765112999</v>
          </cell>
          <cell r="AF187">
            <v>12</v>
          </cell>
          <cell r="AG187">
            <v>15961.7448</v>
          </cell>
          <cell r="AH187">
            <v>120</v>
          </cell>
          <cell r="AI187">
            <v>2</v>
          </cell>
          <cell r="AJ187">
            <v>12</v>
          </cell>
          <cell r="AK187">
            <v>33.235000000000007</v>
          </cell>
          <cell r="AL187">
            <v>2.5000000000000001E-2</v>
          </cell>
          <cell r="AM187">
            <v>39.986979104999996</v>
          </cell>
          <cell r="AN187" t="str">
            <v>K923</v>
          </cell>
          <cell r="AO187">
            <v>0.79720000000000002</v>
          </cell>
          <cell r="AP187">
            <v>3.3235000000000006</v>
          </cell>
        </row>
        <row r="188">
          <cell r="C188">
            <v>96703006</v>
          </cell>
          <cell r="D188" t="str">
            <v>SEAG VDK JCYWTRML 70 24/200 US</v>
          </cell>
          <cell r="E188" t="str">
            <v>FS05</v>
          </cell>
          <cell r="F188" t="str">
            <v>42EG01</v>
          </cell>
          <cell r="G188">
            <v>3554.8212590899998</v>
          </cell>
          <cell r="H188" t="str">
            <v>200</v>
          </cell>
          <cell r="I188" t="str">
            <v>MR42E05-HALF PACK</v>
          </cell>
          <cell r="J188" t="str">
            <v>24</v>
          </cell>
          <cell r="K188">
            <v>85315.710218159991</v>
          </cell>
          <cell r="L188">
            <v>0.5333</v>
          </cell>
          <cell r="M188">
            <v>1895.7861774726969</v>
          </cell>
          <cell r="N188">
            <v>4</v>
          </cell>
          <cell r="O188">
            <v>1</v>
          </cell>
          <cell r="P188">
            <v>1</v>
          </cell>
          <cell r="Q188">
            <v>6</v>
          </cell>
          <cell r="R188">
            <v>137.08000000000001</v>
          </cell>
          <cell r="S188">
            <v>43.49</v>
          </cell>
          <cell r="T188">
            <v>18.84</v>
          </cell>
          <cell r="U188">
            <v>199.41000000000003</v>
          </cell>
          <cell r="V188">
            <v>250</v>
          </cell>
          <cell r="W188">
            <v>15000</v>
          </cell>
          <cell r="X188">
            <v>0.45</v>
          </cell>
          <cell r="Y188">
            <v>6750</v>
          </cell>
          <cell r="Z188" t="str">
            <v>24</v>
          </cell>
          <cell r="AA188">
            <v>281.25</v>
          </cell>
          <cell r="AB188">
            <v>3.56</v>
          </cell>
          <cell r="AC188">
            <v>0.70989999999999998</v>
          </cell>
          <cell r="AD188">
            <v>2523.5676118279907</v>
          </cell>
          <cell r="AE188">
            <v>191540.93765112999</v>
          </cell>
          <cell r="AF188">
            <v>12</v>
          </cell>
          <cell r="AG188">
            <v>15961.7448</v>
          </cell>
          <cell r="AH188">
            <v>120</v>
          </cell>
          <cell r="AI188">
            <v>2</v>
          </cell>
          <cell r="AJ188">
            <v>12</v>
          </cell>
          <cell r="AK188">
            <v>33.235000000000007</v>
          </cell>
          <cell r="AL188">
            <v>2.5000000000000001E-2</v>
          </cell>
          <cell r="AM188">
            <v>88.870531477249997</v>
          </cell>
          <cell r="AN188" t="str">
            <v>K884</v>
          </cell>
          <cell r="AO188">
            <v>0.79100000000000004</v>
          </cell>
          <cell r="AP188">
            <v>3.3235000000000006</v>
          </cell>
        </row>
        <row r="189">
          <cell r="C189">
            <v>96703007</v>
          </cell>
          <cell r="D189" t="str">
            <v>SEAG VDK LM 70 24/200 US</v>
          </cell>
          <cell r="E189" t="str">
            <v>FS05</v>
          </cell>
          <cell r="F189" t="str">
            <v>42EG01</v>
          </cell>
          <cell r="G189">
            <v>666.80000000000007</v>
          </cell>
          <cell r="H189" t="str">
            <v>200</v>
          </cell>
          <cell r="I189" t="str">
            <v>MR42E05-HALF PACK</v>
          </cell>
          <cell r="J189" t="str">
            <v>24</v>
          </cell>
          <cell r="K189">
            <v>16003.2</v>
          </cell>
          <cell r="L189">
            <v>0.5333</v>
          </cell>
          <cell r="M189">
            <v>355.60444000000001</v>
          </cell>
          <cell r="N189">
            <v>4</v>
          </cell>
          <cell r="O189">
            <v>1</v>
          </cell>
          <cell r="P189">
            <v>1</v>
          </cell>
          <cell r="Q189">
            <v>6</v>
          </cell>
          <cell r="R189">
            <v>137.08000000000001</v>
          </cell>
          <cell r="S189">
            <v>43.49</v>
          </cell>
          <cell r="T189">
            <v>18.84</v>
          </cell>
          <cell r="U189">
            <v>199.41000000000003</v>
          </cell>
          <cell r="V189">
            <v>250</v>
          </cell>
          <cell r="W189">
            <v>15000</v>
          </cell>
          <cell r="X189">
            <v>0.45</v>
          </cell>
          <cell r="Y189">
            <v>6750</v>
          </cell>
          <cell r="Z189" t="str">
            <v>24</v>
          </cell>
          <cell r="AA189">
            <v>281.25</v>
          </cell>
          <cell r="AB189">
            <v>3.56</v>
          </cell>
          <cell r="AC189">
            <v>0.70989999999999998</v>
          </cell>
          <cell r="AD189">
            <v>473.36132000000003</v>
          </cell>
          <cell r="AE189">
            <v>191540.93765112999</v>
          </cell>
          <cell r="AF189">
            <v>12</v>
          </cell>
          <cell r="AG189">
            <v>15961.7448</v>
          </cell>
          <cell r="AH189">
            <v>120</v>
          </cell>
          <cell r="AI189">
            <v>2</v>
          </cell>
          <cell r="AJ189">
            <v>12</v>
          </cell>
          <cell r="AK189">
            <v>33.235000000000007</v>
          </cell>
          <cell r="AL189">
            <v>2.5000000000000001E-2</v>
          </cell>
          <cell r="AM189">
            <v>16.670000000000002</v>
          </cell>
          <cell r="AN189" t="str">
            <v>K945</v>
          </cell>
          <cell r="AO189">
            <v>0.88439999999999996</v>
          </cell>
          <cell r="AP189">
            <v>3.3235000000000006</v>
          </cell>
        </row>
        <row r="190">
          <cell r="C190">
            <v>96703008</v>
          </cell>
          <cell r="D190" t="str">
            <v>SEAG VDK PCH 70 24/200 US</v>
          </cell>
          <cell r="E190" t="str">
            <v>FS05</v>
          </cell>
          <cell r="F190" t="str">
            <v>42EG01</v>
          </cell>
          <cell r="G190">
            <v>4775.7599973599999</v>
          </cell>
          <cell r="H190" t="str">
            <v>200</v>
          </cell>
          <cell r="I190" t="str">
            <v>MR42E05-HALF PACK-V</v>
          </cell>
          <cell r="J190" t="str">
            <v>24</v>
          </cell>
          <cell r="K190">
            <v>114618.23993663999</v>
          </cell>
          <cell r="L190">
            <v>0.5333</v>
          </cell>
          <cell r="M190">
            <v>2546.9128065920881</v>
          </cell>
          <cell r="N190">
            <v>4</v>
          </cell>
          <cell r="O190">
            <v>1</v>
          </cell>
          <cell r="P190">
            <v>1</v>
          </cell>
          <cell r="Q190">
            <v>6</v>
          </cell>
          <cell r="R190">
            <v>137.08000000000001</v>
          </cell>
          <cell r="S190">
            <v>43.49</v>
          </cell>
          <cell r="T190">
            <v>18.84</v>
          </cell>
          <cell r="U190">
            <v>199.41000000000003</v>
          </cell>
          <cell r="V190">
            <v>250</v>
          </cell>
          <cell r="W190">
            <v>15000</v>
          </cell>
          <cell r="X190">
            <v>0.45</v>
          </cell>
          <cell r="Y190">
            <v>6750</v>
          </cell>
          <cell r="Z190" t="str">
            <v>24</v>
          </cell>
          <cell r="AA190">
            <v>281.25</v>
          </cell>
          <cell r="AB190">
            <v>3.56</v>
          </cell>
          <cell r="AC190">
            <v>0.70989999999999998</v>
          </cell>
          <cell r="AD190">
            <v>3390.3120221258637</v>
          </cell>
          <cell r="AE190">
            <v>191540.93765112999</v>
          </cell>
          <cell r="AF190">
            <v>12</v>
          </cell>
          <cell r="AG190">
            <v>15961.7448</v>
          </cell>
          <cell r="AH190">
            <v>120</v>
          </cell>
          <cell r="AI190">
            <v>2</v>
          </cell>
          <cell r="AJ190">
            <v>12</v>
          </cell>
          <cell r="AK190">
            <v>33.235000000000007</v>
          </cell>
          <cell r="AL190">
            <v>2.5000000000000001E-2</v>
          </cell>
          <cell r="AM190">
            <v>119.39399993400001</v>
          </cell>
          <cell r="AN190" t="str">
            <v>K781</v>
          </cell>
          <cell r="AO190">
            <v>0.77669999999999995</v>
          </cell>
          <cell r="AP190">
            <v>3.3235000000000006</v>
          </cell>
        </row>
        <row r="191">
          <cell r="C191">
            <v>96703040</v>
          </cell>
          <cell r="D191" t="str">
            <v>SEAG VDK STRLMD 70 24/200 US</v>
          </cell>
          <cell r="E191" t="str">
            <v>FS05</v>
          </cell>
          <cell r="F191" t="str">
            <v>09EG01</v>
          </cell>
          <cell r="G191">
            <v>1550</v>
          </cell>
          <cell r="H191" t="str">
            <v>200</v>
          </cell>
          <cell r="I191" t="str">
            <v>MR42E05-HALF PACK-V</v>
          </cell>
          <cell r="J191" t="str">
            <v>24</v>
          </cell>
          <cell r="K191">
            <v>37200</v>
          </cell>
          <cell r="L191">
            <v>0.5333</v>
          </cell>
          <cell r="M191">
            <v>826.61500000000001</v>
          </cell>
          <cell r="N191">
            <v>4</v>
          </cell>
          <cell r="O191">
            <v>1</v>
          </cell>
          <cell r="P191">
            <v>1</v>
          </cell>
          <cell r="Q191">
            <v>6</v>
          </cell>
          <cell r="R191">
            <v>137.08000000000001</v>
          </cell>
          <cell r="S191">
            <v>43.49</v>
          </cell>
          <cell r="T191">
            <v>18.84</v>
          </cell>
          <cell r="U191">
            <v>199.41000000000003</v>
          </cell>
          <cell r="V191">
            <v>250</v>
          </cell>
          <cell r="W191">
            <v>15000</v>
          </cell>
          <cell r="X191">
            <v>0.45</v>
          </cell>
          <cell r="Y191">
            <v>6750</v>
          </cell>
          <cell r="Z191" t="str">
            <v>24</v>
          </cell>
          <cell r="AA191">
            <v>281.25</v>
          </cell>
          <cell r="AB191">
            <v>3.56</v>
          </cell>
          <cell r="AC191">
            <v>0.70989999999999998</v>
          </cell>
          <cell r="AD191">
            <v>1100.345</v>
          </cell>
          <cell r="AE191">
            <v>13023.099999999999</v>
          </cell>
          <cell r="AF191">
            <v>3.25</v>
          </cell>
          <cell r="AG191">
            <v>4007.1076899999998</v>
          </cell>
          <cell r="AH191">
            <v>120</v>
          </cell>
          <cell r="AI191">
            <v>2</v>
          </cell>
          <cell r="AJ191">
            <v>12</v>
          </cell>
          <cell r="AK191">
            <v>33.235000000000007</v>
          </cell>
          <cell r="AL191">
            <v>9.9500000000000005E-2</v>
          </cell>
          <cell r="AM191">
            <v>154.22499999999999</v>
          </cell>
          <cell r="AN191" t="str">
            <v>K1014</v>
          </cell>
          <cell r="AO191">
            <v>0.87370000000000003</v>
          </cell>
          <cell r="AP191">
            <v>3.3235000000000006</v>
          </cell>
        </row>
        <row r="192">
          <cell r="C192">
            <v>96703050</v>
          </cell>
          <cell r="D192" t="str">
            <v>SEAG VDK MNGPNP 70 24/200 US</v>
          </cell>
          <cell r="E192" t="str">
            <v>FS05</v>
          </cell>
          <cell r="F192" t="str">
            <v>09EG01</v>
          </cell>
          <cell r="G192">
            <v>1550</v>
          </cell>
          <cell r="H192" t="str">
            <v>200</v>
          </cell>
          <cell r="I192" t="str">
            <v>MR42E05-HALF PACK-V</v>
          </cell>
          <cell r="J192" t="str">
            <v>24</v>
          </cell>
          <cell r="K192">
            <v>37200</v>
          </cell>
          <cell r="L192">
            <v>0.5333</v>
          </cell>
          <cell r="M192">
            <v>826.61500000000001</v>
          </cell>
          <cell r="N192">
            <v>4</v>
          </cell>
          <cell r="O192">
            <v>1</v>
          </cell>
          <cell r="P192">
            <v>1</v>
          </cell>
          <cell r="Q192">
            <v>6</v>
          </cell>
          <cell r="R192">
            <v>137.08000000000001</v>
          </cell>
          <cell r="S192">
            <v>43.49</v>
          </cell>
          <cell r="T192">
            <v>18.84</v>
          </cell>
          <cell r="U192">
            <v>199.41000000000003</v>
          </cell>
          <cell r="V192">
            <v>250</v>
          </cell>
          <cell r="W192">
            <v>15000</v>
          </cell>
          <cell r="X192">
            <v>0.45</v>
          </cell>
          <cell r="Y192">
            <v>6750</v>
          </cell>
          <cell r="Z192" t="str">
            <v>24</v>
          </cell>
          <cell r="AA192">
            <v>281.25</v>
          </cell>
          <cell r="AB192">
            <v>3.56</v>
          </cell>
          <cell r="AC192">
            <v>0.70989999999999998</v>
          </cell>
          <cell r="AD192">
            <v>1100.345</v>
          </cell>
          <cell r="AE192">
            <v>13023.099999999999</v>
          </cell>
          <cell r="AF192">
            <v>3.25</v>
          </cell>
          <cell r="AG192">
            <v>4007.1076899999998</v>
          </cell>
          <cell r="AH192">
            <v>120</v>
          </cell>
          <cell r="AI192">
            <v>2</v>
          </cell>
          <cell r="AJ192">
            <v>12</v>
          </cell>
          <cell r="AK192">
            <v>33.235000000000007</v>
          </cell>
          <cell r="AL192">
            <v>9.9500000000000005E-2</v>
          </cell>
          <cell r="AM192">
            <v>154.22499999999999</v>
          </cell>
          <cell r="AN192" t="str">
            <v>K1013</v>
          </cell>
          <cell r="AO192">
            <v>0.87370000000000003</v>
          </cell>
          <cell r="AP192">
            <v>3.3235000000000006</v>
          </cell>
        </row>
        <row r="193">
          <cell r="C193">
            <v>96705001</v>
          </cell>
          <cell r="D193" t="str">
            <v>SEAG VDK APL 70 12/375 US</v>
          </cell>
          <cell r="E193" t="str">
            <v>FS04</v>
          </cell>
          <cell r="F193" t="str">
            <v>42GG01</v>
          </cell>
          <cell r="G193">
            <v>6905.8333410000005</v>
          </cell>
          <cell r="H193" t="str">
            <v>375</v>
          </cell>
          <cell r="I193" t="str">
            <v>MR42G04-HALF PACK</v>
          </cell>
          <cell r="J193" t="str">
            <v>12</v>
          </cell>
          <cell r="K193">
            <v>82870.000092000002</v>
          </cell>
          <cell r="L193">
            <v>0.5</v>
          </cell>
          <cell r="M193">
            <v>3452.9166705000002</v>
          </cell>
          <cell r="N193">
            <v>4</v>
          </cell>
          <cell r="O193">
            <v>1</v>
          </cell>
          <cell r="P193">
            <v>1</v>
          </cell>
          <cell r="Q193">
            <v>6</v>
          </cell>
          <cell r="R193">
            <v>137.08000000000001</v>
          </cell>
          <cell r="S193">
            <v>43.49</v>
          </cell>
          <cell r="T193">
            <v>18.84</v>
          </cell>
          <cell r="U193">
            <v>199.41000000000003</v>
          </cell>
          <cell r="V193">
            <v>185</v>
          </cell>
          <cell r="W193">
            <v>11100</v>
          </cell>
          <cell r="X193">
            <v>0.45</v>
          </cell>
          <cell r="Y193">
            <v>4995</v>
          </cell>
          <cell r="Z193" t="str">
            <v>12</v>
          </cell>
          <cell r="AA193">
            <v>416.25</v>
          </cell>
          <cell r="AB193">
            <v>2.4</v>
          </cell>
          <cell r="AC193">
            <v>0.47860000000000003</v>
          </cell>
          <cell r="AD193">
            <v>3305.1318370026006</v>
          </cell>
          <cell r="AE193">
            <v>379933.98423121998</v>
          </cell>
          <cell r="AF193">
            <v>21</v>
          </cell>
          <cell r="AG193">
            <v>18092.094489999999</v>
          </cell>
          <cell r="AH193">
            <v>120</v>
          </cell>
          <cell r="AI193">
            <v>2</v>
          </cell>
          <cell r="AJ193">
            <v>12</v>
          </cell>
          <cell r="AK193">
            <v>33.235000000000007</v>
          </cell>
          <cell r="AL193">
            <v>2.1999999999999999E-2</v>
          </cell>
          <cell r="AM193">
            <v>151.92833350200002</v>
          </cell>
          <cell r="AN193" t="str">
            <v>K528</v>
          </cell>
          <cell r="AO193">
            <v>0.54390000000000005</v>
          </cell>
          <cell r="AP193">
            <v>3.3235000000000006</v>
          </cell>
        </row>
        <row r="194">
          <cell r="C194">
            <v>96705002</v>
          </cell>
          <cell r="D194" t="str">
            <v>SEAG VDK EXSM 80 12/375 US</v>
          </cell>
          <cell r="E194" t="str">
            <v>FS04</v>
          </cell>
          <cell r="F194" t="str">
            <v>42GG01</v>
          </cell>
          <cell r="G194">
            <v>216906.74054604</v>
          </cell>
          <cell r="H194" t="str">
            <v>375</v>
          </cell>
          <cell r="I194" t="str">
            <v>MR42G04-HALF PACK</v>
          </cell>
          <cell r="J194" t="str">
            <v>12</v>
          </cell>
          <cell r="K194">
            <v>2602880.88655248</v>
          </cell>
          <cell r="L194">
            <v>0.5</v>
          </cell>
          <cell r="M194">
            <v>108453.37027302</v>
          </cell>
          <cell r="N194">
            <v>4</v>
          </cell>
          <cell r="O194">
            <v>1</v>
          </cell>
          <cell r="P194">
            <v>1</v>
          </cell>
          <cell r="Q194">
            <v>6</v>
          </cell>
          <cell r="R194">
            <v>137.08000000000001</v>
          </cell>
          <cell r="S194">
            <v>43.49</v>
          </cell>
          <cell r="T194">
            <v>18.84</v>
          </cell>
          <cell r="U194">
            <v>199.41000000000003</v>
          </cell>
          <cell r="V194">
            <v>185</v>
          </cell>
          <cell r="W194">
            <v>11100</v>
          </cell>
          <cell r="X194">
            <v>0.45</v>
          </cell>
          <cell r="Y194">
            <v>4995</v>
          </cell>
          <cell r="Z194" t="str">
            <v>12</v>
          </cell>
          <cell r="AA194">
            <v>416.25</v>
          </cell>
          <cell r="AB194">
            <v>2.4</v>
          </cell>
          <cell r="AC194">
            <v>0.47860000000000003</v>
          </cell>
          <cell r="AD194">
            <v>103811.56602533475</v>
          </cell>
          <cell r="AE194">
            <v>379933.98423121998</v>
          </cell>
          <cell r="AF194">
            <v>21</v>
          </cell>
          <cell r="AG194">
            <v>18092.094489999999</v>
          </cell>
          <cell r="AH194">
            <v>120</v>
          </cell>
          <cell r="AI194">
            <v>2</v>
          </cell>
          <cell r="AJ194">
            <v>12</v>
          </cell>
          <cell r="AK194">
            <v>33.235000000000007</v>
          </cell>
          <cell r="AL194">
            <v>2.1999999999999999E-2</v>
          </cell>
          <cell r="AM194">
            <v>4771.9482920128794</v>
          </cell>
          <cell r="AN194" t="str">
            <v>K492</v>
          </cell>
          <cell r="AO194">
            <v>0.50609999999999999</v>
          </cell>
          <cell r="AP194">
            <v>3.3235000000000006</v>
          </cell>
        </row>
        <row r="195">
          <cell r="C195">
            <v>96705004</v>
          </cell>
          <cell r="D195" t="str">
            <v>SEAG VDK PLT 100 12/375 US</v>
          </cell>
          <cell r="E195" t="str">
            <v>FS04</v>
          </cell>
          <cell r="F195" t="str">
            <v>42GG01</v>
          </cell>
          <cell r="G195">
            <v>15695.100017280001</v>
          </cell>
          <cell r="H195" t="str">
            <v>375</v>
          </cell>
          <cell r="I195" t="str">
            <v>MR42G04-HALF PACK</v>
          </cell>
          <cell r="J195" t="str">
            <v>12</v>
          </cell>
          <cell r="K195">
            <v>188341.20020736003</v>
          </cell>
          <cell r="L195">
            <v>0.5</v>
          </cell>
          <cell r="M195">
            <v>7847.5500086400007</v>
          </cell>
          <cell r="N195">
            <v>4</v>
          </cell>
          <cell r="O195">
            <v>1</v>
          </cell>
          <cell r="P195">
            <v>1</v>
          </cell>
          <cell r="Q195">
            <v>6</v>
          </cell>
          <cell r="R195">
            <v>137.08000000000001</v>
          </cell>
          <cell r="S195">
            <v>43.49</v>
          </cell>
          <cell r="T195">
            <v>18.84</v>
          </cell>
          <cell r="U195">
            <v>199.41000000000003</v>
          </cell>
          <cell r="V195">
            <v>185</v>
          </cell>
          <cell r="W195">
            <v>11100</v>
          </cell>
          <cell r="X195">
            <v>0.45</v>
          </cell>
          <cell r="Y195">
            <v>4995</v>
          </cell>
          <cell r="Z195" t="str">
            <v>12</v>
          </cell>
          <cell r="AA195">
            <v>416.25</v>
          </cell>
          <cell r="AB195">
            <v>2.4</v>
          </cell>
          <cell r="AC195">
            <v>0.47860000000000003</v>
          </cell>
          <cell r="AD195">
            <v>7511.6748682702091</v>
          </cell>
          <cell r="AE195">
            <v>379933.98423121998</v>
          </cell>
          <cell r="AF195">
            <v>21</v>
          </cell>
          <cell r="AG195">
            <v>18092.094489999999</v>
          </cell>
          <cell r="AH195">
            <v>120</v>
          </cell>
          <cell r="AI195">
            <v>2</v>
          </cell>
          <cell r="AJ195">
            <v>12</v>
          </cell>
          <cell r="AK195">
            <v>33.235000000000007</v>
          </cell>
          <cell r="AL195">
            <v>2.1999999999999999E-2</v>
          </cell>
          <cell r="AM195">
            <v>345.29220038016001</v>
          </cell>
          <cell r="AN195" t="str">
            <v>K493</v>
          </cell>
          <cell r="AO195">
            <v>0.52600000000000002</v>
          </cell>
          <cell r="AP195">
            <v>3.3235000000000006</v>
          </cell>
        </row>
        <row r="196">
          <cell r="C196">
            <v>96705005</v>
          </cell>
          <cell r="D196" t="str">
            <v>SEAG VDK PINAPL 70 12/375 US</v>
          </cell>
          <cell r="E196" t="str">
            <v>FS04</v>
          </cell>
          <cell r="F196" t="str">
            <v>42GG01</v>
          </cell>
          <cell r="G196">
            <v>3959.6783313600004</v>
          </cell>
          <cell r="H196" t="str">
            <v>375</v>
          </cell>
          <cell r="I196" t="str">
            <v>MR42G04-HALF PACK-V</v>
          </cell>
          <cell r="J196" t="str">
            <v>12</v>
          </cell>
          <cell r="K196">
            <v>47516.139976320002</v>
          </cell>
          <cell r="L196">
            <v>0.5</v>
          </cell>
          <cell r="M196">
            <v>1979.8391656800002</v>
          </cell>
          <cell r="N196">
            <v>4</v>
          </cell>
          <cell r="O196">
            <v>1</v>
          </cell>
          <cell r="P196">
            <v>1</v>
          </cell>
          <cell r="Q196">
            <v>6</v>
          </cell>
          <cell r="R196">
            <v>137.08000000000001</v>
          </cell>
          <cell r="S196">
            <v>43.49</v>
          </cell>
          <cell r="T196">
            <v>18.84</v>
          </cell>
          <cell r="U196">
            <v>199.41000000000003</v>
          </cell>
          <cell r="V196">
            <v>185</v>
          </cell>
          <cell r="W196">
            <v>11100</v>
          </cell>
          <cell r="X196">
            <v>0.45</v>
          </cell>
          <cell r="Y196">
            <v>4995</v>
          </cell>
          <cell r="Z196" t="str">
            <v>12</v>
          </cell>
          <cell r="AA196">
            <v>416.25</v>
          </cell>
          <cell r="AB196">
            <v>2.4</v>
          </cell>
          <cell r="AC196">
            <v>0.47860000000000003</v>
          </cell>
          <cell r="AD196">
            <v>1895.1020493888964</v>
          </cell>
          <cell r="AE196">
            <v>379933.98423121998</v>
          </cell>
          <cell r="AF196">
            <v>21</v>
          </cell>
          <cell r="AG196">
            <v>18092.094489999999</v>
          </cell>
          <cell r="AH196">
            <v>120</v>
          </cell>
          <cell r="AI196">
            <v>2</v>
          </cell>
          <cell r="AJ196">
            <v>12</v>
          </cell>
          <cell r="AK196">
            <v>33.235000000000007</v>
          </cell>
          <cell r="AL196">
            <v>2.1999999999999999E-2</v>
          </cell>
          <cell r="AM196">
            <v>87.112923289920005</v>
          </cell>
          <cell r="AN196" t="str">
            <v>K923</v>
          </cell>
          <cell r="AO196">
            <v>0.55100000000000005</v>
          </cell>
          <cell r="AP196">
            <v>3.3235000000000006</v>
          </cell>
        </row>
        <row r="197">
          <cell r="C197">
            <v>96705006</v>
          </cell>
          <cell r="D197" t="str">
            <v>SEAG VDK JCYWTRML 70 12/375 US</v>
          </cell>
          <cell r="E197" t="str">
            <v>FS04</v>
          </cell>
          <cell r="F197" t="str">
            <v>42GG01</v>
          </cell>
          <cell r="G197">
            <v>8169.5533407399998</v>
          </cell>
          <cell r="H197" t="str">
            <v>375</v>
          </cell>
          <cell r="I197" t="str">
            <v>MR42G04-HALF PACK</v>
          </cell>
          <cell r="J197" t="str">
            <v>12</v>
          </cell>
          <cell r="K197">
            <v>98034.640088879998</v>
          </cell>
          <cell r="L197">
            <v>0.5</v>
          </cell>
          <cell r="M197">
            <v>4084.7766703699999</v>
          </cell>
          <cell r="N197">
            <v>4</v>
          </cell>
          <cell r="O197">
            <v>1</v>
          </cell>
          <cell r="P197">
            <v>1</v>
          </cell>
          <cell r="Q197">
            <v>6</v>
          </cell>
          <cell r="R197">
            <v>137.08000000000001</v>
          </cell>
          <cell r="S197">
            <v>43.49</v>
          </cell>
          <cell r="T197">
            <v>18.84</v>
          </cell>
          <cell r="U197">
            <v>199.41000000000003</v>
          </cell>
          <cell r="V197">
            <v>185</v>
          </cell>
          <cell r="W197">
            <v>11100</v>
          </cell>
          <cell r="X197">
            <v>0.45</v>
          </cell>
          <cell r="Y197">
            <v>4995</v>
          </cell>
          <cell r="Z197" t="str">
            <v>12</v>
          </cell>
          <cell r="AA197">
            <v>416.25</v>
          </cell>
          <cell r="AB197">
            <v>2.4</v>
          </cell>
          <cell r="AC197">
            <v>0.47860000000000003</v>
          </cell>
          <cell r="AD197">
            <v>3909.9482288781642</v>
          </cell>
          <cell r="AE197">
            <v>379933.98423121998</v>
          </cell>
          <cell r="AF197">
            <v>21</v>
          </cell>
          <cell r="AG197">
            <v>18092.094489999999</v>
          </cell>
          <cell r="AH197">
            <v>120</v>
          </cell>
          <cell r="AI197">
            <v>2</v>
          </cell>
          <cell r="AJ197">
            <v>12</v>
          </cell>
          <cell r="AK197">
            <v>33.235000000000007</v>
          </cell>
          <cell r="AL197">
            <v>2.1999999999999999E-2</v>
          </cell>
          <cell r="AM197">
            <v>179.73017349627997</v>
          </cell>
          <cell r="AN197" t="str">
            <v>K884</v>
          </cell>
          <cell r="AO197">
            <v>0.52500000000000002</v>
          </cell>
          <cell r="AP197">
            <v>3.3235000000000006</v>
          </cell>
        </row>
        <row r="198">
          <cell r="C198">
            <v>96705007</v>
          </cell>
          <cell r="D198" t="str">
            <v>SEAG VDK LM 70 12/375 US</v>
          </cell>
          <cell r="E198" t="str">
            <v>FS04</v>
          </cell>
          <cell r="F198" t="str">
            <v>42GG01</v>
          </cell>
          <cell r="G198">
            <v>1035.1466662400001</v>
          </cell>
          <cell r="H198" t="str">
            <v>375</v>
          </cell>
          <cell r="I198" t="str">
            <v>MR42G04-HALF PACK</v>
          </cell>
          <cell r="J198" t="str">
            <v>12</v>
          </cell>
          <cell r="K198">
            <v>12421.759994880002</v>
          </cell>
          <cell r="L198">
            <v>0.5</v>
          </cell>
          <cell r="M198">
            <v>517.57333312000003</v>
          </cell>
          <cell r="N198">
            <v>4</v>
          </cell>
          <cell r="O198">
            <v>1</v>
          </cell>
          <cell r="P198">
            <v>1</v>
          </cell>
          <cell r="Q198">
            <v>6</v>
          </cell>
          <cell r="R198">
            <v>137.08000000000001</v>
          </cell>
          <cell r="S198">
            <v>43.49</v>
          </cell>
          <cell r="T198">
            <v>18.84</v>
          </cell>
          <cell r="U198">
            <v>199.41000000000003</v>
          </cell>
          <cell r="V198">
            <v>185</v>
          </cell>
          <cell r="W198">
            <v>11100</v>
          </cell>
          <cell r="X198">
            <v>0.45</v>
          </cell>
          <cell r="Y198">
            <v>4995</v>
          </cell>
          <cell r="Z198" t="str">
            <v>12</v>
          </cell>
          <cell r="AA198">
            <v>416.25</v>
          </cell>
          <cell r="AB198">
            <v>2.4</v>
          </cell>
          <cell r="AC198">
            <v>0.47860000000000003</v>
          </cell>
          <cell r="AD198">
            <v>495.42119446246403</v>
          </cell>
          <cell r="AE198">
            <v>379933.98423121998</v>
          </cell>
          <cell r="AF198">
            <v>21</v>
          </cell>
          <cell r="AG198">
            <v>18092.094489999999</v>
          </cell>
          <cell r="AH198">
            <v>120</v>
          </cell>
          <cell r="AI198">
            <v>2</v>
          </cell>
          <cell r="AJ198">
            <v>12</v>
          </cell>
          <cell r="AK198">
            <v>33.235000000000007</v>
          </cell>
          <cell r="AL198">
            <v>2.1999999999999999E-2</v>
          </cell>
          <cell r="AM198">
            <v>22.773226657279999</v>
          </cell>
          <cell r="AN198" t="str">
            <v>K945</v>
          </cell>
          <cell r="AO198">
            <v>0.59689999999999999</v>
          </cell>
          <cell r="AP198">
            <v>3.3235000000000006</v>
          </cell>
        </row>
        <row r="199">
          <cell r="C199">
            <v>96705008</v>
          </cell>
          <cell r="D199" t="str">
            <v>SEAG VDK PCH 70 12/375 US</v>
          </cell>
          <cell r="E199" t="str">
            <v>FS04</v>
          </cell>
          <cell r="F199" t="str">
            <v>42GG01</v>
          </cell>
          <cell r="G199">
            <v>6935.49998856</v>
          </cell>
          <cell r="H199" t="str">
            <v>375</v>
          </cell>
          <cell r="I199" t="str">
            <v>MR42G04-HALF PACK</v>
          </cell>
          <cell r="J199" t="str">
            <v>12</v>
          </cell>
          <cell r="K199">
            <v>83225.999862719997</v>
          </cell>
          <cell r="L199">
            <v>0.5</v>
          </cell>
          <cell r="M199">
            <v>3467.74999428</v>
          </cell>
          <cell r="N199">
            <v>4</v>
          </cell>
          <cell r="O199">
            <v>1</v>
          </cell>
          <cell r="P199">
            <v>1</v>
          </cell>
          <cell r="Q199">
            <v>6</v>
          </cell>
          <cell r="R199">
            <v>137.08000000000001</v>
          </cell>
          <cell r="S199">
            <v>43.49</v>
          </cell>
          <cell r="T199">
            <v>18.84</v>
          </cell>
          <cell r="U199">
            <v>199.41000000000003</v>
          </cell>
          <cell r="V199">
            <v>185</v>
          </cell>
          <cell r="W199">
            <v>11100</v>
          </cell>
          <cell r="X199">
            <v>0.45</v>
          </cell>
          <cell r="Y199">
            <v>4995</v>
          </cell>
          <cell r="Z199" t="str">
            <v>12</v>
          </cell>
          <cell r="AA199">
            <v>416.25</v>
          </cell>
          <cell r="AB199">
            <v>2.4</v>
          </cell>
          <cell r="AC199">
            <v>0.47860000000000003</v>
          </cell>
          <cell r="AD199">
            <v>3319.3302945248161</v>
          </cell>
          <cell r="AE199">
            <v>379933.98423121998</v>
          </cell>
          <cell r="AF199">
            <v>21</v>
          </cell>
          <cell r="AG199">
            <v>18092.094489999999</v>
          </cell>
          <cell r="AH199">
            <v>120</v>
          </cell>
          <cell r="AI199">
            <v>2</v>
          </cell>
          <cell r="AJ199">
            <v>12</v>
          </cell>
          <cell r="AK199">
            <v>33.235000000000007</v>
          </cell>
          <cell r="AL199">
            <v>2.1999999999999999E-2</v>
          </cell>
          <cell r="AM199">
            <v>152.58099974831998</v>
          </cell>
          <cell r="AN199" t="str">
            <v>K781</v>
          </cell>
          <cell r="AO199">
            <v>0.52940000000000009</v>
          </cell>
          <cell r="AP199">
            <v>3.3235000000000006</v>
          </cell>
        </row>
        <row r="200">
          <cell r="C200">
            <v>96705040</v>
          </cell>
          <cell r="D200" t="str">
            <v>SEAG VDK STRLMD 70 12/375 US</v>
          </cell>
          <cell r="E200" t="str">
            <v>FS04</v>
          </cell>
          <cell r="F200" t="str">
            <v>42GG01</v>
          </cell>
          <cell r="G200">
            <v>3870</v>
          </cell>
          <cell r="H200" t="str">
            <v>375</v>
          </cell>
          <cell r="I200" t="str">
            <v>MR42G04-HALF PACK-V</v>
          </cell>
          <cell r="J200" t="str">
            <v>12</v>
          </cell>
          <cell r="K200">
            <v>46440</v>
          </cell>
          <cell r="L200">
            <v>0.5</v>
          </cell>
          <cell r="M200">
            <v>1935</v>
          </cell>
          <cell r="N200">
            <v>4</v>
          </cell>
          <cell r="O200">
            <v>1</v>
          </cell>
          <cell r="P200">
            <v>1</v>
          </cell>
          <cell r="Q200">
            <v>6</v>
          </cell>
          <cell r="R200">
            <v>137.08000000000001</v>
          </cell>
          <cell r="S200">
            <v>43.49</v>
          </cell>
          <cell r="T200">
            <v>18.84</v>
          </cell>
          <cell r="U200">
            <v>199.41000000000003</v>
          </cell>
          <cell r="V200">
            <v>185</v>
          </cell>
          <cell r="W200">
            <v>11100</v>
          </cell>
          <cell r="X200">
            <v>0.45</v>
          </cell>
          <cell r="Y200">
            <v>4995</v>
          </cell>
          <cell r="Z200" t="str">
            <v>12</v>
          </cell>
          <cell r="AA200">
            <v>416.25</v>
          </cell>
          <cell r="AB200">
            <v>2.4</v>
          </cell>
          <cell r="AC200">
            <v>0.47860000000000003</v>
          </cell>
          <cell r="AD200">
            <v>1852.182</v>
          </cell>
          <cell r="AE200">
            <v>379933.98423121998</v>
          </cell>
          <cell r="AF200">
            <v>21</v>
          </cell>
          <cell r="AG200">
            <v>18092.094489999999</v>
          </cell>
          <cell r="AH200">
            <v>120</v>
          </cell>
          <cell r="AI200">
            <v>2</v>
          </cell>
          <cell r="AJ200">
            <v>12</v>
          </cell>
          <cell r="AK200">
            <v>33.235000000000007</v>
          </cell>
          <cell r="AL200">
            <v>2.1999999999999999E-2</v>
          </cell>
          <cell r="AM200">
            <v>85.14</v>
          </cell>
          <cell r="AN200" t="str">
            <v>K1014</v>
          </cell>
          <cell r="AO200">
            <v>0.55210000000000004</v>
          </cell>
          <cell r="AP200">
            <v>3.3235000000000006</v>
          </cell>
        </row>
        <row r="201">
          <cell r="C201">
            <v>96705050</v>
          </cell>
          <cell r="D201" t="str">
            <v>SEAG VDK MNGPNP 70 12/375 US</v>
          </cell>
          <cell r="E201" t="str">
            <v>FS04</v>
          </cell>
          <cell r="F201" t="str">
            <v>42GG01</v>
          </cell>
          <cell r="G201">
            <v>3870</v>
          </cell>
          <cell r="H201" t="str">
            <v>375</v>
          </cell>
          <cell r="I201" t="str">
            <v>MR42G04-HALF PACK-V</v>
          </cell>
          <cell r="J201" t="str">
            <v>12</v>
          </cell>
          <cell r="K201">
            <v>46440</v>
          </cell>
          <cell r="L201">
            <v>0.5</v>
          </cell>
          <cell r="M201">
            <v>1935</v>
          </cell>
          <cell r="N201">
            <v>4</v>
          </cell>
          <cell r="O201">
            <v>1</v>
          </cell>
          <cell r="P201">
            <v>1</v>
          </cell>
          <cell r="Q201">
            <v>6</v>
          </cell>
          <cell r="R201">
            <v>137.08000000000001</v>
          </cell>
          <cell r="S201">
            <v>43.49</v>
          </cell>
          <cell r="T201">
            <v>18.84</v>
          </cell>
          <cell r="U201">
            <v>199.41000000000003</v>
          </cell>
          <cell r="V201">
            <v>185</v>
          </cell>
          <cell r="W201">
            <v>11100</v>
          </cell>
          <cell r="X201">
            <v>0.45</v>
          </cell>
          <cell r="Y201">
            <v>4995</v>
          </cell>
          <cell r="Z201" t="str">
            <v>12</v>
          </cell>
          <cell r="AA201">
            <v>416.25</v>
          </cell>
          <cell r="AB201">
            <v>2.4</v>
          </cell>
          <cell r="AC201">
            <v>0.47860000000000003</v>
          </cell>
          <cell r="AD201">
            <v>1852.182</v>
          </cell>
          <cell r="AE201">
            <v>379933.98423121998</v>
          </cell>
          <cell r="AF201">
            <v>21</v>
          </cell>
          <cell r="AG201">
            <v>18092.094489999999</v>
          </cell>
          <cell r="AH201">
            <v>120</v>
          </cell>
          <cell r="AI201">
            <v>2</v>
          </cell>
          <cell r="AJ201">
            <v>12</v>
          </cell>
          <cell r="AK201">
            <v>33.235000000000007</v>
          </cell>
          <cell r="AL201">
            <v>2.1999999999999999E-2</v>
          </cell>
          <cell r="AM201">
            <v>85.14</v>
          </cell>
          <cell r="AN201" t="str">
            <v>K1013</v>
          </cell>
          <cell r="AO201">
            <v>0.55210000000000004</v>
          </cell>
          <cell r="AP201">
            <v>3.3235000000000006</v>
          </cell>
        </row>
        <row r="202">
          <cell r="C202">
            <v>96708001</v>
          </cell>
          <cell r="D202" t="str">
            <v>SEAG APL VDK 70 12/750 US</v>
          </cell>
          <cell r="E202" t="str">
            <v>FS01</v>
          </cell>
          <cell r="F202" t="str">
            <v>42CG01</v>
          </cell>
          <cell r="G202">
            <v>3527.5833259999999</v>
          </cell>
          <cell r="H202" t="str">
            <v>750</v>
          </cell>
          <cell r="I202" t="str">
            <v>MR42C01</v>
          </cell>
          <cell r="J202" t="str">
            <v>12</v>
          </cell>
          <cell r="K202">
            <v>42330.999911999999</v>
          </cell>
          <cell r="L202">
            <v>1</v>
          </cell>
          <cell r="M202">
            <v>3527.5833259999999</v>
          </cell>
          <cell r="N202">
            <v>4</v>
          </cell>
          <cell r="O202">
            <v>1</v>
          </cell>
          <cell r="P202">
            <v>0</v>
          </cell>
          <cell r="Q202">
            <v>5</v>
          </cell>
          <cell r="R202">
            <v>137.08000000000001</v>
          </cell>
          <cell r="S202">
            <v>43.49</v>
          </cell>
          <cell r="T202">
            <v>0</v>
          </cell>
          <cell r="U202">
            <v>180.57000000000002</v>
          </cell>
          <cell r="V202">
            <v>165</v>
          </cell>
          <cell r="W202">
            <v>9900</v>
          </cell>
          <cell r="X202">
            <v>0.51</v>
          </cell>
          <cell r="Y202">
            <v>5049</v>
          </cell>
          <cell r="Z202" t="str">
            <v>12</v>
          </cell>
          <cell r="AA202">
            <v>420.75</v>
          </cell>
          <cell r="AB202">
            <v>2.38</v>
          </cell>
          <cell r="AC202">
            <v>0.42980000000000002</v>
          </cell>
          <cell r="AD202">
            <v>1516.1553135148001</v>
          </cell>
          <cell r="AE202">
            <v>444313.4545310181</v>
          </cell>
          <cell r="AF202">
            <v>15</v>
          </cell>
          <cell r="AG202">
            <v>29620.896970000002</v>
          </cell>
          <cell r="AH202">
            <v>120</v>
          </cell>
          <cell r="AI202">
            <v>2</v>
          </cell>
          <cell r="AJ202">
            <v>10</v>
          </cell>
          <cell r="AK202">
            <v>36.114000000000004</v>
          </cell>
          <cell r="AL202">
            <v>1.2200000000000001E-2</v>
          </cell>
          <cell r="AM202">
            <v>43.036516577200004</v>
          </cell>
          <cell r="AN202" t="str">
            <v>K528</v>
          </cell>
          <cell r="AO202">
            <v>0.51880000000000004</v>
          </cell>
          <cell r="AP202">
            <v>3.0095000000000005</v>
          </cell>
        </row>
        <row r="203">
          <cell r="C203">
            <v>96708002</v>
          </cell>
          <cell r="D203" t="str">
            <v>SEAG VDK EXSM 80 12/750 US</v>
          </cell>
          <cell r="E203" t="str">
            <v>FS01</v>
          </cell>
          <cell r="F203" t="str">
            <v>42CG01</v>
          </cell>
          <cell r="G203">
            <v>136553.35727980803</v>
          </cell>
          <cell r="H203" t="str">
            <v>750</v>
          </cell>
          <cell r="I203" t="str">
            <v>MR42C01-V</v>
          </cell>
          <cell r="J203" t="str">
            <v>12</v>
          </cell>
          <cell r="K203">
            <v>1638640.2873576963</v>
          </cell>
          <cell r="L203">
            <v>1</v>
          </cell>
          <cell r="M203">
            <v>136553.35727980803</v>
          </cell>
          <cell r="N203">
            <v>4</v>
          </cell>
          <cell r="O203">
            <v>1</v>
          </cell>
          <cell r="P203">
            <v>0</v>
          </cell>
          <cell r="Q203">
            <v>5</v>
          </cell>
          <cell r="R203">
            <v>137.08000000000001</v>
          </cell>
          <cell r="S203">
            <v>43.49</v>
          </cell>
          <cell r="T203">
            <v>0</v>
          </cell>
          <cell r="U203">
            <v>180.57000000000002</v>
          </cell>
          <cell r="V203">
            <v>165</v>
          </cell>
          <cell r="W203">
            <v>9900</v>
          </cell>
          <cell r="X203">
            <v>0.55000000000000004</v>
          </cell>
          <cell r="Y203">
            <v>5445</v>
          </cell>
          <cell r="Z203" t="str">
            <v>12</v>
          </cell>
          <cell r="AA203">
            <v>453.75</v>
          </cell>
          <cell r="AB203">
            <v>2.2000000000000002</v>
          </cell>
          <cell r="AC203">
            <v>0.39729999999999999</v>
          </cell>
          <cell r="AD203">
            <v>54252.64884726773</v>
          </cell>
          <cell r="AE203">
            <v>444313.4545310181</v>
          </cell>
          <cell r="AF203">
            <v>15</v>
          </cell>
          <cell r="AG203">
            <v>29620.896970000002</v>
          </cell>
          <cell r="AH203">
            <v>120</v>
          </cell>
          <cell r="AI203">
            <v>2</v>
          </cell>
          <cell r="AJ203">
            <v>10</v>
          </cell>
          <cell r="AK203">
            <v>36.114000000000004</v>
          </cell>
          <cell r="AL203">
            <v>1.2200000000000001E-2</v>
          </cell>
          <cell r="AM203">
            <v>1665.950958813658</v>
          </cell>
          <cell r="AN203" t="str">
            <v>K492</v>
          </cell>
          <cell r="AO203">
            <v>0.41739999999999999</v>
          </cell>
          <cell r="AP203">
            <v>3.0095000000000005</v>
          </cell>
        </row>
        <row r="204">
          <cell r="C204">
            <v>96708003</v>
          </cell>
          <cell r="D204" t="str">
            <v>SEAG VDK EXSM 80 12/750 PT US</v>
          </cell>
          <cell r="E204" t="str">
            <v>FS01</v>
          </cell>
          <cell r="F204" t="str">
            <v>42CP01</v>
          </cell>
          <cell r="G204">
            <v>53104.083386592014</v>
          </cell>
          <cell r="H204" t="str">
            <v>750</v>
          </cell>
          <cell r="I204" t="str">
            <v>MR42C01-PET</v>
          </cell>
          <cell r="J204" t="str">
            <v>12</v>
          </cell>
          <cell r="K204">
            <v>637249.00063910417</v>
          </cell>
          <cell r="L204">
            <v>1</v>
          </cell>
          <cell r="M204">
            <v>53104.083386592014</v>
          </cell>
          <cell r="N204">
            <v>4</v>
          </cell>
          <cell r="O204">
            <v>1</v>
          </cell>
          <cell r="P204">
            <v>3</v>
          </cell>
          <cell r="Q204">
            <v>8</v>
          </cell>
          <cell r="R204">
            <v>137.08000000000001</v>
          </cell>
          <cell r="S204">
            <v>43.49</v>
          </cell>
          <cell r="T204">
            <v>56.519999999999996</v>
          </cell>
          <cell r="U204">
            <v>237.09000000000003</v>
          </cell>
          <cell r="V204">
            <v>70</v>
          </cell>
          <cell r="W204">
            <v>4200</v>
          </cell>
          <cell r="X204">
            <v>0.6</v>
          </cell>
          <cell r="Y204">
            <v>2520</v>
          </cell>
          <cell r="Z204" t="str">
            <v>12</v>
          </cell>
          <cell r="AA204">
            <v>210</v>
          </cell>
          <cell r="AB204">
            <v>4.76</v>
          </cell>
          <cell r="AC204">
            <v>1.1285000000000001</v>
          </cell>
          <cell r="AD204">
            <v>59927.958101769094</v>
          </cell>
          <cell r="AE204">
            <v>110746.77938659201</v>
          </cell>
          <cell r="AF204">
            <v>9</v>
          </cell>
          <cell r="AG204">
            <v>12305.19771</v>
          </cell>
          <cell r="AH204">
            <v>120</v>
          </cell>
          <cell r="AI204">
            <v>2</v>
          </cell>
          <cell r="AJ204">
            <v>16</v>
          </cell>
          <cell r="AK204">
            <v>29.636250000000004</v>
          </cell>
          <cell r="AL204">
            <v>3.85E-2</v>
          </cell>
          <cell r="AM204">
            <v>2044.5072103837924</v>
          </cell>
          <cell r="AN204" t="str">
            <v>K492</v>
          </cell>
          <cell r="AO204">
            <v>1.1826000000000001</v>
          </cell>
          <cell r="AP204">
            <v>3.9515000000000007</v>
          </cell>
        </row>
        <row r="205">
          <cell r="C205">
            <v>96708004</v>
          </cell>
          <cell r="D205" t="str">
            <v>SEAG VDK PLT 100 12/750 US</v>
          </cell>
          <cell r="E205" t="str">
            <v>FS01</v>
          </cell>
          <cell r="F205" t="str">
            <v>42CG01</v>
          </cell>
          <cell r="G205">
            <v>15867.990014760002</v>
          </cell>
          <cell r="H205" t="str">
            <v>750</v>
          </cell>
          <cell r="I205" t="str">
            <v>MR42C01</v>
          </cell>
          <cell r="J205" t="str">
            <v>12</v>
          </cell>
          <cell r="K205">
            <v>190415.88017712004</v>
          </cell>
          <cell r="L205">
            <v>1</v>
          </cell>
          <cell r="M205">
            <v>15867.990014760002</v>
          </cell>
          <cell r="N205">
            <v>4</v>
          </cell>
          <cell r="O205">
            <v>1</v>
          </cell>
          <cell r="P205">
            <v>0</v>
          </cell>
          <cell r="Q205">
            <v>5</v>
          </cell>
          <cell r="R205">
            <v>137.08000000000001</v>
          </cell>
          <cell r="S205">
            <v>43.49</v>
          </cell>
          <cell r="T205">
            <v>0</v>
          </cell>
          <cell r="U205">
            <v>180.57000000000002</v>
          </cell>
          <cell r="V205">
            <v>165</v>
          </cell>
          <cell r="W205">
            <v>9900</v>
          </cell>
          <cell r="X205">
            <v>0.51</v>
          </cell>
          <cell r="Y205">
            <v>5049</v>
          </cell>
          <cell r="Z205" t="str">
            <v>12</v>
          </cell>
          <cell r="AA205">
            <v>420.75</v>
          </cell>
          <cell r="AB205">
            <v>2.38</v>
          </cell>
          <cell r="AC205">
            <v>0.42980000000000002</v>
          </cell>
          <cell r="AD205">
            <v>6820.0621083438491</v>
          </cell>
          <cell r="AE205">
            <v>444313.4545310181</v>
          </cell>
          <cell r="AF205">
            <v>15</v>
          </cell>
          <cell r="AG205">
            <v>29620.896970000002</v>
          </cell>
          <cell r="AH205">
            <v>120</v>
          </cell>
          <cell r="AI205">
            <v>2</v>
          </cell>
          <cell r="AJ205">
            <v>10</v>
          </cell>
          <cell r="AK205">
            <v>36.114000000000004</v>
          </cell>
          <cell r="AL205">
            <v>1.2200000000000001E-2</v>
          </cell>
          <cell r="AM205">
            <v>193.58947818007204</v>
          </cell>
          <cell r="AN205" t="str">
            <v>K493</v>
          </cell>
          <cell r="AO205">
            <v>0.46479999999999999</v>
          </cell>
          <cell r="AP205">
            <v>3.0095000000000005</v>
          </cell>
        </row>
        <row r="206">
          <cell r="C206">
            <v>96708005</v>
          </cell>
          <cell r="D206" t="str">
            <v>SEAG VDK PINAPL 70 12/750 US</v>
          </cell>
          <cell r="E206" t="str">
            <v>FS01</v>
          </cell>
          <cell r="F206" t="str">
            <v>42CG01</v>
          </cell>
          <cell r="G206">
            <v>2978.9316486600001</v>
          </cell>
          <cell r="H206" t="str">
            <v>750</v>
          </cell>
          <cell r="I206" t="str">
            <v>MR42C01</v>
          </cell>
          <cell r="J206" t="str">
            <v>12</v>
          </cell>
          <cell r="K206">
            <v>35747.179783920001</v>
          </cell>
          <cell r="L206">
            <v>1</v>
          </cell>
          <cell r="M206">
            <v>2978.9316486600001</v>
          </cell>
          <cell r="N206">
            <v>4</v>
          </cell>
          <cell r="O206">
            <v>1</v>
          </cell>
          <cell r="P206">
            <v>0</v>
          </cell>
          <cell r="Q206">
            <v>5</v>
          </cell>
          <cell r="R206">
            <v>137.08000000000001</v>
          </cell>
          <cell r="S206">
            <v>43.49</v>
          </cell>
          <cell r="T206">
            <v>0</v>
          </cell>
          <cell r="U206">
            <v>180.57000000000002</v>
          </cell>
          <cell r="V206">
            <v>165</v>
          </cell>
          <cell r="W206">
            <v>9900</v>
          </cell>
          <cell r="X206">
            <v>0.51</v>
          </cell>
          <cell r="Y206">
            <v>5049</v>
          </cell>
          <cell r="Z206" t="str">
            <v>12</v>
          </cell>
          <cell r="AA206">
            <v>420.75</v>
          </cell>
          <cell r="AB206">
            <v>2.38</v>
          </cell>
          <cell r="AC206">
            <v>0.42980000000000002</v>
          </cell>
          <cell r="AD206">
            <v>1280.3448225940681</v>
          </cell>
          <cell r="AE206">
            <v>444313.4545310181</v>
          </cell>
          <cell r="AF206">
            <v>15</v>
          </cell>
          <cell r="AG206">
            <v>29620.896970000002</v>
          </cell>
          <cell r="AH206">
            <v>120</v>
          </cell>
          <cell r="AI206">
            <v>2</v>
          </cell>
          <cell r="AJ206">
            <v>10</v>
          </cell>
          <cell r="AK206">
            <v>36.114000000000004</v>
          </cell>
          <cell r="AL206">
            <v>1.2200000000000001E-2</v>
          </cell>
          <cell r="AM206">
            <v>36.342966113652004</v>
          </cell>
          <cell r="AN206" t="str">
            <v>K923</v>
          </cell>
          <cell r="AO206">
            <v>0.50260000000000005</v>
          </cell>
          <cell r="AP206">
            <v>3.0095000000000005</v>
          </cell>
        </row>
        <row r="207">
          <cell r="C207">
            <v>96708006</v>
          </cell>
          <cell r="D207" t="str">
            <v>SEAG VDK SWTEA 70 12/750 US</v>
          </cell>
          <cell r="E207" t="str">
            <v>FS01</v>
          </cell>
          <cell r="F207" t="str">
            <v>42CG01</v>
          </cell>
          <cell r="G207">
            <v>4088.3633122699998</v>
          </cell>
          <cell r="H207" t="str">
            <v>750</v>
          </cell>
          <cell r="I207" t="str">
            <v>MR42C01</v>
          </cell>
          <cell r="J207" t="str">
            <v>12</v>
          </cell>
          <cell r="K207">
            <v>49060.35974724</v>
          </cell>
          <cell r="L207">
            <v>1</v>
          </cell>
          <cell r="M207">
            <v>4088.3633122699998</v>
          </cell>
          <cell r="N207">
            <v>4</v>
          </cell>
          <cell r="O207">
            <v>1</v>
          </cell>
          <cell r="P207">
            <v>0</v>
          </cell>
          <cell r="Q207">
            <v>5</v>
          </cell>
          <cell r="R207">
            <v>137.08000000000001</v>
          </cell>
          <cell r="S207">
            <v>43.49</v>
          </cell>
          <cell r="T207">
            <v>0</v>
          </cell>
          <cell r="U207">
            <v>180.57000000000002</v>
          </cell>
          <cell r="V207">
            <v>165</v>
          </cell>
          <cell r="W207">
            <v>9900</v>
          </cell>
          <cell r="X207">
            <v>0.51</v>
          </cell>
          <cell r="Y207">
            <v>5049</v>
          </cell>
          <cell r="Z207" t="str">
            <v>12</v>
          </cell>
          <cell r="AA207">
            <v>420.75</v>
          </cell>
          <cell r="AB207">
            <v>2.38</v>
          </cell>
          <cell r="AC207">
            <v>0.42980000000000002</v>
          </cell>
          <cell r="AD207">
            <v>1757.1785516136461</v>
          </cell>
          <cell r="AE207">
            <v>444313.4545310181</v>
          </cell>
          <cell r="AF207">
            <v>15</v>
          </cell>
          <cell r="AG207">
            <v>29620.896970000002</v>
          </cell>
          <cell r="AH207">
            <v>120</v>
          </cell>
          <cell r="AI207">
            <v>2</v>
          </cell>
          <cell r="AJ207">
            <v>10</v>
          </cell>
          <cell r="AK207">
            <v>36.114000000000004</v>
          </cell>
          <cell r="AL207">
            <v>1.2200000000000001E-2</v>
          </cell>
          <cell r="AM207">
            <v>49.878032409694001</v>
          </cell>
          <cell r="AN207" t="str">
            <v>K967</v>
          </cell>
          <cell r="AO207">
            <v>0.48620000000000002</v>
          </cell>
          <cell r="AP207">
            <v>3.0095000000000005</v>
          </cell>
        </row>
        <row r="208">
          <cell r="C208">
            <v>96708007</v>
          </cell>
          <cell r="D208" t="str">
            <v>SEAG VDK JCYWTRML 70 12/750 US</v>
          </cell>
          <cell r="E208" t="str">
            <v>FS01</v>
          </cell>
          <cell r="F208" t="str">
            <v>42CG01</v>
          </cell>
          <cell r="G208">
            <v>7843.8283225600007</v>
          </cell>
          <cell r="H208" t="str">
            <v>750</v>
          </cell>
          <cell r="I208" t="str">
            <v>MR42C01</v>
          </cell>
          <cell r="J208" t="str">
            <v>12</v>
          </cell>
          <cell r="K208">
            <v>94125.939870720002</v>
          </cell>
          <cell r="L208">
            <v>1</v>
          </cell>
          <cell r="M208">
            <v>7843.8283225600007</v>
          </cell>
          <cell r="N208">
            <v>4</v>
          </cell>
          <cell r="O208">
            <v>1</v>
          </cell>
          <cell r="P208">
            <v>0</v>
          </cell>
          <cell r="Q208">
            <v>5</v>
          </cell>
          <cell r="R208">
            <v>137.08000000000001</v>
          </cell>
          <cell r="S208">
            <v>43.49</v>
          </cell>
          <cell r="T208">
            <v>0</v>
          </cell>
          <cell r="U208">
            <v>180.57000000000002</v>
          </cell>
          <cell r="V208">
            <v>165</v>
          </cell>
          <cell r="W208">
            <v>9900</v>
          </cell>
          <cell r="X208">
            <v>0.51</v>
          </cell>
          <cell r="Y208">
            <v>5049</v>
          </cell>
          <cell r="Z208" t="str">
            <v>12</v>
          </cell>
          <cell r="AA208">
            <v>420.75</v>
          </cell>
          <cell r="AB208">
            <v>2.38</v>
          </cell>
          <cell r="AC208">
            <v>0.42980000000000002</v>
          </cell>
          <cell r="AD208">
            <v>3371.2774130362886</v>
          </cell>
          <cell r="AE208">
            <v>444313.4545310181</v>
          </cell>
          <cell r="AF208">
            <v>15</v>
          </cell>
          <cell r="AG208">
            <v>29620.896970000002</v>
          </cell>
          <cell r="AH208">
            <v>120</v>
          </cell>
          <cell r="AI208">
            <v>2</v>
          </cell>
          <cell r="AJ208">
            <v>10</v>
          </cell>
          <cell r="AK208">
            <v>36.114000000000004</v>
          </cell>
          <cell r="AL208">
            <v>1.2200000000000001E-2</v>
          </cell>
          <cell r="AM208">
            <v>95.694705535232018</v>
          </cell>
          <cell r="AN208" t="str">
            <v>K884</v>
          </cell>
          <cell r="AO208">
            <v>0.46500000000000002</v>
          </cell>
          <cell r="AP208">
            <v>3.0095000000000005</v>
          </cell>
        </row>
        <row r="209">
          <cell r="C209">
            <v>96708008</v>
          </cell>
          <cell r="D209" t="str">
            <v>SEAG VDK LM 70 12/750 US</v>
          </cell>
          <cell r="E209" t="str">
            <v>FS01</v>
          </cell>
          <cell r="F209" t="str">
            <v>42CG01</v>
          </cell>
          <cell r="G209">
            <v>1775.3062956799999</v>
          </cell>
          <cell r="H209" t="str">
            <v>750</v>
          </cell>
          <cell r="I209" t="str">
            <v>MR42C01</v>
          </cell>
          <cell r="J209" t="str">
            <v>12</v>
          </cell>
          <cell r="K209">
            <v>21303.675548159998</v>
          </cell>
          <cell r="L209">
            <v>1</v>
          </cell>
          <cell r="M209">
            <v>1775.3062956799999</v>
          </cell>
          <cell r="N209">
            <v>4</v>
          </cell>
          <cell r="O209">
            <v>1</v>
          </cell>
          <cell r="P209">
            <v>0</v>
          </cell>
          <cell r="Q209">
            <v>5</v>
          </cell>
          <cell r="R209">
            <v>137.08000000000001</v>
          </cell>
          <cell r="S209">
            <v>43.49</v>
          </cell>
          <cell r="T209">
            <v>0</v>
          </cell>
          <cell r="U209">
            <v>180.57000000000002</v>
          </cell>
          <cell r="V209">
            <v>165</v>
          </cell>
          <cell r="W209">
            <v>9900</v>
          </cell>
          <cell r="X209">
            <v>0.51</v>
          </cell>
          <cell r="Y209">
            <v>5049</v>
          </cell>
          <cell r="Z209" t="str">
            <v>12</v>
          </cell>
          <cell r="AA209">
            <v>420.75</v>
          </cell>
          <cell r="AB209">
            <v>2.38</v>
          </cell>
          <cell r="AC209">
            <v>0.42980000000000002</v>
          </cell>
          <cell r="AD209">
            <v>763.026645883264</v>
          </cell>
          <cell r="AE209">
            <v>444313.4545310181</v>
          </cell>
          <cell r="AF209">
            <v>15</v>
          </cell>
          <cell r="AG209">
            <v>29620.896970000002</v>
          </cell>
          <cell r="AH209">
            <v>120</v>
          </cell>
          <cell r="AI209">
            <v>2</v>
          </cell>
          <cell r="AJ209">
            <v>10</v>
          </cell>
          <cell r="AK209">
            <v>36.114000000000004</v>
          </cell>
          <cell r="AL209">
            <v>1.2200000000000001E-2</v>
          </cell>
          <cell r="AM209">
            <v>21.658736807296002</v>
          </cell>
          <cell r="AN209" t="str">
            <v>K945</v>
          </cell>
          <cell r="AO209">
            <v>0.4929</v>
          </cell>
          <cell r="AP209">
            <v>3.0095000000000005</v>
          </cell>
        </row>
        <row r="210">
          <cell r="C210">
            <v>96708011</v>
          </cell>
          <cell r="D210" t="str">
            <v>SEAG VDK PCH 70 12/750 US</v>
          </cell>
          <cell r="E210" t="str">
            <v>FS01</v>
          </cell>
          <cell r="F210" t="str">
            <v>42CG01</v>
          </cell>
          <cell r="G210">
            <v>5730.8533312800009</v>
          </cell>
          <cell r="H210" t="str">
            <v>750</v>
          </cell>
          <cell r="I210" t="str">
            <v>MR42C01</v>
          </cell>
          <cell r="J210" t="str">
            <v>12</v>
          </cell>
          <cell r="K210">
            <v>68770.239975360018</v>
          </cell>
          <cell r="L210">
            <v>1</v>
          </cell>
          <cell r="M210">
            <v>5730.8533312800009</v>
          </cell>
          <cell r="N210">
            <v>4</v>
          </cell>
          <cell r="O210">
            <v>1</v>
          </cell>
          <cell r="P210">
            <v>0</v>
          </cell>
          <cell r="Q210">
            <v>5</v>
          </cell>
          <cell r="R210">
            <v>137.08000000000001</v>
          </cell>
          <cell r="S210">
            <v>43.49</v>
          </cell>
          <cell r="T210">
            <v>0</v>
          </cell>
          <cell r="U210">
            <v>180.57000000000002</v>
          </cell>
          <cell r="V210">
            <v>165</v>
          </cell>
          <cell r="W210">
            <v>9900</v>
          </cell>
          <cell r="X210">
            <v>0.51</v>
          </cell>
          <cell r="Y210">
            <v>5049</v>
          </cell>
          <cell r="Z210" t="str">
            <v>12</v>
          </cell>
          <cell r="AA210">
            <v>420.75</v>
          </cell>
          <cell r="AB210">
            <v>2.38</v>
          </cell>
          <cell r="AC210">
            <v>0.42980000000000002</v>
          </cell>
          <cell r="AD210">
            <v>2463.1207617841446</v>
          </cell>
          <cell r="AE210">
            <v>444313.4545310181</v>
          </cell>
          <cell r="AF210">
            <v>15</v>
          </cell>
          <cell r="AG210">
            <v>29620.896970000002</v>
          </cell>
          <cell r="AH210">
            <v>120</v>
          </cell>
          <cell r="AI210">
            <v>2</v>
          </cell>
          <cell r="AJ210">
            <v>10</v>
          </cell>
          <cell r="AK210">
            <v>36.114000000000004</v>
          </cell>
          <cell r="AL210">
            <v>1.2200000000000001E-2</v>
          </cell>
          <cell r="AM210">
            <v>69.916410641616011</v>
          </cell>
          <cell r="AN210" t="str">
            <v>K781</v>
          </cell>
          <cell r="AO210">
            <v>0.47350000000000003</v>
          </cell>
          <cell r="AP210">
            <v>3.0095000000000005</v>
          </cell>
        </row>
        <row r="211">
          <cell r="C211">
            <v>96708040</v>
          </cell>
          <cell r="D211" t="str">
            <v>SEAG VDK STRLMD 70 12/750PT US</v>
          </cell>
          <cell r="E211" t="str">
            <v>FS01</v>
          </cell>
          <cell r="F211" t="str">
            <v>42CP01</v>
          </cell>
          <cell r="G211">
            <v>3770</v>
          </cell>
          <cell r="H211" t="str">
            <v>750</v>
          </cell>
          <cell r="I211" t="str">
            <v>MR42C01-PET</v>
          </cell>
          <cell r="J211" t="str">
            <v>12</v>
          </cell>
          <cell r="K211">
            <v>45240</v>
          </cell>
          <cell r="L211">
            <v>1</v>
          </cell>
          <cell r="M211">
            <v>3770</v>
          </cell>
          <cell r="N211">
            <v>4</v>
          </cell>
          <cell r="O211">
            <v>1</v>
          </cell>
          <cell r="P211">
            <v>3</v>
          </cell>
          <cell r="Q211">
            <v>8</v>
          </cell>
          <cell r="R211">
            <v>137.08000000000001</v>
          </cell>
          <cell r="S211">
            <v>43.49</v>
          </cell>
          <cell r="T211">
            <v>56.519999999999996</v>
          </cell>
          <cell r="U211">
            <v>237.09000000000003</v>
          </cell>
          <cell r="V211">
            <v>70</v>
          </cell>
          <cell r="W211">
            <v>4200</v>
          </cell>
          <cell r="X211">
            <v>0.6</v>
          </cell>
          <cell r="Y211">
            <v>2520</v>
          </cell>
          <cell r="Z211" t="str">
            <v>12</v>
          </cell>
          <cell r="AA211">
            <v>210</v>
          </cell>
          <cell r="AB211">
            <v>4.76</v>
          </cell>
          <cell r="AC211">
            <v>1.1285000000000001</v>
          </cell>
          <cell r="AD211">
            <v>4254.4450000000006</v>
          </cell>
          <cell r="AE211">
            <v>110746.77938659201</v>
          </cell>
          <cell r="AF211">
            <v>9</v>
          </cell>
          <cell r="AG211">
            <v>12305.19771</v>
          </cell>
          <cell r="AH211">
            <v>120</v>
          </cell>
          <cell r="AI211">
            <v>2</v>
          </cell>
          <cell r="AJ211">
            <v>16</v>
          </cell>
          <cell r="AK211">
            <v>29.636250000000004</v>
          </cell>
          <cell r="AL211">
            <v>3.85E-2</v>
          </cell>
          <cell r="AM211">
            <v>145.14500000000001</v>
          </cell>
          <cell r="AN211" t="str">
            <v>K1014</v>
          </cell>
          <cell r="AO211">
            <v>1.2299</v>
          </cell>
          <cell r="AP211">
            <v>3.9515000000000007</v>
          </cell>
        </row>
        <row r="212">
          <cell r="C212">
            <v>96708050</v>
          </cell>
          <cell r="D212" t="str">
            <v>SEAG VDK MNGPNP 70 12/750PT US</v>
          </cell>
          <cell r="E212" t="str">
            <v>FS01</v>
          </cell>
          <cell r="F212" t="str">
            <v>42CP01</v>
          </cell>
          <cell r="G212">
            <v>3770</v>
          </cell>
          <cell r="H212" t="str">
            <v>750</v>
          </cell>
          <cell r="I212" t="str">
            <v>MR42C01-PET</v>
          </cell>
          <cell r="J212" t="str">
            <v>12</v>
          </cell>
          <cell r="K212">
            <v>45240</v>
          </cell>
          <cell r="L212">
            <v>1</v>
          </cell>
          <cell r="M212">
            <v>3770</v>
          </cell>
          <cell r="N212">
            <v>4</v>
          </cell>
          <cell r="O212">
            <v>1</v>
          </cell>
          <cell r="P212">
            <v>3</v>
          </cell>
          <cell r="Q212">
            <v>8</v>
          </cell>
          <cell r="R212">
            <v>137.08000000000001</v>
          </cell>
          <cell r="S212">
            <v>43.49</v>
          </cell>
          <cell r="T212">
            <v>56.519999999999996</v>
          </cell>
          <cell r="U212">
            <v>237.09000000000003</v>
          </cell>
          <cell r="V212">
            <v>70</v>
          </cell>
          <cell r="W212">
            <v>4200</v>
          </cell>
          <cell r="X212">
            <v>0.6</v>
          </cell>
          <cell r="Y212">
            <v>2520</v>
          </cell>
          <cell r="Z212" t="str">
            <v>12</v>
          </cell>
          <cell r="AA212">
            <v>210</v>
          </cell>
          <cell r="AB212">
            <v>4.76</v>
          </cell>
          <cell r="AC212">
            <v>1.1285000000000001</v>
          </cell>
          <cell r="AD212">
            <v>4254.4450000000006</v>
          </cell>
          <cell r="AE212">
            <v>110746.77938659201</v>
          </cell>
          <cell r="AF212">
            <v>9</v>
          </cell>
          <cell r="AG212">
            <v>12305.19771</v>
          </cell>
          <cell r="AH212">
            <v>120</v>
          </cell>
          <cell r="AI212">
            <v>2</v>
          </cell>
          <cell r="AJ212">
            <v>16</v>
          </cell>
          <cell r="AK212">
            <v>29.636250000000004</v>
          </cell>
          <cell r="AL212">
            <v>3.85E-2</v>
          </cell>
          <cell r="AM212">
            <v>145.14500000000001</v>
          </cell>
          <cell r="AN212" t="str">
            <v>K1013</v>
          </cell>
          <cell r="AO212">
            <v>1.2299</v>
          </cell>
          <cell r="AP212">
            <v>3.9515000000000007</v>
          </cell>
        </row>
        <row r="213">
          <cell r="C213">
            <v>96709002</v>
          </cell>
          <cell r="D213" t="str">
            <v>SEAG VDK EXSM 80 12/1L US</v>
          </cell>
          <cell r="E213" t="str">
            <v>FS01</v>
          </cell>
          <cell r="F213" t="str">
            <v>42BG01</v>
          </cell>
          <cell r="G213">
            <v>48128.615036039999</v>
          </cell>
          <cell r="H213">
            <v>1000</v>
          </cell>
          <cell r="I213" t="str">
            <v>MR42B01</v>
          </cell>
          <cell r="J213" t="str">
            <v>12</v>
          </cell>
          <cell r="K213">
            <v>577543.38043248001</v>
          </cell>
          <cell r="L213">
            <v>1.3332999999999999</v>
          </cell>
          <cell r="M213">
            <v>64169.882427552126</v>
          </cell>
          <cell r="N213">
            <v>4</v>
          </cell>
          <cell r="O213">
            <v>1</v>
          </cell>
          <cell r="P213">
            <v>0</v>
          </cell>
          <cell r="Q213">
            <v>5</v>
          </cell>
          <cell r="R213">
            <v>137.08000000000001</v>
          </cell>
          <cell r="S213">
            <v>43.49</v>
          </cell>
          <cell r="T213">
            <v>0</v>
          </cell>
          <cell r="U213">
            <v>180.57000000000002</v>
          </cell>
          <cell r="V213">
            <v>140</v>
          </cell>
          <cell r="W213">
            <v>8400</v>
          </cell>
          <cell r="X213">
            <v>0.5</v>
          </cell>
          <cell r="Y213">
            <v>4200</v>
          </cell>
          <cell r="Z213" t="str">
            <v>12</v>
          </cell>
          <cell r="AA213">
            <v>350</v>
          </cell>
          <cell r="AB213">
            <v>2.86</v>
          </cell>
          <cell r="AC213">
            <v>0.51639999999999997</v>
          </cell>
          <cell r="AD213">
            <v>24853.616804611054</v>
          </cell>
          <cell r="AE213">
            <v>101978.63212230999</v>
          </cell>
          <cell r="AF213">
            <v>10</v>
          </cell>
          <cell r="AG213">
            <v>10197.86321</v>
          </cell>
          <cell r="AH213">
            <v>120</v>
          </cell>
          <cell r="AI213">
            <v>2</v>
          </cell>
          <cell r="AJ213">
            <v>10</v>
          </cell>
          <cell r="AK213">
            <v>36.114000000000004</v>
          </cell>
          <cell r="AL213">
            <v>3.5400000000000001E-2</v>
          </cell>
          <cell r="AM213">
            <v>1703.7529722758161</v>
          </cell>
          <cell r="AN213" t="str">
            <v>K492</v>
          </cell>
          <cell r="AO213">
            <v>0.5706</v>
          </cell>
          <cell r="AP213">
            <v>3.0095000000000005</v>
          </cell>
        </row>
        <row r="214">
          <cell r="C214">
            <v>96709003</v>
          </cell>
          <cell r="D214" t="str">
            <v>SEAG VDK SWTEA 70 12/1L US</v>
          </cell>
          <cell r="E214" t="str">
            <v>FS01</v>
          </cell>
          <cell r="F214" t="str">
            <v>42BG01</v>
          </cell>
          <cell r="G214">
            <v>928.34408626999993</v>
          </cell>
          <cell r="H214">
            <v>1000</v>
          </cell>
          <cell r="I214" t="str">
            <v>MR42B01-V</v>
          </cell>
          <cell r="J214" t="str">
            <v>12</v>
          </cell>
          <cell r="K214">
            <v>11140.129035239999</v>
          </cell>
          <cell r="L214">
            <v>1.3332999999999999</v>
          </cell>
          <cell r="M214">
            <v>1237.7611702237909</v>
          </cell>
          <cell r="N214">
            <v>4</v>
          </cell>
          <cell r="O214">
            <v>1</v>
          </cell>
          <cell r="P214">
            <v>0</v>
          </cell>
          <cell r="Q214">
            <v>5</v>
          </cell>
          <cell r="R214">
            <v>137.08000000000001</v>
          </cell>
          <cell r="S214">
            <v>43.49</v>
          </cell>
          <cell r="T214">
            <v>0</v>
          </cell>
          <cell r="U214">
            <v>180.57000000000002</v>
          </cell>
          <cell r="V214">
            <v>140</v>
          </cell>
          <cell r="W214">
            <v>8400</v>
          </cell>
          <cell r="X214">
            <v>0.5</v>
          </cell>
          <cell r="Y214">
            <v>4200</v>
          </cell>
          <cell r="Z214" t="str">
            <v>12</v>
          </cell>
          <cell r="AA214">
            <v>350</v>
          </cell>
          <cell r="AB214">
            <v>2.86</v>
          </cell>
          <cell r="AC214">
            <v>0.51639999999999997</v>
          </cell>
          <cell r="AD214">
            <v>479.39688614982794</v>
          </cell>
          <cell r="AE214">
            <v>101978.63212230999</v>
          </cell>
          <cell r="AF214">
            <v>10</v>
          </cell>
          <cell r="AG214">
            <v>10197.86321</v>
          </cell>
          <cell r="AH214">
            <v>120</v>
          </cell>
          <cell r="AI214">
            <v>2</v>
          </cell>
          <cell r="AJ214">
            <v>10</v>
          </cell>
          <cell r="AK214">
            <v>36.114000000000004</v>
          </cell>
          <cell r="AL214">
            <v>3.5400000000000001E-2</v>
          </cell>
          <cell r="AM214">
            <v>32.863380653957996</v>
          </cell>
          <cell r="AN214" t="str">
            <v>K967</v>
          </cell>
          <cell r="AO214">
            <v>0.64910000000000001</v>
          </cell>
          <cell r="AP214">
            <v>3.0095000000000005</v>
          </cell>
        </row>
        <row r="215">
          <cell r="C215">
            <v>96712001</v>
          </cell>
          <cell r="D215" t="str">
            <v>SEAG VDK APL 70 6/1.75 PT US</v>
          </cell>
          <cell r="E215" t="str">
            <v>FS12</v>
          </cell>
          <cell r="F215" t="str">
            <v>42AP01</v>
          </cell>
          <cell r="G215">
            <v>2833.1666660000001</v>
          </cell>
          <cell r="H215">
            <v>1750</v>
          </cell>
          <cell r="I215" t="str">
            <v>MR33A12-V</v>
          </cell>
          <cell r="J215" t="str">
            <v>6</v>
          </cell>
          <cell r="K215">
            <v>16998.999995999999</v>
          </cell>
          <cell r="L215">
            <v>1.1667000000000001</v>
          </cell>
          <cell r="M215">
            <v>3305.4555492222003</v>
          </cell>
          <cell r="N215">
            <v>4</v>
          </cell>
          <cell r="O215">
            <v>1</v>
          </cell>
          <cell r="P215">
            <v>0</v>
          </cell>
          <cell r="Q215">
            <v>5</v>
          </cell>
          <cell r="R215">
            <v>137.08000000000001</v>
          </cell>
          <cell r="S215">
            <v>43.49</v>
          </cell>
          <cell r="T215">
            <v>0</v>
          </cell>
          <cell r="U215">
            <v>180.57000000000002</v>
          </cell>
          <cell r="V215">
            <v>130</v>
          </cell>
          <cell r="W215">
            <v>7800</v>
          </cell>
          <cell r="X215">
            <v>0.65</v>
          </cell>
          <cell r="Y215">
            <v>5070</v>
          </cell>
          <cell r="Z215" t="str">
            <v>6</v>
          </cell>
          <cell r="AA215">
            <v>845</v>
          </cell>
          <cell r="AB215">
            <v>1.18</v>
          </cell>
          <cell r="AC215">
            <v>0.21310000000000001</v>
          </cell>
          <cell r="AD215">
            <v>603.74781652460001</v>
          </cell>
          <cell r="AE215">
            <v>373935.6726291831</v>
          </cell>
          <cell r="AF215">
            <v>14</v>
          </cell>
          <cell r="AG215">
            <v>26709.690900000001</v>
          </cell>
          <cell r="AH215">
            <v>120</v>
          </cell>
          <cell r="AI215">
            <v>2</v>
          </cell>
          <cell r="AJ215">
            <v>10</v>
          </cell>
          <cell r="AK215">
            <v>36.114000000000004</v>
          </cell>
          <cell r="AL215">
            <v>1.35E-2</v>
          </cell>
          <cell r="AM215">
            <v>38.247749990999999</v>
          </cell>
          <cell r="AN215" t="str">
            <v>K528</v>
          </cell>
          <cell r="AO215">
            <v>0.27440000000000003</v>
          </cell>
          <cell r="AP215">
            <v>3.0095000000000005</v>
          </cell>
        </row>
        <row r="216">
          <cell r="C216">
            <v>96712002</v>
          </cell>
          <cell r="D216" t="str">
            <v>SEAG VDK EXSM 80 6/1.75 US</v>
          </cell>
          <cell r="E216" t="str">
            <v>FS12</v>
          </cell>
          <cell r="F216" t="str">
            <v>42AG01</v>
          </cell>
          <cell r="G216">
            <v>238308.04681666684</v>
          </cell>
          <cell r="H216">
            <v>1750</v>
          </cell>
          <cell r="I216" t="str">
            <v>MR42A12</v>
          </cell>
          <cell r="J216" t="str">
            <v>6</v>
          </cell>
          <cell r="K216">
            <v>1429848.2809000011</v>
          </cell>
          <cell r="L216">
            <v>1.1667000000000001</v>
          </cell>
          <cell r="M216">
            <v>278033.9982210052</v>
          </cell>
          <cell r="N216">
            <v>4</v>
          </cell>
          <cell r="O216">
            <v>1</v>
          </cell>
          <cell r="P216">
            <v>0</v>
          </cell>
          <cell r="Q216">
            <v>5</v>
          </cell>
          <cell r="R216">
            <v>137.08000000000001</v>
          </cell>
          <cell r="S216">
            <v>43.49</v>
          </cell>
          <cell r="T216">
            <v>0</v>
          </cell>
          <cell r="U216">
            <v>180.57000000000002</v>
          </cell>
          <cell r="V216">
            <v>130</v>
          </cell>
          <cell r="W216">
            <v>7800</v>
          </cell>
          <cell r="X216">
            <v>0.65</v>
          </cell>
          <cell r="Y216">
            <v>5070</v>
          </cell>
          <cell r="Z216" t="str">
            <v>6</v>
          </cell>
          <cell r="AA216">
            <v>845</v>
          </cell>
          <cell r="AB216">
            <v>1.18</v>
          </cell>
          <cell r="AC216">
            <v>0.21310000000000001</v>
          </cell>
          <cell r="AD216">
            <v>50783.44477663171</v>
          </cell>
          <cell r="AE216">
            <v>765583.68283178681</v>
          </cell>
          <cell r="AF216">
            <v>13</v>
          </cell>
          <cell r="AG216">
            <v>58891.052530000001</v>
          </cell>
          <cell r="AH216">
            <v>120</v>
          </cell>
          <cell r="AI216">
            <v>2</v>
          </cell>
          <cell r="AJ216">
            <v>10</v>
          </cell>
          <cell r="AK216">
            <v>36.114000000000004</v>
          </cell>
          <cell r="AL216">
            <v>6.1000000000000004E-3</v>
          </cell>
          <cell r="AM216">
            <v>1453.6790855816678</v>
          </cell>
          <cell r="AN216" t="str">
            <v>K492</v>
          </cell>
          <cell r="AO216">
            <v>0.22409999999999999</v>
          </cell>
          <cell r="AP216">
            <v>3.0095000000000005</v>
          </cell>
        </row>
        <row r="217">
          <cell r="C217">
            <v>96712003</v>
          </cell>
          <cell r="D217" t="str">
            <v>SEAG VDK EXSM 80 6/1.75 PT US</v>
          </cell>
          <cell r="E217" t="str">
            <v>FS12</v>
          </cell>
          <cell r="F217" t="str">
            <v>42AP01</v>
          </cell>
          <cell r="G217">
            <v>315896.71322209318</v>
          </cell>
          <cell r="H217">
            <v>1750</v>
          </cell>
          <cell r="I217" t="str">
            <v>MR33A12</v>
          </cell>
          <cell r="J217" t="str">
            <v>6</v>
          </cell>
          <cell r="K217">
            <v>1895380.2793325591</v>
          </cell>
          <cell r="L217">
            <v>1.1667000000000001</v>
          </cell>
          <cell r="M217">
            <v>368556.69531621615</v>
          </cell>
          <cell r="N217">
            <v>4</v>
          </cell>
          <cell r="O217">
            <v>1</v>
          </cell>
          <cell r="P217">
            <v>0</v>
          </cell>
          <cell r="Q217">
            <v>5</v>
          </cell>
          <cell r="R217">
            <v>137.08000000000001</v>
          </cell>
          <cell r="S217">
            <v>43.49</v>
          </cell>
          <cell r="T217">
            <v>0</v>
          </cell>
          <cell r="U217">
            <v>180.57000000000002</v>
          </cell>
          <cell r="V217">
            <v>130</v>
          </cell>
          <cell r="W217">
            <v>7800</v>
          </cell>
          <cell r="X217">
            <v>0.65</v>
          </cell>
          <cell r="Y217">
            <v>5070</v>
          </cell>
          <cell r="Z217" t="str">
            <v>6</v>
          </cell>
          <cell r="AA217">
            <v>845</v>
          </cell>
          <cell r="AB217">
            <v>1.18</v>
          </cell>
          <cell r="AC217">
            <v>0.21310000000000001</v>
          </cell>
          <cell r="AD217">
            <v>67317.589587628056</v>
          </cell>
          <cell r="AE217">
            <v>373935.6726291831</v>
          </cell>
          <cell r="AF217">
            <v>14</v>
          </cell>
          <cell r="AG217">
            <v>26709.690900000001</v>
          </cell>
          <cell r="AH217">
            <v>120</v>
          </cell>
          <cell r="AI217">
            <v>2</v>
          </cell>
          <cell r="AJ217">
            <v>10</v>
          </cell>
          <cell r="AK217">
            <v>36.114000000000004</v>
          </cell>
          <cell r="AL217">
            <v>1.35E-2</v>
          </cell>
          <cell r="AM217">
            <v>4264.6056284982578</v>
          </cell>
          <cell r="AN217" t="str">
            <v>K492</v>
          </cell>
          <cell r="AO217">
            <v>0.23060000000000003</v>
          </cell>
          <cell r="AP217">
            <v>3.0095000000000005</v>
          </cell>
        </row>
        <row r="218">
          <cell r="C218">
            <v>96712004</v>
          </cell>
          <cell r="D218" t="str">
            <v>SEAG VDK PLT 100 6/1.75 PT US</v>
          </cell>
          <cell r="E218" t="str">
            <v>FS12</v>
          </cell>
          <cell r="F218" t="str">
            <v>42AG01</v>
          </cell>
          <cell r="G218">
            <v>18547.920015119998</v>
          </cell>
          <cell r="H218">
            <v>1750</v>
          </cell>
          <cell r="I218" t="str">
            <v>MR33A12</v>
          </cell>
          <cell r="J218" t="str">
            <v>6</v>
          </cell>
          <cell r="K218">
            <v>111287.52009071999</v>
          </cell>
          <cell r="L218">
            <v>1.1667000000000001</v>
          </cell>
          <cell r="M218">
            <v>21639.858281640503</v>
          </cell>
          <cell r="N218">
            <v>4</v>
          </cell>
          <cell r="O218">
            <v>1</v>
          </cell>
          <cell r="P218">
            <v>0</v>
          </cell>
          <cell r="Q218">
            <v>5</v>
          </cell>
          <cell r="R218">
            <v>137.08000000000001</v>
          </cell>
          <cell r="S218">
            <v>43.49</v>
          </cell>
          <cell r="T218">
            <v>0</v>
          </cell>
          <cell r="U218">
            <v>180.57000000000002</v>
          </cell>
          <cell r="V218">
            <v>130</v>
          </cell>
          <cell r="W218">
            <v>7800</v>
          </cell>
          <cell r="X218">
            <v>0.65</v>
          </cell>
          <cell r="Y218">
            <v>5070</v>
          </cell>
          <cell r="Z218" t="str">
            <v>6</v>
          </cell>
          <cell r="AA218">
            <v>845</v>
          </cell>
          <cell r="AB218">
            <v>1.18</v>
          </cell>
          <cell r="AC218">
            <v>0.21310000000000001</v>
          </cell>
          <cell r="AD218">
            <v>3952.561755222072</v>
          </cell>
          <cell r="AE218">
            <v>765583.68283178681</v>
          </cell>
          <cell r="AF218">
            <v>13</v>
          </cell>
          <cell r="AG218">
            <v>58891.052530000001</v>
          </cell>
          <cell r="AH218">
            <v>120</v>
          </cell>
          <cell r="AI218">
            <v>2</v>
          </cell>
          <cell r="AJ218">
            <v>10</v>
          </cell>
          <cell r="AK218">
            <v>36.114000000000004</v>
          </cell>
          <cell r="AL218">
            <v>6.1000000000000004E-3</v>
          </cell>
          <cell r="AM218">
            <v>113.142312092232</v>
          </cell>
          <cell r="AN218" t="str">
            <v>K493</v>
          </cell>
          <cell r="AO218">
            <v>0.23380000000000001</v>
          </cell>
          <cell r="AP218">
            <v>3.0095000000000005</v>
          </cell>
        </row>
        <row r="219">
          <cell r="C219">
            <v>96712005</v>
          </cell>
          <cell r="D219" t="str">
            <v>SEAG VDK PINAPL 70 6/1.75 PTUS</v>
          </cell>
          <cell r="E219" t="str">
            <v>FS12</v>
          </cell>
          <cell r="F219" t="str">
            <v>42AP01</v>
          </cell>
          <cell r="G219">
            <v>2305.4700044399997</v>
          </cell>
          <cell r="H219">
            <v>1750</v>
          </cell>
          <cell r="I219" t="str">
            <v>MR33A12-V</v>
          </cell>
          <cell r="J219" t="str">
            <v>6</v>
          </cell>
          <cell r="K219">
            <v>13832.820026639998</v>
          </cell>
          <cell r="L219">
            <v>1.1667000000000001</v>
          </cell>
          <cell r="M219">
            <v>2689.7918541801478</v>
          </cell>
          <cell r="N219">
            <v>4</v>
          </cell>
          <cell r="O219">
            <v>1</v>
          </cell>
          <cell r="P219">
            <v>0</v>
          </cell>
          <cell r="Q219">
            <v>5</v>
          </cell>
          <cell r="R219">
            <v>137.08000000000001</v>
          </cell>
          <cell r="S219">
            <v>43.49</v>
          </cell>
          <cell r="T219">
            <v>0</v>
          </cell>
          <cell r="U219">
            <v>180.57000000000002</v>
          </cell>
          <cell r="V219">
            <v>130</v>
          </cell>
          <cell r="W219">
            <v>7800</v>
          </cell>
          <cell r="X219">
            <v>0.65</v>
          </cell>
          <cell r="Y219">
            <v>5070</v>
          </cell>
          <cell r="Z219" t="str">
            <v>6</v>
          </cell>
          <cell r="AA219">
            <v>845</v>
          </cell>
          <cell r="AB219">
            <v>1.18</v>
          </cell>
          <cell r="AC219">
            <v>0.21310000000000001</v>
          </cell>
          <cell r="AD219">
            <v>491.29565794616394</v>
          </cell>
          <cell r="AE219">
            <v>373935.6726291831</v>
          </cell>
          <cell r="AF219">
            <v>14</v>
          </cell>
          <cell r="AG219">
            <v>26709.690900000001</v>
          </cell>
          <cell r="AH219">
            <v>120</v>
          </cell>
          <cell r="AI219">
            <v>2</v>
          </cell>
          <cell r="AJ219">
            <v>10</v>
          </cell>
          <cell r="AK219">
            <v>36.114000000000004</v>
          </cell>
          <cell r="AL219">
            <v>1.35E-2</v>
          </cell>
          <cell r="AM219">
            <v>31.123845059939995</v>
          </cell>
          <cell r="AN219" t="str">
            <v>K923</v>
          </cell>
          <cell r="AO219">
            <v>0.26580000000000004</v>
          </cell>
          <cell r="AP219">
            <v>3.0095000000000005</v>
          </cell>
        </row>
        <row r="220">
          <cell r="C220">
            <v>96712006</v>
          </cell>
          <cell r="D220" t="str">
            <v>SEAG VDK SWTEA 70 6/1.75 PT US</v>
          </cell>
          <cell r="E220" t="str">
            <v>FS12</v>
          </cell>
          <cell r="F220" t="str">
            <v>42AP01</v>
          </cell>
          <cell r="G220">
            <v>5339.0284535274996</v>
          </cell>
          <cell r="H220">
            <v>1750</v>
          </cell>
          <cell r="I220" t="str">
            <v>MR33A12</v>
          </cell>
          <cell r="J220" t="str">
            <v>6</v>
          </cell>
          <cell r="K220">
            <v>32034.170721164999</v>
          </cell>
          <cell r="L220">
            <v>1.1667000000000001</v>
          </cell>
          <cell r="M220">
            <v>6229.0444967305339</v>
          </cell>
          <cell r="N220">
            <v>4</v>
          </cell>
          <cell r="O220">
            <v>1</v>
          </cell>
          <cell r="P220">
            <v>0</v>
          </cell>
          <cell r="Q220">
            <v>5</v>
          </cell>
          <cell r="R220">
            <v>137.08000000000001</v>
          </cell>
          <cell r="S220">
            <v>43.49</v>
          </cell>
          <cell r="T220">
            <v>0</v>
          </cell>
          <cell r="U220">
            <v>180.57000000000002</v>
          </cell>
          <cell r="V220">
            <v>130</v>
          </cell>
          <cell r="W220">
            <v>7800</v>
          </cell>
          <cell r="X220">
            <v>0.65</v>
          </cell>
          <cell r="Y220">
            <v>5070</v>
          </cell>
          <cell r="Z220" t="str">
            <v>6</v>
          </cell>
          <cell r="AA220">
            <v>845</v>
          </cell>
          <cell r="AB220">
            <v>1.18</v>
          </cell>
          <cell r="AC220">
            <v>0.21310000000000001</v>
          </cell>
          <cell r="AD220">
            <v>1137.7469634467102</v>
          </cell>
          <cell r="AE220">
            <v>373935.6726291831</v>
          </cell>
          <cell r="AF220">
            <v>14</v>
          </cell>
          <cell r="AG220">
            <v>26709.690900000001</v>
          </cell>
          <cell r="AH220">
            <v>120</v>
          </cell>
          <cell r="AI220">
            <v>2</v>
          </cell>
          <cell r="AJ220">
            <v>10</v>
          </cell>
          <cell r="AK220">
            <v>36.114000000000004</v>
          </cell>
          <cell r="AL220">
            <v>1.35E-2</v>
          </cell>
          <cell r="AM220">
            <v>72.076884122621237</v>
          </cell>
          <cell r="AN220" t="str">
            <v>K967</v>
          </cell>
          <cell r="AO220">
            <v>0.26040000000000002</v>
          </cell>
          <cell r="AP220">
            <v>3.0095000000000005</v>
          </cell>
        </row>
        <row r="221">
          <cell r="C221">
            <v>96712007</v>
          </cell>
          <cell r="D221" t="str">
            <v>SEAG VDK JCYWTRML70 6/1.75PTUS</v>
          </cell>
          <cell r="E221" t="str">
            <v>FS12</v>
          </cell>
          <cell r="F221" t="str">
            <v>42AP01</v>
          </cell>
          <cell r="G221">
            <v>5058.9216734000001</v>
          </cell>
          <cell r="H221">
            <v>1750</v>
          </cell>
          <cell r="I221" t="str">
            <v>MR33A12</v>
          </cell>
          <cell r="J221" t="str">
            <v>6</v>
          </cell>
          <cell r="K221">
            <v>30353.530040400001</v>
          </cell>
          <cell r="L221">
            <v>1.1667000000000001</v>
          </cell>
          <cell r="M221">
            <v>5902.2439163557801</v>
          </cell>
          <cell r="N221">
            <v>4</v>
          </cell>
          <cell r="O221">
            <v>1</v>
          </cell>
          <cell r="P221">
            <v>0</v>
          </cell>
          <cell r="Q221">
            <v>5</v>
          </cell>
          <cell r="R221">
            <v>137.08000000000001</v>
          </cell>
          <cell r="S221">
            <v>43.49</v>
          </cell>
          <cell r="T221">
            <v>0</v>
          </cell>
          <cell r="U221">
            <v>180.57000000000002</v>
          </cell>
          <cell r="V221">
            <v>130</v>
          </cell>
          <cell r="W221">
            <v>7800</v>
          </cell>
          <cell r="X221">
            <v>0.65</v>
          </cell>
          <cell r="Y221">
            <v>5070</v>
          </cell>
          <cell r="Z221" t="str">
            <v>6</v>
          </cell>
          <cell r="AA221">
            <v>845</v>
          </cell>
          <cell r="AB221">
            <v>1.18</v>
          </cell>
          <cell r="AC221">
            <v>0.21310000000000001</v>
          </cell>
          <cell r="AD221">
            <v>1078.05620860154</v>
          </cell>
          <cell r="AE221">
            <v>373935.6726291831</v>
          </cell>
          <cell r="AF221">
            <v>14</v>
          </cell>
          <cell r="AG221">
            <v>26709.690900000001</v>
          </cell>
          <cell r="AH221">
            <v>120</v>
          </cell>
          <cell r="AI221">
            <v>2</v>
          </cell>
          <cell r="AJ221">
            <v>10</v>
          </cell>
          <cell r="AK221">
            <v>36.114000000000004</v>
          </cell>
          <cell r="AL221">
            <v>1.35E-2</v>
          </cell>
          <cell r="AM221">
            <v>68.295442590899995</v>
          </cell>
          <cell r="AN221" t="str">
            <v>K884</v>
          </cell>
          <cell r="AO221">
            <v>0.26230000000000003</v>
          </cell>
          <cell r="AP221">
            <v>3.0095000000000005</v>
          </cell>
        </row>
        <row r="222">
          <cell r="C222">
            <v>96712008</v>
          </cell>
          <cell r="D222" t="str">
            <v>SEAG VDK LM 70 6/1.75 PT US</v>
          </cell>
          <cell r="E222" t="str">
            <v>FS12</v>
          </cell>
          <cell r="F222" t="str">
            <v>42AP01</v>
          </cell>
          <cell r="G222">
            <v>1387.83999872</v>
          </cell>
          <cell r="H222">
            <v>1750</v>
          </cell>
          <cell r="I222" t="str">
            <v>MR33A12</v>
          </cell>
          <cell r="J222" t="str">
            <v>6</v>
          </cell>
          <cell r="K222">
            <v>8327.0399923200002</v>
          </cell>
          <cell r="L222">
            <v>1.1667000000000001</v>
          </cell>
          <cell r="M222">
            <v>1619.1929265066242</v>
          </cell>
          <cell r="N222">
            <v>4</v>
          </cell>
          <cell r="O222">
            <v>1</v>
          </cell>
          <cell r="P222">
            <v>0</v>
          </cell>
          <cell r="Q222">
            <v>5</v>
          </cell>
          <cell r="R222">
            <v>137.08000000000001</v>
          </cell>
          <cell r="S222">
            <v>43.49</v>
          </cell>
          <cell r="T222">
            <v>0</v>
          </cell>
          <cell r="U222">
            <v>180.57000000000002</v>
          </cell>
          <cell r="V222">
            <v>130</v>
          </cell>
          <cell r="W222">
            <v>7800</v>
          </cell>
          <cell r="X222">
            <v>0.65</v>
          </cell>
          <cell r="Y222">
            <v>5070</v>
          </cell>
          <cell r="Z222" t="str">
            <v>6</v>
          </cell>
          <cell r="AA222">
            <v>845</v>
          </cell>
          <cell r="AB222">
            <v>1.18</v>
          </cell>
          <cell r="AC222">
            <v>0.21310000000000001</v>
          </cell>
          <cell r="AD222">
            <v>295.748703727232</v>
          </cell>
          <cell r="AE222">
            <v>373935.6726291831</v>
          </cell>
          <cell r="AF222">
            <v>14</v>
          </cell>
          <cell r="AG222">
            <v>26709.690900000001</v>
          </cell>
          <cell r="AH222">
            <v>120</v>
          </cell>
          <cell r="AI222">
            <v>2</v>
          </cell>
          <cell r="AJ222">
            <v>10</v>
          </cell>
          <cell r="AK222">
            <v>36.114000000000004</v>
          </cell>
          <cell r="AL222">
            <v>1.35E-2</v>
          </cell>
          <cell r="AM222">
            <v>18.735839982720002</v>
          </cell>
          <cell r="AN222" t="str">
            <v>K945</v>
          </cell>
          <cell r="AO222">
            <v>0.29170000000000001</v>
          </cell>
          <cell r="AP222">
            <v>3.0095000000000005</v>
          </cell>
        </row>
        <row r="223">
          <cell r="C223">
            <v>96712009</v>
          </cell>
          <cell r="D223" t="str">
            <v>SEAG VDK PCH 70 6/1.75 PT US</v>
          </cell>
          <cell r="E223" t="str">
            <v>FS12</v>
          </cell>
          <cell r="F223" t="str">
            <v>42AP01</v>
          </cell>
          <cell r="G223">
            <v>3971.1466792800002</v>
          </cell>
          <cell r="H223">
            <v>1750</v>
          </cell>
          <cell r="I223" t="str">
            <v>MR33A12</v>
          </cell>
          <cell r="J223" t="str">
            <v>6</v>
          </cell>
          <cell r="K223">
            <v>23826.880075680001</v>
          </cell>
          <cell r="L223">
            <v>1.1667000000000001</v>
          </cell>
          <cell r="M223">
            <v>4633.1368307159764</v>
          </cell>
          <cell r="N223">
            <v>4</v>
          </cell>
          <cell r="O223">
            <v>1</v>
          </cell>
          <cell r="P223">
            <v>0</v>
          </cell>
          <cell r="Q223">
            <v>5</v>
          </cell>
          <cell r="R223">
            <v>137.08000000000001</v>
          </cell>
          <cell r="S223">
            <v>43.49</v>
          </cell>
          <cell r="T223">
            <v>0</v>
          </cell>
          <cell r="U223">
            <v>180.57000000000002</v>
          </cell>
          <cell r="V223">
            <v>130</v>
          </cell>
          <cell r="W223">
            <v>7800</v>
          </cell>
          <cell r="X223">
            <v>0.65</v>
          </cell>
          <cell r="Y223">
            <v>5070</v>
          </cell>
          <cell r="Z223" t="str">
            <v>6</v>
          </cell>
          <cell r="AA223">
            <v>845</v>
          </cell>
          <cell r="AB223">
            <v>1.18</v>
          </cell>
          <cell r="AC223">
            <v>0.21310000000000001</v>
          </cell>
          <cell r="AD223">
            <v>846.25135735456809</v>
          </cell>
          <cell r="AE223">
            <v>373935.6726291831</v>
          </cell>
          <cell r="AF223">
            <v>14</v>
          </cell>
          <cell r="AG223">
            <v>26709.690900000001</v>
          </cell>
          <cell r="AH223">
            <v>120</v>
          </cell>
          <cell r="AI223">
            <v>2</v>
          </cell>
          <cell r="AJ223">
            <v>10</v>
          </cell>
          <cell r="AK223">
            <v>36.114000000000004</v>
          </cell>
          <cell r="AL223">
            <v>1.35E-2</v>
          </cell>
          <cell r="AM223">
            <v>53.610480170279999</v>
          </cell>
          <cell r="AN223" t="str">
            <v>K781</v>
          </cell>
          <cell r="AO223">
            <v>0.27210000000000001</v>
          </cell>
          <cell r="AP223">
            <v>3.0095000000000005</v>
          </cell>
        </row>
        <row r="224">
          <cell r="C224">
            <v>96712040</v>
          </cell>
          <cell r="D224" t="str">
            <v>SEAG VDK STRLMD 70 6/1.75 PTUS</v>
          </cell>
          <cell r="E224" t="str">
            <v>FS12</v>
          </cell>
          <cell r="F224" t="str">
            <v>42AP01</v>
          </cell>
          <cell r="G224">
            <v>2180.7299317225006</v>
          </cell>
          <cell r="H224">
            <v>1750</v>
          </cell>
          <cell r="I224" t="str">
            <v>MR33A12-V</v>
          </cell>
          <cell r="J224" t="str">
            <v>6</v>
          </cell>
          <cell r="K224">
            <v>13084.379590335004</v>
          </cell>
          <cell r="L224">
            <v>1.1667000000000001</v>
          </cell>
          <cell r="M224">
            <v>2544.2576113406417</v>
          </cell>
          <cell r="N224">
            <v>4</v>
          </cell>
          <cell r="O224">
            <v>1</v>
          </cell>
          <cell r="P224">
            <v>0</v>
          </cell>
          <cell r="Q224">
            <v>5</v>
          </cell>
          <cell r="R224">
            <v>137.08000000000001</v>
          </cell>
          <cell r="S224">
            <v>43.49</v>
          </cell>
          <cell r="T224">
            <v>0</v>
          </cell>
          <cell r="U224">
            <v>180.57000000000002</v>
          </cell>
          <cell r="V224">
            <v>130</v>
          </cell>
          <cell r="W224">
            <v>7800</v>
          </cell>
          <cell r="X224">
            <v>0.65189048239895708</v>
          </cell>
          <cell r="Y224">
            <v>5084.7457627118656</v>
          </cell>
          <cell r="Z224" t="str">
            <v>6</v>
          </cell>
          <cell r="AA224">
            <v>847.45762711864427</v>
          </cell>
          <cell r="AB224">
            <v>1.18</v>
          </cell>
          <cell r="AC224">
            <v>0.21310000000000001</v>
          </cell>
          <cell r="AD224">
            <v>464.71354845006493</v>
          </cell>
          <cell r="AE224">
            <v>373935.6726291831</v>
          </cell>
          <cell r="AF224">
            <v>14</v>
          </cell>
          <cell r="AG224">
            <v>26709.690900000001</v>
          </cell>
          <cell r="AH224">
            <v>120</v>
          </cell>
          <cell r="AI224">
            <v>2</v>
          </cell>
          <cell r="AJ224">
            <v>10</v>
          </cell>
          <cell r="AK224">
            <v>36.114000000000004</v>
          </cell>
          <cell r="AL224">
            <v>1.35E-2</v>
          </cell>
          <cell r="AM224">
            <v>29.439854078253759</v>
          </cell>
          <cell r="AN224" t="str">
            <v>K1014</v>
          </cell>
          <cell r="AO224">
            <v>0.30940000000000001</v>
          </cell>
          <cell r="AP224">
            <v>3.0095000000000005</v>
          </cell>
        </row>
        <row r="225">
          <cell r="C225">
            <v>96712050</v>
          </cell>
          <cell r="D225" t="str">
            <v>SEAG VDK MNGPNP 70 6/1.75 PTUS</v>
          </cell>
          <cell r="E225" t="str">
            <v>FS12</v>
          </cell>
          <cell r="F225" t="str">
            <v>42AP01</v>
          </cell>
          <cell r="G225">
            <v>2400</v>
          </cell>
          <cell r="H225">
            <v>1750</v>
          </cell>
          <cell r="I225" t="str">
            <v>MR33A12-V</v>
          </cell>
          <cell r="J225" t="str">
            <v>6</v>
          </cell>
          <cell r="K225">
            <v>14400</v>
          </cell>
          <cell r="L225">
            <v>1.1667000000000001</v>
          </cell>
          <cell r="M225">
            <v>2800.0800000000004</v>
          </cell>
          <cell r="N225">
            <v>4</v>
          </cell>
          <cell r="O225">
            <v>1</v>
          </cell>
          <cell r="P225">
            <v>0</v>
          </cell>
          <cell r="Q225">
            <v>5</v>
          </cell>
          <cell r="R225">
            <v>137.08000000000001</v>
          </cell>
          <cell r="S225">
            <v>43.49</v>
          </cell>
          <cell r="T225">
            <v>0</v>
          </cell>
          <cell r="U225">
            <v>180.57000000000002</v>
          </cell>
          <cell r="V225">
            <v>130</v>
          </cell>
          <cell r="W225">
            <v>7800</v>
          </cell>
          <cell r="X225">
            <v>0.65189048239895708</v>
          </cell>
          <cell r="Y225">
            <v>5084.7457627118656</v>
          </cell>
          <cell r="Z225" t="str">
            <v>6</v>
          </cell>
          <cell r="AA225">
            <v>847.45762711864427</v>
          </cell>
          <cell r="AB225">
            <v>1.18</v>
          </cell>
          <cell r="AC225">
            <v>0.21310000000000001</v>
          </cell>
          <cell r="AD225">
            <v>511.44000000000005</v>
          </cell>
          <cell r="AE225">
            <v>373935.6726291831</v>
          </cell>
          <cell r="AF225">
            <v>14</v>
          </cell>
          <cell r="AG225">
            <v>26709.690900000001</v>
          </cell>
          <cell r="AH225">
            <v>120</v>
          </cell>
          <cell r="AI225">
            <v>2</v>
          </cell>
          <cell r="AJ225">
            <v>10</v>
          </cell>
          <cell r="AK225">
            <v>36.114000000000004</v>
          </cell>
          <cell r="AL225">
            <v>1.35E-2</v>
          </cell>
          <cell r="AM225">
            <v>32.4</v>
          </cell>
          <cell r="AN225" t="str">
            <v>K1013</v>
          </cell>
          <cell r="AO225">
            <v>0.30180000000000001</v>
          </cell>
          <cell r="AP225">
            <v>3.0095000000000005</v>
          </cell>
        </row>
        <row r="226">
          <cell r="C226">
            <v>97200007</v>
          </cell>
          <cell r="D226" t="str">
            <v>WFRD 90.4 96/50 TRNS PT US</v>
          </cell>
          <cell r="E226" t="str">
            <v>FS03</v>
          </cell>
          <cell r="F226" t="str">
            <v>49FP01</v>
          </cell>
          <cell r="G226">
            <v>72000</v>
          </cell>
          <cell r="H226" t="str">
            <v>50</v>
          </cell>
          <cell r="I226" t="str">
            <v>MR49F03</v>
          </cell>
          <cell r="J226" t="str">
            <v>96</v>
          </cell>
          <cell r="K226">
            <v>6912000</v>
          </cell>
          <cell r="L226">
            <v>0.5333</v>
          </cell>
          <cell r="M226">
            <v>38397.599999999999</v>
          </cell>
          <cell r="N226">
            <v>4</v>
          </cell>
          <cell r="O226">
            <v>1</v>
          </cell>
          <cell r="P226">
            <v>0</v>
          </cell>
          <cell r="Q226">
            <v>5</v>
          </cell>
          <cell r="R226">
            <v>137.08000000000001</v>
          </cell>
          <cell r="S226">
            <v>43.49</v>
          </cell>
          <cell r="T226">
            <v>0</v>
          </cell>
          <cell r="U226">
            <v>180.57000000000002</v>
          </cell>
          <cell r="V226">
            <v>380</v>
          </cell>
          <cell r="W226">
            <v>22800</v>
          </cell>
          <cell r="X226">
            <v>0.45</v>
          </cell>
          <cell r="Y226">
            <v>10260</v>
          </cell>
          <cell r="Z226" t="str">
            <v>96</v>
          </cell>
          <cell r="AA226">
            <v>106.875</v>
          </cell>
          <cell r="AB226">
            <v>9.36</v>
          </cell>
          <cell r="AC226">
            <v>1.6900999999999999</v>
          </cell>
          <cell r="AD226">
            <v>121687.2</v>
          </cell>
          <cell r="AE226">
            <v>76396</v>
          </cell>
          <cell r="AF226">
            <v>8</v>
          </cell>
          <cell r="AG226">
            <v>9549.5</v>
          </cell>
          <cell r="AH226">
            <v>120</v>
          </cell>
          <cell r="AI226">
            <v>2</v>
          </cell>
          <cell r="AJ226">
            <v>10</v>
          </cell>
          <cell r="AK226">
            <v>36.114000000000004</v>
          </cell>
          <cell r="AL226">
            <v>3.78E-2</v>
          </cell>
          <cell r="AM226">
            <v>2721.6</v>
          </cell>
          <cell r="AN226" t="str">
            <v>J123</v>
          </cell>
          <cell r="AO226">
            <v>1.7850999999999999</v>
          </cell>
          <cell r="AP226">
            <v>3.0095000000000005</v>
          </cell>
        </row>
        <row r="227">
          <cell r="C227">
            <v>97200009</v>
          </cell>
          <cell r="D227" t="str">
            <v>WFRD 90.4 96/50 RET PT UNF US</v>
          </cell>
          <cell r="E227" t="str">
            <v>FS03</v>
          </cell>
          <cell r="F227" t="str">
            <v>49FP01</v>
          </cell>
          <cell r="G227">
            <v>4396</v>
          </cell>
          <cell r="H227" t="str">
            <v>50</v>
          </cell>
          <cell r="I227" t="str">
            <v>MR49F03</v>
          </cell>
          <cell r="J227" t="str">
            <v>96</v>
          </cell>
          <cell r="K227">
            <v>422016</v>
          </cell>
          <cell r="L227">
            <v>0.5333</v>
          </cell>
          <cell r="M227">
            <v>2344.3867999999998</v>
          </cell>
          <cell r="N227">
            <v>4</v>
          </cell>
          <cell r="O227">
            <v>1</v>
          </cell>
          <cell r="P227">
            <v>0</v>
          </cell>
          <cell r="Q227">
            <v>5</v>
          </cell>
          <cell r="R227">
            <v>137.08000000000001</v>
          </cell>
          <cell r="S227">
            <v>43.49</v>
          </cell>
          <cell r="T227">
            <v>0</v>
          </cell>
          <cell r="U227">
            <v>180.57000000000002</v>
          </cell>
          <cell r="V227">
            <v>380</v>
          </cell>
          <cell r="W227">
            <v>22800</v>
          </cell>
          <cell r="X227">
            <v>0.45</v>
          </cell>
          <cell r="Y227">
            <v>10260</v>
          </cell>
          <cell r="Z227" t="str">
            <v>96</v>
          </cell>
          <cell r="AA227">
            <v>106.875</v>
          </cell>
          <cell r="AB227">
            <v>9.36</v>
          </cell>
          <cell r="AC227">
            <v>1.6900999999999999</v>
          </cell>
          <cell r="AD227">
            <v>7429.6795999999995</v>
          </cell>
          <cell r="AE227">
            <v>76396</v>
          </cell>
          <cell r="AF227">
            <v>8</v>
          </cell>
          <cell r="AG227">
            <v>9549.5</v>
          </cell>
          <cell r="AH227">
            <v>120</v>
          </cell>
          <cell r="AI227">
            <v>2</v>
          </cell>
          <cell r="AJ227">
            <v>10</v>
          </cell>
          <cell r="AK227">
            <v>36.114000000000004</v>
          </cell>
          <cell r="AL227">
            <v>3.78E-2</v>
          </cell>
          <cell r="AM227">
            <v>166.1688</v>
          </cell>
          <cell r="AN227" t="str">
            <v>J123</v>
          </cell>
          <cell r="AO227">
            <v>1.9359999999999999</v>
          </cell>
          <cell r="AP227">
            <v>3.0095000000000005</v>
          </cell>
        </row>
        <row r="228">
          <cell r="C228">
            <v>97700001</v>
          </cell>
          <cell r="D228" t="str">
            <v>POL ICE 40% 50X120 CAN VAD ND</v>
          </cell>
          <cell r="E228" t="str">
            <v>FS03</v>
          </cell>
          <cell r="F228" t="str">
            <v>08FP01</v>
          </cell>
          <cell r="G228">
            <v>2916</v>
          </cell>
          <cell r="H228" t="str">
            <v>50</v>
          </cell>
          <cell r="I228" t="str">
            <v>MR08F03</v>
          </cell>
          <cell r="J228" t="str">
            <v>120</v>
          </cell>
          <cell r="K228">
            <v>349920</v>
          </cell>
          <cell r="L228">
            <v>0.66669999999999996</v>
          </cell>
          <cell r="M228">
            <v>1944.0971999999999</v>
          </cell>
          <cell r="N228">
            <v>4</v>
          </cell>
          <cell r="O228">
            <v>1</v>
          </cell>
          <cell r="P228">
            <v>0</v>
          </cell>
          <cell r="Q228">
            <v>5</v>
          </cell>
          <cell r="R228">
            <v>137.08000000000001</v>
          </cell>
          <cell r="S228">
            <v>43.49</v>
          </cell>
          <cell r="T228">
            <v>0</v>
          </cell>
          <cell r="U228">
            <v>180.57000000000002</v>
          </cell>
          <cell r="V228">
            <v>380</v>
          </cell>
          <cell r="W228">
            <v>22800</v>
          </cell>
          <cell r="X228">
            <v>0.45</v>
          </cell>
          <cell r="Y228">
            <v>10260</v>
          </cell>
          <cell r="Z228" t="str">
            <v>120</v>
          </cell>
          <cell r="AA228">
            <v>85.5</v>
          </cell>
          <cell r="AB228">
            <v>11.7</v>
          </cell>
          <cell r="AC228">
            <v>2.1126999999999998</v>
          </cell>
          <cell r="AD228">
            <v>6160.6331999999993</v>
          </cell>
          <cell r="AE228">
            <v>22470.449999999997</v>
          </cell>
          <cell r="AF228">
            <v>4</v>
          </cell>
          <cell r="AG228">
            <v>5617.6125000000002</v>
          </cell>
          <cell r="AH228">
            <v>120</v>
          </cell>
          <cell r="AI228">
            <v>2</v>
          </cell>
          <cell r="AJ228">
            <v>10</v>
          </cell>
          <cell r="AK228">
            <v>36.114000000000004</v>
          </cell>
          <cell r="AL228">
            <v>6.4299999999999996E-2</v>
          </cell>
          <cell r="AM228">
            <v>187.49879999999999</v>
          </cell>
          <cell r="AN228" t="str">
            <v>K802</v>
          </cell>
          <cell r="AO228">
            <v>2.6166999999999998</v>
          </cell>
          <cell r="AP228">
            <v>3.0095000000000005</v>
          </cell>
        </row>
        <row r="229">
          <cell r="C229">
            <v>97700002</v>
          </cell>
          <cell r="D229" t="str">
            <v>WIS MAN 35% 50X120 VAD</v>
          </cell>
          <cell r="E229" t="str">
            <v>FS03</v>
          </cell>
          <cell r="F229" t="str">
            <v>34FP01</v>
          </cell>
          <cell r="G229">
            <v>715</v>
          </cell>
          <cell r="H229" t="str">
            <v>50</v>
          </cell>
          <cell r="I229" t="str">
            <v>MR08F03</v>
          </cell>
          <cell r="J229" t="str">
            <v>120</v>
          </cell>
          <cell r="K229">
            <v>85800</v>
          </cell>
          <cell r="L229">
            <v>0.66669999999999996</v>
          </cell>
          <cell r="M229">
            <v>476.69049999999999</v>
          </cell>
          <cell r="N229">
            <v>4</v>
          </cell>
          <cell r="O229">
            <v>1</v>
          </cell>
          <cell r="P229">
            <v>0</v>
          </cell>
          <cell r="Q229">
            <v>5</v>
          </cell>
          <cell r="R229">
            <v>137.08000000000001</v>
          </cell>
          <cell r="S229">
            <v>43.49</v>
          </cell>
          <cell r="T229">
            <v>0</v>
          </cell>
          <cell r="U229">
            <v>180.57000000000002</v>
          </cell>
          <cell r="V229">
            <v>380</v>
          </cell>
          <cell r="W229">
            <v>22800</v>
          </cell>
          <cell r="X229">
            <v>0.45</v>
          </cell>
          <cell r="Y229">
            <v>10260</v>
          </cell>
          <cell r="Z229" t="str">
            <v>120</v>
          </cell>
          <cell r="AA229">
            <v>85.5</v>
          </cell>
          <cell r="AB229">
            <v>11.7</v>
          </cell>
          <cell r="AC229">
            <v>2.1126999999999998</v>
          </cell>
          <cell r="AD229">
            <v>1510.5804999999998</v>
          </cell>
          <cell r="AE229">
            <v>3293</v>
          </cell>
          <cell r="AF229">
            <v>2</v>
          </cell>
          <cell r="AG229">
            <v>1646.5</v>
          </cell>
          <cell r="AH229">
            <v>120</v>
          </cell>
          <cell r="AI229">
            <v>2</v>
          </cell>
          <cell r="AJ229">
            <v>10</v>
          </cell>
          <cell r="AK229">
            <v>36.114000000000004</v>
          </cell>
          <cell r="AL229">
            <v>0.21929999999999999</v>
          </cell>
          <cell r="AM229">
            <v>156.79949999999999</v>
          </cell>
          <cell r="AN229" t="str">
            <v>K953</v>
          </cell>
          <cell r="AO229">
            <v>2.9297</v>
          </cell>
          <cell r="AP229">
            <v>3.0095000000000005</v>
          </cell>
        </row>
        <row r="230">
          <cell r="C230">
            <v>97700003</v>
          </cell>
          <cell r="D230" t="str">
            <v>MC ELD 15% 120/50 VAD CA</v>
          </cell>
          <cell r="E230" t="str">
            <v>FS03</v>
          </cell>
          <cell r="F230" t="str">
            <v>08FP01</v>
          </cell>
          <cell r="G230">
            <v>557</v>
          </cell>
          <cell r="H230" t="str">
            <v>50</v>
          </cell>
          <cell r="I230" t="str">
            <v>MR08F03</v>
          </cell>
          <cell r="J230" t="str">
            <v>120</v>
          </cell>
          <cell r="K230">
            <v>66840</v>
          </cell>
          <cell r="L230">
            <v>0.66669999999999996</v>
          </cell>
          <cell r="M230">
            <v>371.3519</v>
          </cell>
          <cell r="N230">
            <v>4</v>
          </cell>
          <cell r="O230">
            <v>1</v>
          </cell>
          <cell r="P230">
            <v>0</v>
          </cell>
          <cell r="Q230">
            <v>5</v>
          </cell>
          <cell r="R230">
            <v>137.08000000000001</v>
          </cell>
          <cell r="S230">
            <v>43.49</v>
          </cell>
          <cell r="T230">
            <v>0</v>
          </cell>
          <cell r="U230">
            <v>180.57000000000002</v>
          </cell>
          <cell r="V230">
            <v>380</v>
          </cell>
          <cell r="W230">
            <v>22800</v>
          </cell>
          <cell r="X230">
            <v>0.45</v>
          </cell>
          <cell r="Y230">
            <v>10260</v>
          </cell>
          <cell r="Z230" t="str">
            <v>120</v>
          </cell>
          <cell r="AA230">
            <v>85.5</v>
          </cell>
          <cell r="AB230">
            <v>11.7</v>
          </cell>
          <cell r="AC230">
            <v>2.1126999999999998</v>
          </cell>
          <cell r="AD230">
            <v>1176.7738999999999</v>
          </cell>
          <cell r="AE230">
            <v>22470.449999999997</v>
          </cell>
          <cell r="AF230">
            <v>4</v>
          </cell>
          <cell r="AG230">
            <v>5617.6125000000002</v>
          </cell>
          <cell r="AH230">
            <v>120</v>
          </cell>
          <cell r="AI230">
            <v>2</v>
          </cell>
          <cell r="AJ230">
            <v>10</v>
          </cell>
          <cell r="AK230">
            <v>36.114000000000004</v>
          </cell>
          <cell r="AL230">
            <v>6.4299999999999996E-2</v>
          </cell>
          <cell r="AM230">
            <v>35.815100000000001</v>
          </cell>
          <cell r="AN230" t="str">
            <v>K989</v>
          </cell>
          <cell r="AO230">
            <v>2.9441999999999995</v>
          </cell>
          <cell r="AP230">
            <v>3.0095000000000005</v>
          </cell>
        </row>
        <row r="231">
          <cell r="C231">
            <v>97700004</v>
          </cell>
          <cell r="D231" t="str">
            <v>WIS OLD FASHION 70P 50X120 US</v>
          </cell>
          <cell r="E231" t="str">
            <v>FS03</v>
          </cell>
          <cell r="F231" t="str">
            <v>34FP01</v>
          </cell>
          <cell r="G231">
            <v>2067</v>
          </cell>
          <cell r="H231" t="str">
            <v>50</v>
          </cell>
          <cell r="I231" t="str">
            <v>MR08F03</v>
          </cell>
          <cell r="J231" t="str">
            <v>120</v>
          </cell>
          <cell r="K231">
            <v>248040</v>
          </cell>
          <cell r="L231">
            <v>0.66669999999999996</v>
          </cell>
          <cell r="M231">
            <v>1378.0689</v>
          </cell>
          <cell r="N231">
            <v>4</v>
          </cell>
          <cell r="O231">
            <v>1</v>
          </cell>
          <cell r="P231">
            <v>0</v>
          </cell>
          <cell r="Q231">
            <v>5</v>
          </cell>
          <cell r="R231">
            <v>137.08000000000001</v>
          </cell>
          <cell r="S231">
            <v>43.49</v>
          </cell>
          <cell r="T231">
            <v>0</v>
          </cell>
          <cell r="U231">
            <v>180.57000000000002</v>
          </cell>
          <cell r="V231">
            <v>380</v>
          </cell>
          <cell r="W231">
            <v>22800</v>
          </cell>
          <cell r="X231">
            <v>0.45</v>
          </cell>
          <cell r="Y231">
            <v>10260</v>
          </cell>
          <cell r="Z231" t="str">
            <v>120</v>
          </cell>
          <cell r="AA231">
            <v>85.5</v>
          </cell>
          <cell r="AB231">
            <v>11.7</v>
          </cell>
          <cell r="AC231">
            <v>2.1126999999999998</v>
          </cell>
          <cell r="AD231">
            <v>4366.9508999999998</v>
          </cell>
          <cell r="AE231">
            <v>3293</v>
          </cell>
          <cell r="AF231">
            <v>2</v>
          </cell>
          <cell r="AG231">
            <v>1646.5</v>
          </cell>
          <cell r="AH231">
            <v>120</v>
          </cell>
          <cell r="AI231">
            <v>2</v>
          </cell>
          <cell r="AJ231">
            <v>10</v>
          </cell>
          <cell r="AK231">
            <v>36.114000000000004</v>
          </cell>
          <cell r="AL231">
            <v>0.21929999999999999</v>
          </cell>
          <cell r="AM231">
            <v>453.29309999999998</v>
          </cell>
          <cell r="AN231" t="str">
            <v>K919</v>
          </cell>
          <cell r="AO231">
            <v>2.7454999999999998</v>
          </cell>
          <cell r="AP231">
            <v>3.0095000000000005</v>
          </cell>
        </row>
        <row r="232">
          <cell r="C232">
            <v>97700005</v>
          </cell>
          <cell r="D232" t="str">
            <v>WIS MAN 70P 50X120 US</v>
          </cell>
          <cell r="E232" t="str">
            <v>FS03</v>
          </cell>
          <cell r="F232" t="str">
            <v>34FP01</v>
          </cell>
          <cell r="G232">
            <v>511</v>
          </cell>
          <cell r="H232" t="str">
            <v>50</v>
          </cell>
          <cell r="I232" t="str">
            <v>MR08F03</v>
          </cell>
          <cell r="J232" t="str">
            <v>120</v>
          </cell>
          <cell r="K232">
            <v>61320</v>
          </cell>
          <cell r="L232">
            <v>0.66669999999999996</v>
          </cell>
          <cell r="M232">
            <v>340.68369999999999</v>
          </cell>
          <cell r="N232">
            <v>4</v>
          </cell>
          <cell r="O232">
            <v>1</v>
          </cell>
          <cell r="P232">
            <v>0</v>
          </cell>
          <cell r="Q232">
            <v>5</v>
          </cell>
          <cell r="R232">
            <v>137.08000000000001</v>
          </cell>
          <cell r="S232">
            <v>43.49</v>
          </cell>
          <cell r="T232">
            <v>0</v>
          </cell>
          <cell r="U232">
            <v>180.57000000000002</v>
          </cell>
          <cell r="V232">
            <v>380</v>
          </cell>
          <cell r="W232">
            <v>22800</v>
          </cell>
          <cell r="X232">
            <v>0.45</v>
          </cell>
          <cell r="Y232">
            <v>10260</v>
          </cell>
          <cell r="Z232" t="str">
            <v>120</v>
          </cell>
          <cell r="AA232">
            <v>85.5</v>
          </cell>
          <cell r="AB232">
            <v>11.7</v>
          </cell>
          <cell r="AC232">
            <v>2.1126999999999998</v>
          </cell>
          <cell r="AD232">
            <v>1079.5897</v>
          </cell>
          <cell r="AE232">
            <v>3293</v>
          </cell>
          <cell r="AF232">
            <v>2</v>
          </cell>
          <cell r="AG232">
            <v>1646.5</v>
          </cell>
          <cell r="AH232">
            <v>120</v>
          </cell>
          <cell r="AI232">
            <v>2</v>
          </cell>
          <cell r="AJ232">
            <v>10</v>
          </cell>
          <cell r="AK232">
            <v>36.114000000000004</v>
          </cell>
          <cell r="AL232">
            <v>0.21929999999999999</v>
          </cell>
          <cell r="AM232">
            <v>112.06229999999999</v>
          </cell>
          <cell r="AN232" t="str">
            <v>K953</v>
          </cell>
          <cell r="AO232">
            <v>3.1682999999999999</v>
          </cell>
          <cell r="AP232">
            <v>3.0095000000000005</v>
          </cell>
        </row>
        <row r="233">
          <cell r="C233">
            <v>71608001</v>
          </cell>
          <cell r="D233" t="str">
            <v>JEF VSB BBN 82.3 6/750 UNF US</v>
          </cell>
          <cell r="E233" t="str">
            <v>FS01</v>
          </cell>
          <cell r="F233" t="str">
            <v>59CG01</v>
          </cell>
          <cell r="G233">
            <v>233507.06</v>
          </cell>
          <cell r="H233" t="str">
            <v>750</v>
          </cell>
          <cell r="I233" t="str">
            <v>MR59C01</v>
          </cell>
          <cell r="J233" t="str">
            <v>6</v>
          </cell>
          <cell r="K233">
            <v>1401042.3599999999</v>
          </cell>
          <cell r="L233">
            <v>0.5</v>
          </cell>
          <cell r="M233">
            <v>116753.53</v>
          </cell>
          <cell r="N233">
            <v>4</v>
          </cell>
          <cell r="O233">
            <v>1</v>
          </cell>
          <cell r="P233">
            <v>12</v>
          </cell>
          <cell r="Q233">
            <v>17</v>
          </cell>
          <cell r="R233">
            <v>137.08000000000001</v>
          </cell>
          <cell r="S233">
            <v>43.49</v>
          </cell>
          <cell r="T233">
            <v>226.07999999999998</v>
          </cell>
          <cell r="U233">
            <v>406.65</v>
          </cell>
          <cell r="V233">
            <v>55</v>
          </cell>
          <cell r="W233">
            <v>3300</v>
          </cell>
          <cell r="X233">
            <v>0.5</v>
          </cell>
          <cell r="Y233">
            <v>1650</v>
          </cell>
          <cell r="Z233" t="str">
            <v>6</v>
          </cell>
          <cell r="AA233">
            <v>275</v>
          </cell>
          <cell r="AB233">
            <v>3.64</v>
          </cell>
          <cell r="AC233">
            <v>1.4802</v>
          </cell>
          <cell r="AD233">
            <v>345637.15021200001</v>
          </cell>
          <cell r="AE233">
            <v>450775.38</v>
          </cell>
          <cell r="AF233">
            <v>18</v>
          </cell>
          <cell r="AG233">
            <v>25043.076669999999</v>
          </cell>
          <cell r="AH233">
            <v>120</v>
          </cell>
          <cell r="AI233">
            <v>2</v>
          </cell>
          <cell r="AJ233">
            <v>34</v>
          </cell>
          <cell r="AK233">
            <v>23.920588235294115</v>
          </cell>
          <cell r="AL233">
            <v>3.2500000000000001E-2</v>
          </cell>
          <cell r="AM233">
            <v>7588.9794499999998</v>
          </cell>
          <cell r="AN233" t="str">
            <v>J149</v>
          </cell>
          <cell r="AO233">
            <v>1.5753999999999999</v>
          </cell>
          <cell r="AP233">
            <v>6.7774999999999999</v>
          </cell>
        </row>
        <row r="234">
          <cell r="C234">
            <v>71608010</v>
          </cell>
          <cell r="D234" t="str">
            <v>JEF RSV BBN 90.2 6/750 UNF US</v>
          </cell>
          <cell r="E234" t="str">
            <v>FS01</v>
          </cell>
          <cell r="F234" t="str">
            <v>59CG01</v>
          </cell>
          <cell r="G234">
            <v>105102.96</v>
          </cell>
          <cell r="H234" t="str">
            <v>750</v>
          </cell>
          <cell r="I234" t="str">
            <v>MR59C01</v>
          </cell>
          <cell r="J234" t="str">
            <v>6</v>
          </cell>
          <cell r="K234">
            <v>630617.76</v>
          </cell>
          <cell r="L234">
            <v>0.5</v>
          </cell>
          <cell r="M234">
            <v>52551.48</v>
          </cell>
          <cell r="N234">
            <v>4</v>
          </cell>
          <cell r="O234">
            <v>1</v>
          </cell>
          <cell r="P234">
            <v>12</v>
          </cell>
          <cell r="Q234">
            <v>17</v>
          </cell>
          <cell r="R234">
            <v>137.08000000000001</v>
          </cell>
          <cell r="S234">
            <v>43.49</v>
          </cell>
          <cell r="T234">
            <v>226.07999999999998</v>
          </cell>
          <cell r="U234">
            <v>406.65</v>
          </cell>
          <cell r="V234">
            <v>55</v>
          </cell>
          <cell r="W234">
            <v>3300</v>
          </cell>
          <cell r="X234">
            <v>0.5</v>
          </cell>
          <cell r="Y234">
            <v>1650</v>
          </cell>
          <cell r="Z234" t="str">
            <v>6</v>
          </cell>
          <cell r="AA234">
            <v>275</v>
          </cell>
          <cell r="AB234">
            <v>3.64</v>
          </cell>
          <cell r="AC234">
            <v>1.4802</v>
          </cell>
          <cell r="AD234">
            <v>155573.401392</v>
          </cell>
          <cell r="AE234">
            <v>450775.38</v>
          </cell>
          <cell r="AF234">
            <v>18</v>
          </cell>
          <cell r="AG234">
            <v>25043.076669999999</v>
          </cell>
          <cell r="AH234">
            <v>120</v>
          </cell>
          <cell r="AI234">
            <v>2</v>
          </cell>
          <cell r="AJ234">
            <v>34</v>
          </cell>
          <cell r="AK234">
            <v>23.920588235294115</v>
          </cell>
          <cell r="AL234">
            <v>3.2500000000000001E-2</v>
          </cell>
          <cell r="AM234">
            <v>3415.8462000000004</v>
          </cell>
          <cell r="AN234" t="str">
            <v>J150</v>
          </cell>
          <cell r="AO234">
            <v>1.6519999999999999</v>
          </cell>
          <cell r="AP234">
            <v>6.7774999999999999</v>
          </cell>
        </row>
        <row r="235">
          <cell r="C235">
            <v>72805002</v>
          </cell>
          <cell r="D235" t="str">
            <v>JEF OCN AGD FS 90 12/375 UNFUS</v>
          </cell>
          <cell r="E235" t="str">
            <v>FS01</v>
          </cell>
          <cell r="F235" t="str">
            <v>59GG01</v>
          </cell>
          <cell r="G235">
            <v>5000</v>
          </cell>
          <cell r="H235" t="str">
            <v>375</v>
          </cell>
          <cell r="I235" t="str">
            <v>MR59G01</v>
          </cell>
          <cell r="J235" t="str">
            <v>12</v>
          </cell>
          <cell r="K235">
            <v>60000</v>
          </cell>
          <cell r="L235">
            <v>0.5</v>
          </cell>
          <cell r="M235">
            <v>2500</v>
          </cell>
          <cell r="N235">
            <v>4</v>
          </cell>
          <cell r="O235">
            <v>1</v>
          </cell>
          <cell r="P235">
            <v>12</v>
          </cell>
          <cell r="Q235">
            <v>17</v>
          </cell>
          <cell r="R235">
            <v>137.08000000000001</v>
          </cell>
          <cell r="S235">
            <v>43.49</v>
          </cell>
          <cell r="T235">
            <v>226.07999999999998</v>
          </cell>
          <cell r="U235">
            <v>406.65</v>
          </cell>
          <cell r="V235">
            <v>55</v>
          </cell>
          <cell r="W235">
            <v>3300</v>
          </cell>
          <cell r="X235">
            <v>0.5</v>
          </cell>
          <cell r="Y235">
            <v>1650</v>
          </cell>
          <cell r="Z235" t="str">
            <v>12</v>
          </cell>
          <cell r="AA235">
            <v>137.5</v>
          </cell>
          <cell r="AB235">
            <v>7.27</v>
          </cell>
          <cell r="AC235">
            <v>2.9563000000000001</v>
          </cell>
          <cell r="AD235">
            <v>14781.5</v>
          </cell>
          <cell r="AE235">
            <v>5000</v>
          </cell>
          <cell r="AF235">
            <v>2</v>
          </cell>
          <cell r="AG235">
            <v>2500</v>
          </cell>
          <cell r="AH235">
            <v>120</v>
          </cell>
          <cell r="AI235">
            <v>2</v>
          </cell>
          <cell r="AJ235">
            <v>34</v>
          </cell>
          <cell r="AK235">
            <v>23.920588235294115</v>
          </cell>
          <cell r="AL235">
            <v>0.32529999999999998</v>
          </cell>
          <cell r="AM235">
            <v>1626.5</v>
          </cell>
          <cell r="AN235" t="str">
            <v>J154</v>
          </cell>
          <cell r="AO235">
            <v>3.7696000000000001</v>
          </cell>
          <cell r="AP235">
            <v>6.7774999999999999</v>
          </cell>
        </row>
        <row r="236">
          <cell r="C236">
            <v>72808002</v>
          </cell>
          <cell r="D236" t="str">
            <v>JEF OCN ATW V23 90 6/750 UNFUS</v>
          </cell>
          <cell r="E236" t="str">
            <v>FS01</v>
          </cell>
          <cell r="F236" t="str">
            <v>59CG01</v>
          </cell>
          <cell r="G236">
            <v>112165.36</v>
          </cell>
          <cell r="H236" t="str">
            <v>750</v>
          </cell>
          <cell r="I236" t="str">
            <v>MR59C01</v>
          </cell>
          <cell r="J236" t="str">
            <v>6</v>
          </cell>
          <cell r="K236">
            <v>672992.16</v>
          </cell>
          <cell r="L236">
            <v>0.5</v>
          </cell>
          <cell r="M236">
            <v>56082.68</v>
          </cell>
          <cell r="N236">
            <v>4</v>
          </cell>
          <cell r="O236">
            <v>1</v>
          </cell>
          <cell r="P236">
            <v>12</v>
          </cell>
          <cell r="Q236">
            <v>17</v>
          </cell>
          <cell r="R236">
            <v>137.08000000000001</v>
          </cell>
          <cell r="S236">
            <v>43.49</v>
          </cell>
          <cell r="T236">
            <v>226.07999999999998</v>
          </cell>
          <cell r="U236">
            <v>406.65</v>
          </cell>
          <cell r="V236">
            <v>55</v>
          </cell>
          <cell r="W236">
            <v>3300</v>
          </cell>
          <cell r="X236">
            <v>0.5</v>
          </cell>
          <cell r="Y236">
            <v>1650</v>
          </cell>
          <cell r="Z236" t="str">
            <v>6</v>
          </cell>
          <cell r="AA236">
            <v>275</v>
          </cell>
          <cell r="AB236">
            <v>3.64</v>
          </cell>
          <cell r="AC236">
            <v>1.4802</v>
          </cell>
          <cell r="AD236">
            <v>166027.16587199998</v>
          </cell>
          <cell r="AE236">
            <v>450775.38</v>
          </cell>
          <cell r="AF236">
            <v>18</v>
          </cell>
          <cell r="AG236">
            <v>25043.076669999999</v>
          </cell>
          <cell r="AH236">
            <v>120</v>
          </cell>
          <cell r="AI236">
            <v>2</v>
          </cell>
          <cell r="AJ236">
            <v>34</v>
          </cell>
          <cell r="AK236">
            <v>23.920588235294115</v>
          </cell>
          <cell r="AL236">
            <v>3.2500000000000001E-2</v>
          </cell>
          <cell r="AM236">
            <v>3645.3742000000002</v>
          </cell>
          <cell r="AN236" t="str">
            <v>J154</v>
          </cell>
          <cell r="AO236">
            <v>1.6432</v>
          </cell>
          <cell r="AP236">
            <v>6.7774999999999999</v>
          </cell>
        </row>
        <row r="237">
          <cell r="C237">
            <v>72808004</v>
          </cell>
          <cell r="D237" t="str">
            <v>JEF OCN CBN V24 90 6/750UNFUS</v>
          </cell>
          <cell r="E237" t="str">
            <v>FS01</v>
          </cell>
          <cell r="F237" t="str">
            <v>59CG01</v>
          </cell>
          <cell r="G237">
            <v>20793.099999999999</v>
          </cell>
          <cell r="H237" t="str">
            <v>750</v>
          </cell>
          <cell r="I237" t="str">
            <v>MR59C01</v>
          </cell>
          <cell r="J237" t="str">
            <v>6</v>
          </cell>
          <cell r="K237">
            <v>124758.59999999999</v>
          </cell>
          <cell r="L237">
            <v>0.5</v>
          </cell>
          <cell r="M237">
            <v>10396.549999999999</v>
          </cell>
          <cell r="N237">
            <v>4</v>
          </cell>
          <cell r="O237">
            <v>1</v>
          </cell>
          <cell r="P237">
            <v>12</v>
          </cell>
          <cell r="Q237">
            <v>17</v>
          </cell>
          <cell r="R237">
            <v>137.08000000000001</v>
          </cell>
          <cell r="S237">
            <v>43.49</v>
          </cell>
          <cell r="T237">
            <v>226.07999999999998</v>
          </cell>
          <cell r="U237">
            <v>406.65</v>
          </cell>
          <cell r="V237">
            <v>55</v>
          </cell>
          <cell r="W237">
            <v>3300</v>
          </cell>
          <cell r="X237">
            <v>0.5</v>
          </cell>
          <cell r="Y237">
            <v>1650</v>
          </cell>
          <cell r="Z237" t="str">
            <v>6</v>
          </cell>
          <cell r="AA237">
            <v>275</v>
          </cell>
          <cell r="AB237">
            <v>3.64</v>
          </cell>
          <cell r="AC237">
            <v>1.4802</v>
          </cell>
          <cell r="AD237">
            <v>30777.946619999999</v>
          </cell>
          <cell r="AE237">
            <v>450775.38</v>
          </cell>
          <cell r="AF237">
            <v>18</v>
          </cell>
          <cell r="AG237">
            <v>25043.076669999999</v>
          </cell>
          <cell r="AH237">
            <v>120</v>
          </cell>
          <cell r="AI237">
            <v>2</v>
          </cell>
          <cell r="AJ237">
            <v>34</v>
          </cell>
          <cell r="AK237">
            <v>23.920588235294115</v>
          </cell>
          <cell r="AL237">
            <v>3.2500000000000001E-2</v>
          </cell>
          <cell r="AM237">
            <v>675.77575000000002</v>
          </cell>
          <cell r="AN237" t="str">
            <v>J155</v>
          </cell>
          <cell r="AO237">
            <v>1.7473999999999998</v>
          </cell>
          <cell r="AP237">
            <v>6.7774999999999999</v>
          </cell>
        </row>
        <row r="238">
          <cell r="C238">
            <v>74908001</v>
          </cell>
          <cell r="D238" t="str">
            <v>JEF RYE CGNC 94 6/750 UNF US</v>
          </cell>
          <cell r="E238" t="str">
            <v>FS01</v>
          </cell>
          <cell r="F238" t="str">
            <v>59CG01</v>
          </cell>
          <cell r="G238">
            <v>1000</v>
          </cell>
          <cell r="H238" t="str">
            <v>750</v>
          </cell>
          <cell r="I238" t="str">
            <v>MR59C01</v>
          </cell>
          <cell r="J238" t="str">
            <v>6</v>
          </cell>
          <cell r="K238">
            <v>6000</v>
          </cell>
          <cell r="L238">
            <v>0.5</v>
          </cell>
          <cell r="M238">
            <v>500</v>
          </cell>
          <cell r="N238">
            <v>4</v>
          </cell>
          <cell r="O238">
            <v>1</v>
          </cell>
          <cell r="P238">
            <v>12</v>
          </cell>
          <cell r="Q238">
            <v>17</v>
          </cell>
          <cell r="R238">
            <v>137.08000000000001</v>
          </cell>
          <cell r="S238">
            <v>43.49</v>
          </cell>
          <cell r="T238">
            <v>226.07999999999998</v>
          </cell>
          <cell r="U238">
            <v>406.65</v>
          </cell>
          <cell r="V238">
            <v>55</v>
          </cell>
          <cell r="W238">
            <v>3300</v>
          </cell>
          <cell r="X238">
            <v>0.5</v>
          </cell>
          <cell r="Y238">
            <v>1650</v>
          </cell>
          <cell r="Z238" t="str">
            <v>6</v>
          </cell>
          <cell r="AA238">
            <v>275</v>
          </cell>
          <cell r="AB238">
            <v>3.64</v>
          </cell>
          <cell r="AC238">
            <v>1.4802</v>
          </cell>
          <cell r="AD238">
            <v>1480.2</v>
          </cell>
          <cell r="AE238">
            <v>450775.38</v>
          </cell>
          <cell r="AF238">
            <v>18</v>
          </cell>
          <cell r="AG238">
            <v>25043.076669999999</v>
          </cell>
          <cell r="AH238">
            <v>120</v>
          </cell>
          <cell r="AI238">
            <v>2</v>
          </cell>
          <cell r="AJ238">
            <v>34</v>
          </cell>
          <cell r="AK238">
            <v>23.920588235294115</v>
          </cell>
          <cell r="AL238">
            <v>3.2500000000000001E-2</v>
          </cell>
          <cell r="AM238">
            <v>32.5</v>
          </cell>
          <cell r="AN238" t="str">
            <v>J151</v>
          </cell>
          <cell r="AO238">
            <v>2.7326999999999999</v>
          </cell>
          <cell r="AP238">
            <v>6.7774999999999999</v>
          </cell>
        </row>
        <row r="239">
          <cell r="C239">
            <v>79108002</v>
          </cell>
          <cell r="D239" t="str">
            <v>JEF OCN RYE V26 96 6/750 UNFUS</v>
          </cell>
          <cell r="E239" t="str">
            <v>FS01</v>
          </cell>
          <cell r="F239" t="str">
            <v>59CG01</v>
          </cell>
          <cell r="G239">
            <v>20499.72</v>
          </cell>
          <cell r="H239" t="str">
            <v>750</v>
          </cell>
          <cell r="I239" t="str">
            <v>MR59C01</v>
          </cell>
          <cell r="J239" t="str">
            <v>6</v>
          </cell>
          <cell r="K239">
            <v>122998.32</v>
          </cell>
          <cell r="L239">
            <v>0.5</v>
          </cell>
          <cell r="M239">
            <v>10249.86</v>
          </cell>
          <cell r="N239">
            <v>4</v>
          </cell>
          <cell r="O239">
            <v>1</v>
          </cell>
          <cell r="P239">
            <v>12</v>
          </cell>
          <cell r="Q239">
            <v>17</v>
          </cell>
          <cell r="R239">
            <v>137.08000000000001</v>
          </cell>
          <cell r="S239">
            <v>43.49</v>
          </cell>
          <cell r="T239">
            <v>226.07999999999998</v>
          </cell>
          <cell r="U239">
            <v>406.65</v>
          </cell>
          <cell r="V239">
            <v>55</v>
          </cell>
          <cell r="W239">
            <v>3300</v>
          </cell>
          <cell r="X239">
            <v>0.5</v>
          </cell>
          <cell r="Y239">
            <v>1650</v>
          </cell>
          <cell r="Z239" t="str">
            <v>6</v>
          </cell>
          <cell r="AA239">
            <v>275</v>
          </cell>
          <cell r="AB239">
            <v>3.64</v>
          </cell>
          <cell r="AC239">
            <v>1.4802</v>
          </cell>
          <cell r="AD239">
            <v>30343.685544</v>
          </cell>
          <cell r="AE239">
            <v>450775.38</v>
          </cell>
          <cell r="AF239">
            <v>18</v>
          </cell>
          <cell r="AG239">
            <v>25043.076669999999</v>
          </cell>
          <cell r="AH239">
            <v>120</v>
          </cell>
          <cell r="AI239">
            <v>2</v>
          </cell>
          <cell r="AJ239">
            <v>34</v>
          </cell>
          <cell r="AK239">
            <v>23.920588235294115</v>
          </cell>
          <cell r="AL239">
            <v>3.2500000000000001E-2</v>
          </cell>
          <cell r="AM239">
            <v>666.24090000000001</v>
          </cell>
          <cell r="AN239" t="str">
            <v>J153</v>
          </cell>
          <cell r="AO239">
            <v>1.7506999999999999</v>
          </cell>
          <cell r="AP239">
            <v>6.7774999999999999</v>
          </cell>
        </row>
        <row r="240">
          <cell r="C240">
            <v>98408001</v>
          </cell>
          <cell r="D240" t="str">
            <v>BROS BOND BBN 80P 6/750 UNF US</v>
          </cell>
          <cell r="E240" t="str">
            <v>FS01</v>
          </cell>
          <cell r="F240" t="str">
            <v>060G01</v>
          </cell>
          <cell r="G240">
            <v>139430</v>
          </cell>
          <cell r="H240" t="str">
            <v>750</v>
          </cell>
          <cell r="I240" t="str">
            <v>MR06001</v>
          </cell>
          <cell r="J240" t="str">
            <v>6</v>
          </cell>
          <cell r="K240">
            <v>836580</v>
          </cell>
          <cell r="L240">
            <v>0.5</v>
          </cell>
          <cell r="M240">
            <v>69715</v>
          </cell>
          <cell r="N240">
            <v>4</v>
          </cell>
          <cell r="O240">
            <v>1</v>
          </cell>
          <cell r="P240">
            <v>15</v>
          </cell>
          <cell r="Q240">
            <v>20</v>
          </cell>
          <cell r="R240">
            <v>137.08000000000001</v>
          </cell>
          <cell r="S240">
            <v>43.49</v>
          </cell>
          <cell r="T240">
            <v>282.60000000000002</v>
          </cell>
          <cell r="U240">
            <v>463.17000000000007</v>
          </cell>
          <cell r="V240">
            <v>30</v>
          </cell>
          <cell r="W240">
            <v>1800</v>
          </cell>
          <cell r="X240">
            <v>0.6</v>
          </cell>
          <cell r="Y240">
            <v>1080</v>
          </cell>
          <cell r="Z240" t="str">
            <v>6</v>
          </cell>
          <cell r="AA240">
            <v>180</v>
          </cell>
          <cell r="AB240">
            <v>5.56</v>
          </cell>
          <cell r="AC240">
            <v>2.5752000000000002</v>
          </cell>
          <cell r="AD240">
            <v>359060.136</v>
          </cell>
          <cell r="AE240">
            <v>141130</v>
          </cell>
          <cell r="AF240">
            <v>13</v>
          </cell>
          <cell r="AG240">
            <v>10856.153850000001</v>
          </cell>
          <cell r="AH240">
            <v>120</v>
          </cell>
          <cell r="AI240">
            <v>2</v>
          </cell>
          <cell r="AJ240">
            <v>40</v>
          </cell>
          <cell r="AK240">
            <v>23.158500000000004</v>
          </cell>
          <cell r="AL240">
            <v>8.5300000000000001E-2</v>
          </cell>
          <cell r="AM240">
            <v>11893.379000000001</v>
          </cell>
          <cell r="AN240" t="str">
            <v>J145</v>
          </cell>
          <cell r="AO240">
            <v>2.7801000000000005</v>
          </cell>
          <cell r="AP240">
            <v>7.7195000000000009</v>
          </cell>
        </row>
        <row r="241">
          <cell r="C241">
            <v>98408002</v>
          </cell>
          <cell r="D241" t="str">
            <v>BROS BOND BBN xxx 6/750 UNF US</v>
          </cell>
          <cell r="E241" t="str">
            <v>FS01</v>
          </cell>
          <cell r="F241" t="str">
            <v>060G01</v>
          </cell>
          <cell r="G241">
            <v>1700</v>
          </cell>
          <cell r="H241" t="str">
            <v>750</v>
          </cell>
          <cell r="I241" t="str">
            <v>MR06001</v>
          </cell>
          <cell r="J241" t="str">
            <v>6</v>
          </cell>
          <cell r="K241">
            <v>10200</v>
          </cell>
          <cell r="L241">
            <v>0.5</v>
          </cell>
          <cell r="M241">
            <v>850</v>
          </cell>
          <cell r="N241">
            <v>4</v>
          </cell>
          <cell r="O241">
            <v>1</v>
          </cell>
          <cell r="P241">
            <v>15</v>
          </cell>
          <cell r="Q241">
            <v>20</v>
          </cell>
          <cell r="R241">
            <v>137.08000000000001</v>
          </cell>
          <cell r="S241">
            <v>43.49</v>
          </cell>
          <cell r="T241">
            <v>282.60000000000002</v>
          </cell>
          <cell r="U241">
            <v>463.17000000000007</v>
          </cell>
          <cell r="V241">
            <v>30</v>
          </cell>
          <cell r="W241">
            <v>1800</v>
          </cell>
          <cell r="X241">
            <v>0.6</v>
          </cell>
          <cell r="Y241">
            <v>1080</v>
          </cell>
          <cell r="Z241" t="str">
            <v>6</v>
          </cell>
          <cell r="AA241">
            <v>180</v>
          </cell>
          <cell r="AB241">
            <v>5.56</v>
          </cell>
          <cell r="AC241">
            <v>2.5752000000000002</v>
          </cell>
          <cell r="AD241">
            <v>4377.84</v>
          </cell>
          <cell r="AE241">
            <v>141130</v>
          </cell>
          <cell r="AF241">
            <v>13</v>
          </cell>
          <cell r="AG241">
            <v>10856.153850000001</v>
          </cell>
          <cell r="AH241">
            <v>120</v>
          </cell>
          <cell r="AI241">
            <v>2</v>
          </cell>
          <cell r="AJ241">
            <v>40</v>
          </cell>
          <cell r="AK241">
            <v>23.158500000000004</v>
          </cell>
          <cell r="AL241">
            <v>8.5300000000000001E-2</v>
          </cell>
          <cell r="AM241">
            <v>145.01</v>
          </cell>
          <cell r="AN241" t="str">
            <v>J160</v>
          </cell>
          <cell r="AO241">
            <v>3.4779000000000004</v>
          </cell>
          <cell r="AP241">
            <v>7.7195000000000009</v>
          </cell>
        </row>
        <row r="242">
          <cell r="C242">
            <v>30008177</v>
          </cell>
          <cell r="D242" t="str">
            <v>SEAG GIN 80 12/750 SK</v>
          </cell>
          <cell r="E242" t="str">
            <v>FS01</v>
          </cell>
          <cell r="F242" t="str">
            <v>42CG01</v>
          </cell>
          <cell r="G242">
            <v>1</v>
          </cell>
          <cell r="H242" t="str">
            <v>750</v>
          </cell>
          <cell r="I242" t="str">
            <v>MR42C01</v>
          </cell>
          <cell r="J242" t="str">
            <v>12</v>
          </cell>
          <cell r="K242">
            <v>12</v>
          </cell>
          <cell r="L242">
            <v>1</v>
          </cell>
          <cell r="M242">
            <v>1</v>
          </cell>
          <cell r="N242">
            <v>4</v>
          </cell>
          <cell r="O242">
            <v>1</v>
          </cell>
          <cell r="P242">
            <v>0</v>
          </cell>
          <cell r="Q242">
            <v>5</v>
          </cell>
          <cell r="R242">
            <v>137.08000000000001</v>
          </cell>
          <cell r="S242">
            <v>43.49</v>
          </cell>
          <cell r="T242">
            <v>0</v>
          </cell>
          <cell r="U242">
            <v>180.57000000000002</v>
          </cell>
          <cell r="V242">
            <v>165</v>
          </cell>
          <cell r="W242">
            <v>9900</v>
          </cell>
          <cell r="X242">
            <v>0.51</v>
          </cell>
          <cell r="Y242">
            <v>5049</v>
          </cell>
          <cell r="Z242" t="str">
            <v>12</v>
          </cell>
          <cell r="AA242">
            <v>420.75</v>
          </cell>
          <cell r="AB242">
            <v>2.38</v>
          </cell>
          <cell r="AC242">
            <v>0.42980000000000002</v>
          </cell>
          <cell r="AD242">
            <v>0.42980000000000002</v>
          </cell>
          <cell r="AE242">
            <v>444313.4545310181</v>
          </cell>
          <cell r="AF242">
            <v>15</v>
          </cell>
          <cell r="AG242">
            <v>29620.896970000002</v>
          </cell>
          <cell r="AH242">
            <v>120</v>
          </cell>
          <cell r="AI242">
            <v>2</v>
          </cell>
          <cell r="AJ242">
            <v>10</v>
          </cell>
          <cell r="AK242">
            <v>36.114000000000004</v>
          </cell>
          <cell r="AL242">
            <v>1.2200000000000001E-2</v>
          </cell>
          <cell r="AM242">
            <v>1.2200000000000001E-2</v>
          </cell>
          <cell r="AN242" t="str">
            <v>K954</v>
          </cell>
          <cell r="AO242">
            <v>0.5323</v>
          </cell>
          <cell r="AP242">
            <v>3.0095000000000005</v>
          </cell>
        </row>
        <row r="243">
          <cell r="C243">
            <v>31208003</v>
          </cell>
          <cell r="D243" t="str">
            <v>SEAG EXSM VKDA 80 12/750 SK</v>
          </cell>
          <cell r="E243" t="str">
            <v>FS01</v>
          </cell>
          <cell r="F243" t="str">
            <v>42CG01</v>
          </cell>
          <cell r="G243">
            <v>1</v>
          </cell>
          <cell r="H243" t="str">
            <v>750</v>
          </cell>
          <cell r="I243" t="str">
            <v>MR42C01</v>
          </cell>
          <cell r="J243" t="str">
            <v>12</v>
          </cell>
          <cell r="K243">
            <v>12</v>
          </cell>
          <cell r="L243">
            <v>1</v>
          </cell>
          <cell r="M243">
            <v>1</v>
          </cell>
          <cell r="N243">
            <v>4</v>
          </cell>
          <cell r="O243">
            <v>1</v>
          </cell>
          <cell r="P243">
            <v>0</v>
          </cell>
          <cell r="Q243">
            <v>5</v>
          </cell>
          <cell r="R243">
            <v>137.08000000000001</v>
          </cell>
          <cell r="S243">
            <v>43.49</v>
          </cell>
          <cell r="T243">
            <v>0</v>
          </cell>
          <cell r="U243">
            <v>180.57000000000002</v>
          </cell>
          <cell r="V243">
            <v>165</v>
          </cell>
          <cell r="W243">
            <v>9900</v>
          </cell>
          <cell r="X243">
            <v>0.51</v>
          </cell>
          <cell r="Y243">
            <v>5049</v>
          </cell>
          <cell r="Z243" t="str">
            <v>12</v>
          </cell>
          <cell r="AA243">
            <v>420.75</v>
          </cell>
          <cell r="AB243">
            <v>2.38</v>
          </cell>
          <cell r="AC243">
            <v>0.42980000000000002</v>
          </cell>
          <cell r="AD243">
            <v>0.42980000000000002</v>
          </cell>
          <cell r="AE243">
            <v>444313.4545310181</v>
          </cell>
          <cell r="AF243">
            <v>15</v>
          </cell>
          <cell r="AG243">
            <v>29620.896970000002</v>
          </cell>
          <cell r="AH243">
            <v>120</v>
          </cell>
          <cell r="AI243">
            <v>2</v>
          </cell>
          <cell r="AJ243">
            <v>10</v>
          </cell>
          <cell r="AK243">
            <v>36.114000000000004</v>
          </cell>
          <cell r="AL243">
            <v>1.2200000000000001E-2</v>
          </cell>
          <cell r="AM243">
            <v>1.2200000000000001E-2</v>
          </cell>
          <cell r="AN243" t="str">
            <v>K492</v>
          </cell>
          <cell r="AO243">
            <v>0.5323</v>
          </cell>
          <cell r="AP243">
            <v>3.0095000000000005</v>
          </cell>
        </row>
        <row r="244">
          <cell r="C244">
            <v>30008037</v>
          </cell>
          <cell r="D244" t="str">
            <v>SEAG GIN 80P 12/750 ND GE</v>
          </cell>
          <cell r="E244" t="str">
            <v>FS01</v>
          </cell>
          <cell r="F244" t="str">
            <v>42CG01</v>
          </cell>
          <cell r="G244">
            <v>1</v>
          </cell>
          <cell r="H244" t="str">
            <v>750</v>
          </cell>
          <cell r="I244" t="str">
            <v>MR42C01</v>
          </cell>
          <cell r="J244" t="str">
            <v>12</v>
          </cell>
          <cell r="K244">
            <v>12</v>
          </cell>
          <cell r="L244">
            <v>1</v>
          </cell>
          <cell r="M244">
            <v>1</v>
          </cell>
          <cell r="N244">
            <v>4</v>
          </cell>
          <cell r="O244">
            <v>1</v>
          </cell>
          <cell r="P244">
            <v>0</v>
          </cell>
          <cell r="Q244">
            <v>5</v>
          </cell>
          <cell r="R244">
            <v>137.08000000000001</v>
          </cell>
          <cell r="S244">
            <v>43.49</v>
          </cell>
          <cell r="T244">
            <v>0</v>
          </cell>
          <cell r="U244">
            <v>180.57000000000002</v>
          </cell>
          <cell r="V244">
            <v>165</v>
          </cell>
          <cell r="W244">
            <v>9900</v>
          </cell>
          <cell r="X244">
            <v>0.51</v>
          </cell>
          <cell r="Y244">
            <v>5049</v>
          </cell>
          <cell r="Z244" t="str">
            <v>12</v>
          </cell>
          <cell r="AA244">
            <v>420.75</v>
          </cell>
          <cell r="AB244">
            <v>2.38</v>
          </cell>
          <cell r="AC244">
            <v>0.42980000000000002</v>
          </cell>
          <cell r="AD244">
            <v>0.42980000000000002</v>
          </cell>
          <cell r="AE244">
            <v>444313.4545310181</v>
          </cell>
          <cell r="AF244">
            <v>15</v>
          </cell>
          <cell r="AG244">
            <v>29620.896970000002</v>
          </cell>
          <cell r="AH244">
            <v>120</v>
          </cell>
          <cell r="AI244">
            <v>2</v>
          </cell>
          <cell r="AJ244">
            <v>10</v>
          </cell>
          <cell r="AK244">
            <v>36.114000000000004</v>
          </cell>
          <cell r="AL244">
            <v>1.2200000000000001E-2</v>
          </cell>
          <cell r="AM244">
            <v>1.2200000000000001E-2</v>
          </cell>
          <cell r="AN244" t="str">
            <v>K954</v>
          </cell>
          <cell r="AO244">
            <v>0.5323</v>
          </cell>
          <cell r="AP244">
            <v>3.0095000000000005</v>
          </cell>
        </row>
        <row r="245">
          <cell r="C245" t="str">
            <v xml:space="preserve">        FS01</v>
          </cell>
          <cell r="D245"/>
          <cell r="E245" t="str">
            <v>FS01</v>
          </cell>
          <cell r="F245"/>
          <cell r="G245"/>
          <cell r="H245"/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  <cell r="S245"/>
          <cell r="T245"/>
          <cell r="U245">
            <v>233</v>
          </cell>
          <cell r="V245"/>
          <cell r="W245"/>
          <cell r="X245"/>
          <cell r="Y245"/>
          <cell r="Z245"/>
          <cell r="AA245"/>
          <cell r="AB245"/>
          <cell r="AC245">
            <v>0.84289999999999998</v>
          </cell>
          <cell r="AD245"/>
          <cell r="AE245"/>
          <cell r="AF245"/>
          <cell r="AG245"/>
          <cell r="AH245"/>
          <cell r="AI245"/>
          <cell r="AJ245"/>
          <cell r="AK245"/>
          <cell r="AL245">
            <v>4.8399999999999999E-2</v>
          </cell>
          <cell r="AM245"/>
          <cell r="AN245"/>
          <cell r="AO245">
            <v>0.94840000000000002</v>
          </cell>
          <cell r="AP245">
            <v>3.8833333333333333</v>
          </cell>
        </row>
        <row r="246">
          <cell r="C246" t="str">
            <v xml:space="preserve">        FS03</v>
          </cell>
          <cell r="D246"/>
          <cell r="E246" t="str">
            <v>FS03</v>
          </cell>
          <cell r="F246"/>
          <cell r="G246"/>
          <cell r="H246"/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  <cell r="S246"/>
          <cell r="T246"/>
          <cell r="U246">
            <v>180.57</v>
          </cell>
          <cell r="V246"/>
          <cell r="W246"/>
          <cell r="X246"/>
          <cell r="Y246"/>
          <cell r="Z246"/>
          <cell r="AA246"/>
          <cell r="AB246"/>
          <cell r="AC246">
            <v>2.1126999999999998</v>
          </cell>
          <cell r="AD246"/>
          <cell r="AE246"/>
          <cell r="AF246"/>
          <cell r="AG246"/>
          <cell r="AH246"/>
          <cell r="AI246"/>
          <cell r="AJ246"/>
          <cell r="AK246"/>
          <cell r="AL246">
            <v>0.10050000000000001</v>
          </cell>
          <cell r="AM246"/>
          <cell r="AN246"/>
          <cell r="AO246">
            <v>2.5450999999999997</v>
          </cell>
          <cell r="AP246">
            <v>3.0095000000000001</v>
          </cell>
        </row>
        <row r="247">
          <cell r="C247" t="str">
            <v xml:space="preserve">        FS04</v>
          </cell>
          <cell r="D247"/>
          <cell r="E247" t="str">
            <v>FS04</v>
          </cell>
          <cell r="F247"/>
          <cell r="G247"/>
          <cell r="H247"/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  <cell r="S247"/>
          <cell r="T247"/>
          <cell r="U247">
            <v>199.41</v>
          </cell>
          <cell r="V247"/>
          <cell r="W247"/>
          <cell r="X247"/>
          <cell r="Y247"/>
          <cell r="Z247"/>
          <cell r="AA247"/>
          <cell r="AB247"/>
          <cell r="AC247">
            <v>0.72340000000000004</v>
          </cell>
          <cell r="AD247"/>
          <cell r="AE247"/>
          <cell r="AF247"/>
          <cell r="AG247"/>
          <cell r="AH247"/>
          <cell r="AI247"/>
          <cell r="AJ247"/>
          <cell r="AK247"/>
          <cell r="AL247">
            <v>6.1600000000000002E-2</v>
          </cell>
          <cell r="AM247"/>
          <cell r="AN247"/>
          <cell r="AO247">
            <v>0.85210000000000008</v>
          </cell>
          <cell r="AP247">
            <v>3.3235000000000001</v>
          </cell>
        </row>
        <row r="248">
          <cell r="C248" t="str">
            <v xml:space="preserve">        FS05</v>
          </cell>
          <cell r="D248"/>
          <cell r="E248" t="str">
            <v>FS05</v>
          </cell>
          <cell r="F248"/>
          <cell r="G248"/>
          <cell r="H248"/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  <cell r="S248"/>
          <cell r="T248"/>
          <cell r="U248">
            <v>199.41</v>
          </cell>
          <cell r="V248"/>
          <cell r="W248"/>
          <cell r="X248"/>
          <cell r="Y248"/>
          <cell r="Z248"/>
          <cell r="AA248"/>
          <cell r="AB248"/>
          <cell r="AC248">
            <v>1.1394</v>
          </cell>
          <cell r="AD248"/>
          <cell r="AE248"/>
          <cell r="AF248"/>
          <cell r="AG248"/>
          <cell r="AH248"/>
          <cell r="AI248"/>
          <cell r="AJ248"/>
          <cell r="AK248"/>
          <cell r="AL248">
            <v>4.4200000000000003E-2</v>
          </cell>
          <cell r="AM248"/>
          <cell r="AN248"/>
          <cell r="AO248">
            <v>1.2912999999999999</v>
          </cell>
          <cell r="AP248">
            <v>3.3235000000000001</v>
          </cell>
        </row>
        <row r="249">
          <cell r="C249" t="str">
            <v xml:space="preserve">        FS08</v>
          </cell>
          <cell r="D249"/>
          <cell r="E249" t="str">
            <v>FS08</v>
          </cell>
          <cell r="F249"/>
          <cell r="G249"/>
          <cell r="H249"/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  <cell r="S249"/>
          <cell r="T249"/>
          <cell r="U249">
            <v>137.08000000000001</v>
          </cell>
          <cell r="V249"/>
          <cell r="W249"/>
          <cell r="X249"/>
          <cell r="Y249"/>
          <cell r="Z249"/>
          <cell r="AA249"/>
          <cell r="AB249"/>
          <cell r="AC249">
            <v>0.1968</v>
          </cell>
          <cell r="AD249"/>
          <cell r="AE249"/>
          <cell r="AF249"/>
          <cell r="AG249"/>
          <cell r="AH249"/>
          <cell r="AI249"/>
          <cell r="AJ249"/>
          <cell r="AK249">
            <v>36.11</v>
          </cell>
          <cell r="AL249">
            <v>2.8E-3</v>
          </cell>
          <cell r="AM249"/>
          <cell r="AN249"/>
          <cell r="AO249">
            <v>0.2641</v>
          </cell>
          <cell r="AP249">
            <v>2.2846666666666668</v>
          </cell>
        </row>
        <row r="250">
          <cell r="C250" t="str">
            <v>FS09</v>
          </cell>
          <cell r="D250"/>
          <cell r="E250" t="str">
            <v>FS09</v>
          </cell>
          <cell r="F250"/>
          <cell r="G250"/>
          <cell r="H250"/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  <cell r="S250"/>
          <cell r="T250"/>
          <cell r="U250">
            <v>274.77</v>
          </cell>
          <cell r="V250"/>
          <cell r="W250"/>
          <cell r="X250"/>
          <cell r="Y250"/>
          <cell r="Z250"/>
          <cell r="AA250"/>
          <cell r="AB250"/>
          <cell r="AC250">
            <v>3.1214</v>
          </cell>
          <cell r="AD250"/>
          <cell r="AE250"/>
          <cell r="AF250"/>
          <cell r="AG250"/>
          <cell r="AH250"/>
          <cell r="AI250"/>
          <cell r="AJ250"/>
          <cell r="AK250"/>
          <cell r="AL250">
            <v>0.10299999999999999</v>
          </cell>
          <cell r="AM250"/>
          <cell r="AN250"/>
          <cell r="AO250">
            <v>3.7444000000000002</v>
          </cell>
          <cell r="AP250">
            <v>4.5794999999999995</v>
          </cell>
        </row>
        <row r="251">
          <cell r="C251" t="str">
            <v xml:space="preserve">        FS10</v>
          </cell>
          <cell r="D251"/>
          <cell r="E251" t="str">
            <v>FS10</v>
          </cell>
          <cell r="F251"/>
          <cell r="G251"/>
          <cell r="H251"/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  <cell r="S251"/>
          <cell r="T251"/>
          <cell r="U251">
            <v>256.76</v>
          </cell>
          <cell r="V251"/>
          <cell r="W251"/>
          <cell r="X251"/>
          <cell r="Y251"/>
          <cell r="Z251"/>
          <cell r="AA251"/>
          <cell r="AB251"/>
          <cell r="AC251">
            <v>0.377</v>
          </cell>
          <cell r="AD251"/>
          <cell r="AE251"/>
          <cell r="AF251"/>
          <cell r="AG251"/>
          <cell r="AH251"/>
          <cell r="AI251"/>
          <cell r="AJ251"/>
          <cell r="AK251"/>
          <cell r="AL251">
            <v>6.4699999999999994E-2</v>
          </cell>
          <cell r="AM251"/>
          <cell r="AN251"/>
          <cell r="AO251">
            <v>0.5181</v>
          </cell>
          <cell r="AP251">
            <v>4.2793333333333328</v>
          </cell>
        </row>
        <row r="252">
          <cell r="C252" t="str">
            <v xml:space="preserve">        FS12</v>
          </cell>
          <cell r="D252"/>
          <cell r="E252" t="str">
            <v>FS12</v>
          </cell>
          <cell r="F252"/>
          <cell r="G252"/>
          <cell r="H252"/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  <cell r="S252"/>
          <cell r="T252"/>
          <cell r="U252">
            <v>183.44</v>
          </cell>
          <cell r="V252"/>
          <cell r="W252"/>
          <cell r="X252"/>
          <cell r="Y252"/>
          <cell r="Z252"/>
          <cell r="AA252"/>
          <cell r="AB252"/>
          <cell r="AC252">
            <v>0.25800000000000001</v>
          </cell>
          <cell r="AD252"/>
          <cell r="AE252"/>
          <cell r="AF252"/>
          <cell r="AG252"/>
          <cell r="AH252"/>
          <cell r="AI252"/>
          <cell r="AJ252"/>
          <cell r="AK252"/>
          <cell r="AL252">
            <v>3.4299999999999997E-2</v>
          </cell>
          <cell r="AM252"/>
          <cell r="AN252"/>
          <cell r="AO252">
            <v>0.33889999999999998</v>
          </cell>
          <cell r="AP252">
            <v>3.0573333333333332</v>
          </cell>
        </row>
        <row r="253">
          <cell r="C253" t="str">
            <v xml:space="preserve">        FS14</v>
          </cell>
          <cell r="E253" t="str">
            <v>FS14</v>
          </cell>
          <cell r="U253">
            <v>180.57</v>
          </cell>
          <cell r="AC253">
            <v>0.1968</v>
          </cell>
          <cell r="AL253">
            <v>5.0000000000000001E-3</v>
          </cell>
          <cell r="AO253">
            <v>0.26629999999999998</v>
          </cell>
          <cell r="AP253">
            <v>3.0095000000000001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SEPT"/>
      <sheetName val="OCT"/>
      <sheetName val="NOV"/>
      <sheetName val="DEC"/>
      <sheetName val="JAN"/>
      <sheetName val="FEB"/>
      <sheetName val="MARCH"/>
      <sheetName val="APRIL"/>
      <sheetName val="MAY"/>
      <sheetName val="JU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19">
          <cell r="H319">
            <v>453106</v>
          </cell>
        </row>
      </sheetData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e Winters" refreshedDate="45015.502892939818" createdVersion="8" refreshedVersion="8" minRefreshableVersion="3" recordCount="97" xr:uid="{883E4EBE-CF0D-47D1-A869-495D000891DE}">
  <cacheSource type="worksheet">
    <worksheetSource ref="G80:H201" sheet="Totals"/>
  </cacheSource>
  <cacheFields count="2">
    <cacheField name="Line" numFmtId="0">
      <sharedItems containsBlank="1" count="9">
        <s v="        FS01"/>
        <s v="        FS03"/>
        <s v="        FS04"/>
        <s v="        FS05"/>
        <s v="        FS09"/>
        <s v="        FS10"/>
        <s v="        FS12"/>
        <s v="        FS14"/>
        <m/>
      </sharedItems>
    </cacheField>
    <cacheField name="Cases" numFmtId="0">
      <sharedItems containsString="0" containsBlank="1" containsNumber="1" containsInteger="1" minValue="152" maxValue="1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e Winters" refreshedDate="45015.502893287034" createdVersion="8" refreshedVersion="8" minRefreshableVersion="3" recordCount="67" xr:uid="{FD68413B-FA31-4685-9BBD-A94BEFD36426}">
  <cacheSource type="worksheet">
    <worksheetSource ref="A1:CE100" sheet="Data"/>
  </cacheSource>
  <cacheFields count="83">
    <cacheField name="Fiscal Year" numFmtId="0">
      <sharedItems containsBlank="1"/>
    </cacheField>
    <cacheField name="Period" numFmtId="0">
      <sharedItems containsBlank="1"/>
    </cacheField>
    <cacheField name="Month" numFmtId="0">
      <sharedItems containsBlank="1"/>
    </cacheField>
    <cacheField name="Identifier Y/M/S" numFmtId="0">
      <sharedItems containsBlank="1"/>
    </cacheField>
    <cacheField name="Identifier Y/M/I" numFmtId="0">
      <sharedItems containsBlank="1"/>
    </cacheField>
    <cacheField name="Identifier WD" numFmtId="0">
      <sharedItems containsString="0" containsBlank="1" containsNumber="1" containsInteger="1" minValue="0" maxValue="1"/>
    </cacheField>
    <cacheField name="Identifier WD/S" numFmtId="0">
      <sharedItems containsString="0" containsBlank="1" containsNumber="1" containsInteger="1" minValue="0" maxValue="1"/>
    </cacheField>
    <cacheField name="Identifier WD/S/L" numFmtId="0">
      <sharedItems containsString="0" containsBlank="1" containsNumber="1" containsInteger="1" minValue="0" maxValue="1"/>
    </cacheField>
    <cacheField name="Identifier D/S" numFmtId="0">
      <sharedItems containsBlank="1"/>
    </cacheField>
    <cacheField name="Identifier D/S/L" numFmtId="0">
      <sharedItems containsBlank="1"/>
    </cacheField>
    <cacheField name="Identifier Y/M/L/S" numFmtId="0">
      <sharedItems containsBlank="1"/>
    </cacheField>
    <cacheField name="Identifier Y/L" numFmtId="0">
      <sharedItems containsBlank="1"/>
    </cacheField>
    <cacheField name="Indentfier range/L" numFmtId="0">
      <sharedItems containsBlank="1"/>
    </cacheField>
    <cacheField name="Identifier Y/M/L" numFmtId="0">
      <sharedItems containsBlank="1"/>
    </cacheField>
    <cacheField name="Non Bot DT $" numFmtId="0">
      <sharedItems containsString="0" containsBlank="1" containsNumber="1" minValue="16.617500000000003" maxValue="1614.7384615384615"/>
    </cacheField>
    <cacheField name="Prod DT $" numFmtId="0">
      <sharedItems containsString="0" containsBlank="1" containsNumber="1" minValue="0" maxValue="3777.3704347826088"/>
    </cacheField>
    <cacheField name="Act labor " numFmtId="0">
      <sharedItems containsString="0" containsBlank="1" containsNumber="1" minValue="286.81805000000008" maxValue="5553"/>
    </cacheField>
    <cacheField name="Stnd labor " numFmtId="0">
      <sharedItems containsString="0" containsBlank="1" containsNumber="1" minValue="0" maxValue="5208.2723999999998"/>
    </cacheField>
    <cacheField name="Dir Labor Var Fav/(unfav)" numFmtId="0">
      <sharedItems containsString="0" containsBlank="1" containsNumber="1" minValue="-4632.4040000000005" maxValue="902.5665176470593"/>
    </cacheField>
    <cacheField name="Date" numFmtId="0">
      <sharedItems containsNonDate="0" containsDate="1" containsString="0" containsBlank="1" minDate="2023-03-26T00:00:00" maxDate="2023-03-30T00:00:00"/>
    </cacheField>
    <cacheField name="Shift" numFmtId="0">
      <sharedItems containsBlank="1" count="3">
        <s v="B"/>
        <s v="C"/>
        <m/>
      </sharedItems>
    </cacheField>
    <cacheField name="Line" numFmtId="0">
      <sharedItems containsBlank="1" count="9">
        <s v="        FS03"/>
        <s v="        FS01"/>
        <s v="        FS04"/>
        <s v="        FS10"/>
        <s v="        FS12"/>
        <s v="        FS05"/>
        <s v="        FS14"/>
        <m/>
        <s v="        FS09" u="1"/>
      </sharedItems>
    </cacheField>
    <cacheField name="WO #" numFmtId="0">
      <sharedItems containsString="0" containsBlank="1" containsNumber="1" containsInteger="1" minValue="409124" maxValue="428113"/>
    </cacheField>
    <cacheField name="Item #" numFmtId="0">
      <sharedItems containsString="0" containsBlank="1" containsNumber="1" containsInteger="1" minValue="20000054" maxValue="96705002"/>
    </cacheField>
    <cacheField name="Description" numFmtId="0">
      <sharedItems containsBlank="1"/>
    </cacheField>
    <cacheField name="Actual         Man Hours" numFmtId="0">
      <sharedItems containsString="0" containsBlank="1" containsNumber="1" minValue="8.6300000000000008" maxValue="180"/>
    </cacheField>
    <cacheField name="Cases" numFmtId="0">
      <sharedItems containsString="0" containsBlank="1" containsNumber="1" containsInteger="1" minValue="113" maxValue="6690"/>
    </cacheField>
    <cacheField name="Pack Size" numFmtId="0">
      <sharedItems containsString="0" containsBlank="1" containsNumber="1" containsInteger="1" minValue="6" maxValue="120"/>
    </cacheField>
    <cacheField name="Bottles" numFmtId="0">
      <sharedItems containsString="0" containsBlank="1" containsNumber="1" containsInteger="1" minValue="678" maxValue="116640"/>
    </cacheField>
    <cacheField name="Budgeted   FillerSpeed" numFmtId="0">
      <sharedItems containsString="0" containsBlank="1" containsNumber="1" containsInteger="1" minValue="55" maxValue="533"/>
    </cacheField>
    <cacheField name="Actual    FillerSpeed" numFmtId="0">
      <sharedItems containsString="0" containsBlank="1" containsNumber="1" containsInteger="1" minValue="55" maxValue="533"/>
    </cacheField>
    <cacheField name="Avail. Min" numFmtId="0">
      <sharedItems containsString="0" containsBlank="1" containsNumber="1" containsInteger="1" minValue="74" maxValue="720"/>
    </cacheField>
    <cacheField name="Lunch" numFmtId="0">
      <sharedItems containsString="0" containsBlank="1" containsNumber="1" containsInteger="1" minValue="30" maxValue="30"/>
    </cacheField>
    <cacheField name="OEE Mins" numFmtId="0">
      <sharedItems containsString="0" containsBlank="1" containsNumber="1" containsInteger="1" minValue="74" maxValue="690"/>
    </cacheField>
    <cacheField name="Expected   Bottles" numFmtId="0">
      <sharedItems containsString="0" containsBlank="1" containsNumber="1" containsInteger="1" minValue="6600" maxValue="306475"/>
    </cacheField>
    <cacheField name="Expected    Cases" numFmtId="0">
      <sharedItems containsString="0" containsBlank="1" containsNumber="1" containsInteger="1" minValue="1068" maxValue="13000"/>
    </cacheField>
    <cacheField name="Btls" numFmtId="0">
      <sharedItems containsString="0" containsBlank="1" containsNumber="1" containsInteger="1" minValue="0" maxValue="116640"/>
    </cacheField>
    <cacheField name="OEE %" numFmtId="0">
      <sharedItems containsString="0" containsBlank="1" containsNumber="1" minValue="0" maxValue="71.11"/>
    </cacheField>
    <cacheField name="Availability      OEE %" numFmtId="0">
      <sharedItems containsString="0" containsBlank="1" containsNumber="1" minValue="-51.52" maxValue="90"/>
    </cacheField>
    <cacheField name="Performance     OEE %" numFmtId="0">
      <sharedItems containsString="0" containsBlank="1" containsNumber="1" minValue="-493.63" maxValue="113.89"/>
    </cacheField>
    <cacheField name="Quality      OEE %" numFmtId="0">
      <sharedItems containsString="0" containsBlank="1" containsNumber="1" containsInteger="1" minValue="0" maxValue="100"/>
    </cacheField>
    <cacheField name="Meeting" numFmtId="0">
      <sharedItems containsString="0" containsBlank="1" containsNumber="1" containsInteger="1" minValue="5" maxValue="15"/>
    </cacheField>
    <cacheField name="Break" numFmtId="0">
      <sharedItems containsString="0" containsBlank="1" containsNumber="1" containsInteger="1" minValue="15" maxValue="60"/>
    </cacheField>
    <cacheField name="Job Change" numFmtId="0">
      <sharedItems containsString="0" containsBlank="1" containsNumber="1" containsInteger="1" minValue="10" maxValue="20"/>
    </cacheField>
    <cacheField name="Setup" numFmtId="0">
      <sharedItems containsString="0" containsBlank="1" containsNumber="1" containsInteger="1" minValue="18" maxValue="360"/>
    </cacheField>
    <cacheField name="HK" numFmtId="0">
      <sharedItems containsString="0" containsBlank="1" containsNumber="1" containsInteger="1" minValue="6" maxValue="30"/>
    </cacheField>
    <cacheField name="*" numFmtId="0">
      <sharedItems containsNonDate="0" containsString="0" containsBlank="1"/>
    </cacheField>
    <cacheField name="Down Time" numFmtId="0">
      <sharedItems containsString="0" containsBlank="1" containsNumber="1" containsInteger="1" minValue="10" maxValue="682"/>
    </cacheField>
    <cacheField name="DownTime Loss" numFmtId="0">
      <sharedItems containsString="0" containsBlank="1" containsNumber="1" containsInteger="1" minValue="15" maxValue="747"/>
    </cacheField>
    <cacheField name="Non Conforming   Cases" numFmtId="0">
      <sharedItems containsNonDate="0" containsString="0" containsBlank="1"/>
    </cacheField>
    <cacheField name="Rework    Cases" numFmtId="0">
      <sharedItems containsNonDate="0" containsString="0" containsBlank="1"/>
    </cacheField>
    <cacheField name="Non-Bott DT" numFmtId="0">
      <sharedItems containsString="0" containsBlank="1" containsNumber="1" containsInteger="1" minValue="5" maxValue="420"/>
    </cacheField>
    <cacheField name="Fill Height/Cap Detector" numFmtId="0">
      <sharedItems containsString="0" containsBlank="1" containsNumber="1" containsInteger="1" minValue="10" maxValue="50"/>
    </cacheField>
    <cacheField name="FCS" numFmtId="0">
      <sharedItems containsString="0" containsBlank="1" containsNumber="1" containsInteger="1" minValue="15" maxValue="35"/>
    </cacheField>
    <cacheField name="Proc.-Tk Chg" numFmtId="0">
      <sharedItems containsString="0" containsBlank="1" containsNumber="1" containsInteger="1" minValue="5" maxValue="45"/>
    </cacheField>
    <cacheField name="Manning/    Supplies" numFmtId="0">
      <sharedItems containsString="0" containsBlank="1" containsNumber="1" containsInteger="1" minValue="7" maxValue="310"/>
    </cacheField>
    <cacheField name="Foam" numFmtId="0">
      <sharedItems containsNonDate="0" containsString="0" containsBlank="1"/>
    </cacheField>
    <cacheField name="Proof Cks     /Lab" numFmtId="0">
      <sharedItems containsString="0" containsBlank="1" containsNumber="1" containsInteger="1" minValue="5" maxValue="165"/>
    </cacheField>
    <cacheField name="Vision System" numFmtId="0">
      <sharedItems containsString="0" containsBlank="1" containsNumber="1" containsInteger="1" minValue="15" maxValue="25"/>
    </cacheField>
    <cacheField name="QA External" numFmtId="0">
      <sharedItems containsString="0" containsBlank="1" containsNumber="1" containsInteger="1" minValue="3" maxValue="420"/>
    </cacheField>
    <cacheField name="QA Internal" numFmtId="0">
      <sharedItems containsString="0" containsBlank="1" containsNumber="1" containsInteger="1" minValue="10" maxValue="101"/>
    </cacheField>
    <cacheField name="Pal/Depal" numFmtId="0">
      <sharedItems containsString="0" containsBlank="1" containsNumber="1" containsInteger="1" minValue="3" maxValue="42"/>
    </cacheField>
    <cacheField name="Unloader" numFmtId="0">
      <sharedItems containsString="0" containsBlank="1" containsNumber="1" containsInteger="1" minValue="6" maxValue="80"/>
    </cacheField>
    <cacheField name="Bulk Unloader" numFmtId="0">
      <sharedItems containsString="0" containsBlank="1" containsNumber="1" containsInteger="1" minValue="16" maxValue="131"/>
    </cacheField>
    <cacheField name="Cleaner" numFmtId="0">
      <sharedItems containsString="0" containsBlank="1" containsNumber="1" containsInteger="1" minValue="3" maxValue="90"/>
    </cacheField>
    <cacheField name="Filler" numFmtId="0">
      <sharedItems containsString="0" containsBlank="1" containsNumber="1" containsInteger="1" minValue="4" maxValue="117"/>
    </cacheField>
    <cacheField name="Capper" numFmtId="0">
      <sharedItems containsString="0" containsBlank="1" containsNumber="1" containsInteger="1" minValue="3" maxValue="237"/>
    </cacheField>
    <cacheField name="Checkweigher/Taper" numFmtId="0">
      <sharedItems containsString="0" containsBlank="1" containsNumber="1" containsInteger="1" minValue="6" maxValue="25"/>
    </cacheField>
    <cacheField name="Team Performance" numFmtId="0">
      <sharedItems containsNonDate="0" containsString="0" containsBlank="1"/>
    </cacheField>
    <cacheField name="Bottle Orientor" numFmtId="0">
      <sharedItems containsString="0" containsBlank="1" containsNumber="1" containsInteger="1" minValue="3" maxValue="34"/>
    </cacheField>
    <cacheField name="Labeler" numFmtId="0">
      <sharedItems containsString="0" containsBlank="1" containsNumber="1" containsInteger="1" minValue="3" maxValue="151"/>
    </cacheField>
    <cacheField name="Wash" numFmtId="0">
      <sharedItems containsString="0" containsBlank="1" containsNumber="1" containsInteger="1" minValue="16" maxValue="104"/>
    </cacheField>
    <cacheField name="Case Packer" numFmtId="0">
      <sharedItems containsString="0" containsBlank="1" containsNumber="1" containsInteger="1" minValue="2" maxValue="115"/>
    </cacheField>
    <cacheField name="Partitioner" numFmtId="0">
      <sharedItems containsString="0" containsBlank="1" containsNumber="1" containsInteger="1" minValue="10" maxValue="40"/>
    </cacheField>
    <cacheField name="Case Erector" numFmtId="0">
      <sharedItems containsString="0" containsBlank="1" containsNumber="1" containsInteger="1" minValue="5" maxValue="68"/>
    </cacheField>
    <cacheField name="APM" numFmtId="0">
      <sharedItems containsString="0" containsBlank="1" containsNumber="1" containsInteger="1" minValue="7" maxValue="127"/>
    </cacheField>
    <cacheField name="Case Line" numFmtId="0">
      <sharedItems containsString="0" containsBlank="1" containsNumber="1" containsInteger="1" minValue="7" maxValue="70"/>
    </cacheField>
    <cacheField name="State Code" numFmtId="0">
      <sharedItems containsString="0" containsBlank="1" containsNumber="1" containsInteger="1" minValue="5" maxValue="28"/>
    </cacheField>
    <cacheField name="Case Printer" numFmtId="0">
      <sharedItems containsNonDate="0" containsString="0" containsBlank="1"/>
    </cacheField>
    <cacheField name="Laser Dater" numFmtId="0">
      <sharedItems containsNonDate="0" containsString="0" containsBlank="1"/>
    </cacheField>
    <cacheField name="Other" numFmtId="0">
      <sharedItems containsString="0" containsBlank="1" containsNumber="1" containsInteger="1" minValue="5" maxValue="135"/>
    </cacheField>
    <cacheField name="1st Hr Cs Count" numFmtId="0">
      <sharedItems containsString="0" containsBlank="1" containsNumber="1" containsInteger="1" minValue="1" maxValue="883"/>
    </cacheField>
    <cacheField name="Total Pro Down Time" numFmtId="0">
      <sharedItems containsString="0" containsBlank="1" containsNumber="1" containsInteger="1" minValue="22" maxValue="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e Winters" refreshedDate="45015.502893634257" createdVersion="8" refreshedVersion="8" minRefreshableVersion="3" recordCount="67" xr:uid="{E7CB8C98-ECFF-47FD-8A11-D1FEC4DB47D0}">
  <cacheSource type="worksheet">
    <worksheetSource ref="A1:CE145" sheet="Data"/>
  </cacheSource>
  <cacheFields count="83">
    <cacheField name="Fiscal Year" numFmtId="0">
      <sharedItems containsBlank="1"/>
    </cacheField>
    <cacheField name="Period" numFmtId="0">
      <sharedItems containsBlank="1"/>
    </cacheField>
    <cacheField name="Month" numFmtId="0">
      <sharedItems containsBlank="1"/>
    </cacheField>
    <cacheField name="Identifier Y/M/S" numFmtId="0">
      <sharedItems containsBlank="1"/>
    </cacheField>
    <cacheField name="Identifier Y/M/I" numFmtId="0">
      <sharedItems containsBlank="1"/>
    </cacheField>
    <cacheField name="Identifier WD" numFmtId="0">
      <sharedItems containsString="0" containsBlank="1" containsNumber="1" containsInteger="1" minValue="0" maxValue="1"/>
    </cacheField>
    <cacheField name="Identifier WD/S" numFmtId="0">
      <sharedItems containsString="0" containsBlank="1" containsNumber="1" containsInteger="1" minValue="0" maxValue="1"/>
    </cacheField>
    <cacheField name="Identifier WD/S/L" numFmtId="0">
      <sharedItems containsString="0" containsBlank="1" containsNumber="1" containsInteger="1" minValue="0" maxValue="1"/>
    </cacheField>
    <cacheField name="Identifier D/S" numFmtId="0">
      <sharedItems containsBlank="1"/>
    </cacheField>
    <cacheField name="Identifier D/S/L" numFmtId="0">
      <sharedItems containsBlank="1"/>
    </cacheField>
    <cacheField name="Identifier Y/M/L/S" numFmtId="0">
      <sharedItems containsBlank="1"/>
    </cacheField>
    <cacheField name="Identifier Y/L" numFmtId="0">
      <sharedItems containsBlank="1"/>
    </cacheField>
    <cacheField name="Indentfier range/L" numFmtId="0">
      <sharedItems containsBlank="1"/>
    </cacheField>
    <cacheField name="Identifier Y/M/L" numFmtId="0">
      <sharedItems containsBlank="1"/>
    </cacheField>
    <cacheField name="Non Bot DT $" numFmtId="0">
      <sharedItems containsString="0" containsBlank="1" containsNumber="1" minValue="16.617500000000003" maxValue="1614.7384615384615"/>
    </cacheField>
    <cacheField name="Prod DT $" numFmtId="0">
      <sharedItems containsString="0" containsBlank="1" containsNumber="1" minValue="0" maxValue="3777.3704347826088"/>
    </cacheField>
    <cacheField name="Act labor " numFmtId="0">
      <sharedItems containsString="0" containsBlank="1" containsNumber="1" minValue="286.81805000000008" maxValue="5553"/>
    </cacheField>
    <cacheField name="Stnd labor " numFmtId="0">
      <sharedItems containsString="0" containsBlank="1" containsNumber="1" minValue="0" maxValue="5208.2723999999998"/>
    </cacheField>
    <cacheField name="Dir Labor Var Fav/(unfav)" numFmtId="0">
      <sharedItems containsString="0" containsBlank="1" containsNumber="1" minValue="-4632.4040000000005" maxValue="902.5665176470593"/>
    </cacheField>
    <cacheField name="Date" numFmtId="0">
      <sharedItems containsNonDate="0" containsDate="1" containsString="0" containsBlank="1" minDate="2023-02-19T00:00:00" maxDate="2023-03-30T00:00:00" count="29">
        <d v="2023-03-26T00:00:00"/>
        <d v="2023-03-27T00:00:00"/>
        <d v="2023-03-28T00:00:00"/>
        <d v="2023-03-29T00:00:00"/>
        <m/>
        <d v="2023-03-09T00:00:00" u="1"/>
        <d v="2023-02-23T00:00:00" u="1"/>
        <d v="2023-03-02T00:00:00" u="1"/>
        <d v="2023-03-21T00:00:00" u="1"/>
        <d v="2023-03-14T00:00:00" u="1"/>
        <d v="2023-02-28T00:00:00" u="1"/>
        <d v="2023-03-07T00:00:00" u="1"/>
        <d v="2023-02-21T00:00:00" u="1"/>
        <d v="2023-03-12T00:00:00" u="1"/>
        <d v="2023-02-26T00:00:00" u="1"/>
        <d v="2023-03-05T00:00:00" u="1"/>
        <d v="2023-02-19T00:00:00" u="1"/>
        <d v="2023-03-24T00:00:00" u="1"/>
        <d v="2023-03-22T00:00:00" u="1"/>
        <d v="2023-03-15T00:00:00" u="1"/>
        <d v="2023-03-08T00:00:00" u="1"/>
        <d v="2023-02-22T00:00:00" u="1"/>
        <d v="2023-03-01T00:00:00" u="1"/>
        <d v="2023-03-20T00:00:00" u="1"/>
        <d v="2023-03-13T00:00:00" u="1"/>
        <d v="2023-02-27T00:00:00" u="1"/>
        <d v="2023-03-06T00:00:00" u="1"/>
        <d v="2023-03-25T00:00:00" u="1"/>
        <d v="2023-03-23T00:00:00" u="1"/>
      </sharedItems>
    </cacheField>
    <cacheField name="Shift" numFmtId="0">
      <sharedItems containsBlank="1"/>
    </cacheField>
    <cacheField name="Line" numFmtId="0">
      <sharedItems containsBlank="1" count="9">
        <s v="        FS03"/>
        <s v="        FS01"/>
        <s v="        FS04"/>
        <s v="        FS10"/>
        <s v="        FS12"/>
        <s v="        FS05"/>
        <s v="        FS14"/>
        <m/>
        <s v="        FS09" u="1"/>
      </sharedItems>
    </cacheField>
    <cacheField name="WO #" numFmtId="0">
      <sharedItems containsString="0" containsBlank="1" containsNumber="1" containsInteger="1" minValue="409124" maxValue="428113"/>
    </cacheField>
    <cacheField name="Item #" numFmtId="0">
      <sharedItems containsString="0" containsBlank="1" containsNumber="1" containsInteger="1" minValue="20000054" maxValue="96705002"/>
    </cacheField>
    <cacheField name="Description" numFmtId="0">
      <sharedItems containsBlank="1"/>
    </cacheField>
    <cacheField name="Actual         Man Hours" numFmtId="0">
      <sharedItems containsString="0" containsBlank="1" containsNumber="1" minValue="8.6300000000000008" maxValue="180"/>
    </cacheField>
    <cacheField name="Cases" numFmtId="0">
      <sharedItems containsString="0" containsBlank="1" containsNumber="1" containsInteger="1" minValue="113" maxValue="6690"/>
    </cacheField>
    <cacheField name="Pack Size" numFmtId="0">
      <sharedItems containsString="0" containsBlank="1" containsNumber="1" containsInteger="1" minValue="6" maxValue="120"/>
    </cacheField>
    <cacheField name="Bottles" numFmtId="0">
      <sharedItems containsString="0" containsBlank="1" containsNumber="1" containsInteger="1" minValue="678" maxValue="116640"/>
    </cacheField>
    <cacheField name="Budgeted   FillerSpeed" numFmtId="0">
      <sharedItems containsString="0" containsBlank="1" containsNumber="1" containsInteger="1" minValue="55" maxValue="533"/>
    </cacheField>
    <cacheField name="Actual    FillerSpeed" numFmtId="0">
      <sharedItems containsString="0" containsBlank="1" containsNumber="1" containsInteger="1" minValue="55" maxValue="533"/>
    </cacheField>
    <cacheField name="Avail. Min" numFmtId="0">
      <sharedItems containsString="0" containsBlank="1" containsNumber="1" containsInteger="1" minValue="74" maxValue="720"/>
    </cacheField>
    <cacheField name="Lunch" numFmtId="0">
      <sharedItems containsString="0" containsBlank="1" containsNumber="1" containsInteger="1" minValue="30" maxValue="30"/>
    </cacheField>
    <cacheField name="OEE Mins" numFmtId="0">
      <sharedItems containsString="0" containsBlank="1" containsNumber="1" containsInteger="1" minValue="74" maxValue="690"/>
    </cacheField>
    <cacheField name="Expected   Bottles" numFmtId="0">
      <sharedItems containsString="0" containsBlank="1" containsNumber="1" containsInteger="1" minValue="6600" maxValue="306475"/>
    </cacheField>
    <cacheField name="Expected    Cases" numFmtId="0">
      <sharedItems containsString="0" containsBlank="1" containsNumber="1" containsInteger="1" minValue="1068" maxValue="13000"/>
    </cacheField>
    <cacheField name="Btls" numFmtId="0">
      <sharedItems containsString="0" containsBlank="1" containsNumber="1" containsInteger="1" minValue="0" maxValue="116640"/>
    </cacheField>
    <cacheField name="OEE %" numFmtId="0">
      <sharedItems containsString="0" containsBlank="1" containsNumber="1" minValue="0" maxValue="71.11"/>
    </cacheField>
    <cacheField name="Availability      OEE %" numFmtId="0">
      <sharedItems containsString="0" containsBlank="1" containsNumber="1" minValue="-51.52" maxValue="90"/>
    </cacheField>
    <cacheField name="Performance     OEE %" numFmtId="0">
      <sharedItems containsString="0" containsBlank="1" containsNumber="1" minValue="-493.63" maxValue="113.89"/>
    </cacheField>
    <cacheField name="Quality      OEE %" numFmtId="0">
      <sharedItems containsString="0" containsBlank="1" containsNumber="1" containsInteger="1" minValue="0" maxValue="100"/>
    </cacheField>
    <cacheField name="Meeting" numFmtId="0">
      <sharedItems containsString="0" containsBlank="1" containsNumber="1" containsInteger="1" minValue="5" maxValue="15"/>
    </cacheField>
    <cacheField name="Break" numFmtId="0">
      <sharedItems containsString="0" containsBlank="1" containsNumber="1" containsInteger="1" minValue="15" maxValue="60"/>
    </cacheField>
    <cacheField name="Job Change" numFmtId="0">
      <sharedItems containsString="0" containsBlank="1" containsNumber="1" containsInteger="1" minValue="10" maxValue="20"/>
    </cacheField>
    <cacheField name="Setup" numFmtId="0">
      <sharedItems containsString="0" containsBlank="1" containsNumber="1" containsInteger="1" minValue="18" maxValue="360"/>
    </cacheField>
    <cacheField name="HK" numFmtId="0">
      <sharedItems containsString="0" containsBlank="1" containsNumber="1" containsInteger="1" minValue="6" maxValue="30"/>
    </cacheField>
    <cacheField name="*" numFmtId="0">
      <sharedItems containsNonDate="0" containsString="0" containsBlank="1"/>
    </cacheField>
    <cacheField name="Down Time" numFmtId="0">
      <sharedItems containsString="0" containsBlank="1" containsNumber="1" containsInteger="1" minValue="10" maxValue="682"/>
    </cacheField>
    <cacheField name="DownTime Loss" numFmtId="0">
      <sharedItems containsString="0" containsBlank="1" containsNumber="1" containsInteger="1" minValue="15" maxValue="747"/>
    </cacheField>
    <cacheField name="Non Conforming   Cases" numFmtId="0">
      <sharedItems containsNonDate="0" containsString="0" containsBlank="1"/>
    </cacheField>
    <cacheField name="Rework    Cases" numFmtId="0">
      <sharedItems containsNonDate="0" containsString="0" containsBlank="1"/>
    </cacheField>
    <cacheField name="Non-Bott DT" numFmtId="0">
      <sharedItems containsString="0" containsBlank="1" containsNumber="1" containsInteger="1" minValue="5" maxValue="420"/>
    </cacheField>
    <cacheField name="Fill Height/Cap Detector" numFmtId="0">
      <sharedItems containsString="0" containsBlank="1" containsNumber="1" containsInteger="1" minValue="10" maxValue="50"/>
    </cacheField>
    <cacheField name="FCS" numFmtId="0">
      <sharedItems containsString="0" containsBlank="1" containsNumber="1" containsInteger="1" minValue="15" maxValue="35"/>
    </cacheField>
    <cacheField name="Proc.-Tk Chg" numFmtId="0">
      <sharedItems containsString="0" containsBlank="1" containsNumber="1" containsInteger="1" minValue="5" maxValue="45"/>
    </cacheField>
    <cacheField name="Manning/    Supplies" numFmtId="0">
      <sharedItems containsString="0" containsBlank="1" containsNumber="1" containsInteger="1" minValue="7" maxValue="310"/>
    </cacheField>
    <cacheField name="Foam" numFmtId="0">
      <sharedItems containsNonDate="0" containsString="0" containsBlank="1"/>
    </cacheField>
    <cacheField name="Proof Cks     /Lab" numFmtId="0">
      <sharedItems containsString="0" containsBlank="1" containsNumber="1" containsInteger="1" minValue="5" maxValue="165"/>
    </cacheField>
    <cacheField name="Vision System" numFmtId="0">
      <sharedItems containsString="0" containsBlank="1" containsNumber="1" containsInteger="1" minValue="15" maxValue="25"/>
    </cacheField>
    <cacheField name="QA External" numFmtId="0">
      <sharedItems containsString="0" containsBlank="1" containsNumber="1" containsInteger="1" minValue="3" maxValue="420"/>
    </cacheField>
    <cacheField name="QA Internal" numFmtId="0">
      <sharedItems containsString="0" containsBlank="1" containsNumber="1" containsInteger="1" minValue="10" maxValue="101"/>
    </cacheField>
    <cacheField name="Pal/Depal" numFmtId="0">
      <sharedItems containsString="0" containsBlank="1" containsNumber="1" containsInteger="1" minValue="3" maxValue="42"/>
    </cacheField>
    <cacheField name="Unloader" numFmtId="0">
      <sharedItems containsString="0" containsBlank="1" containsNumber="1" containsInteger="1" minValue="6" maxValue="80"/>
    </cacheField>
    <cacheField name="Bulk Unloader" numFmtId="0">
      <sharedItems containsString="0" containsBlank="1" containsNumber="1" containsInteger="1" minValue="16" maxValue="131"/>
    </cacheField>
    <cacheField name="Cleaner" numFmtId="0">
      <sharedItems containsString="0" containsBlank="1" containsNumber="1" containsInteger="1" minValue="3" maxValue="90"/>
    </cacheField>
    <cacheField name="Filler" numFmtId="0">
      <sharedItems containsString="0" containsBlank="1" containsNumber="1" containsInteger="1" minValue="4" maxValue="117"/>
    </cacheField>
    <cacheField name="Capper" numFmtId="0">
      <sharedItems containsString="0" containsBlank="1" containsNumber="1" containsInteger="1" minValue="3" maxValue="237"/>
    </cacheField>
    <cacheField name="Checkweigher/Taper" numFmtId="0">
      <sharedItems containsString="0" containsBlank="1" containsNumber="1" containsInteger="1" minValue="6" maxValue="25"/>
    </cacheField>
    <cacheField name="Team Performance" numFmtId="0">
      <sharedItems containsNonDate="0" containsString="0" containsBlank="1"/>
    </cacheField>
    <cacheField name="Bottle Orientor" numFmtId="0">
      <sharedItems containsString="0" containsBlank="1" containsNumber="1" containsInteger="1" minValue="3" maxValue="34"/>
    </cacheField>
    <cacheField name="Labeler" numFmtId="0">
      <sharedItems containsString="0" containsBlank="1" containsNumber="1" containsInteger="1" minValue="3" maxValue="151"/>
    </cacheField>
    <cacheField name="Wash" numFmtId="0">
      <sharedItems containsString="0" containsBlank="1" containsNumber="1" containsInteger="1" minValue="16" maxValue="104"/>
    </cacheField>
    <cacheField name="Case Packer" numFmtId="0">
      <sharedItems containsString="0" containsBlank="1" containsNumber="1" containsInteger="1" minValue="2" maxValue="115"/>
    </cacheField>
    <cacheField name="Partitioner" numFmtId="0">
      <sharedItems containsString="0" containsBlank="1" containsNumber="1" containsInteger="1" minValue="10" maxValue="40"/>
    </cacheField>
    <cacheField name="Case Erector" numFmtId="0">
      <sharedItems containsString="0" containsBlank="1" containsNumber="1" containsInteger="1" minValue="5" maxValue="68"/>
    </cacheField>
    <cacheField name="APM" numFmtId="0">
      <sharedItems containsString="0" containsBlank="1" containsNumber="1" containsInteger="1" minValue="7" maxValue="127"/>
    </cacheField>
    <cacheField name="Case Line" numFmtId="0">
      <sharedItems containsString="0" containsBlank="1" containsNumber="1" containsInteger="1" minValue="7" maxValue="70"/>
    </cacheField>
    <cacheField name="State Code" numFmtId="0">
      <sharedItems containsString="0" containsBlank="1" containsNumber="1" containsInteger="1" minValue="5" maxValue="28"/>
    </cacheField>
    <cacheField name="Case Printer" numFmtId="0">
      <sharedItems containsNonDate="0" containsString="0" containsBlank="1"/>
    </cacheField>
    <cacheField name="Laser Dater" numFmtId="0">
      <sharedItems containsNonDate="0" containsString="0" containsBlank="1"/>
    </cacheField>
    <cacheField name="Other" numFmtId="0">
      <sharedItems containsString="0" containsBlank="1" containsNumber="1" containsInteger="1" minValue="5" maxValue="135"/>
    </cacheField>
    <cacheField name="1st Hr Cs Count" numFmtId="0">
      <sharedItems containsString="0" containsBlank="1" containsNumber="1" containsInteger="1" minValue="1" maxValue="883"/>
    </cacheField>
    <cacheField name="Total Pro Down Time" numFmtId="0">
      <sharedItems containsString="0" containsBlank="1" containsNumber="1" containsInteger="1" minValue="22" maxValue="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x v="0"/>
    <n v="2000"/>
  </r>
  <r>
    <x v="0"/>
    <n v="2000"/>
  </r>
  <r>
    <x v="0"/>
    <n v="3500"/>
  </r>
  <r>
    <x v="0"/>
    <n v="3400"/>
  </r>
  <r>
    <x v="0"/>
    <n v="3499"/>
  </r>
  <r>
    <x v="0"/>
    <n v="3499"/>
  </r>
  <r>
    <x v="0"/>
    <n v="3499"/>
  </r>
  <r>
    <x v="0"/>
    <n v="3500"/>
  </r>
  <r>
    <x v="0"/>
    <n v="3296"/>
  </r>
  <r>
    <x v="0"/>
    <n v="3500"/>
  </r>
  <r>
    <x v="0"/>
    <n v="1900"/>
  </r>
  <r>
    <x v="0"/>
    <m/>
  </r>
  <r>
    <x v="0"/>
    <m/>
  </r>
  <r>
    <x v="0"/>
    <m/>
  </r>
  <r>
    <x v="0"/>
    <m/>
  </r>
  <r>
    <x v="1"/>
    <n v="800"/>
  </r>
  <r>
    <x v="1"/>
    <n v="800"/>
  </r>
  <r>
    <x v="1"/>
    <n v="800"/>
  </r>
  <r>
    <x v="1"/>
    <n v="800"/>
  </r>
  <r>
    <x v="1"/>
    <n v="900"/>
  </r>
  <r>
    <x v="1"/>
    <n v="800"/>
  </r>
  <r>
    <x v="1"/>
    <n v="208"/>
  </r>
  <r>
    <x v="1"/>
    <n v="900"/>
  </r>
  <r>
    <x v="1"/>
    <n v="152"/>
  </r>
  <r>
    <x v="1"/>
    <n v="900"/>
  </r>
  <r>
    <x v="1"/>
    <n v="900"/>
  </r>
  <r>
    <x v="1"/>
    <n v="900"/>
  </r>
  <r>
    <x v="1"/>
    <n v="900"/>
  </r>
  <r>
    <x v="1"/>
    <n v="900"/>
  </r>
  <r>
    <x v="1"/>
    <n v="900"/>
  </r>
  <r>
    <x v="2"/>
    <n v="2465"/>
  </r>
  <r>
    <x v="2"/>
    <n v="1876"/>
  </r>
  <r>
    <x v="2"/>
    <n v="821"/>
  </r>
  <r>
    <x v="2"/>
    <n v="303"/>
  </r>
  <r>
    <x v="2"/>
    <n v="2000"/>
  </r>
  <r>
    <x v="2"/>
    <n v="3500"/>
  </r>
  <r>
    <x v="2"/>
    <m/>
  </r>
  <r>
    <x v="2"/>
    <m/>
  </r>
  <r>
    <x v="3"/>
    <n v="1200"/>
  </r>
  <r>
    <x v="3"/>
    <n v="1200"/>
  </r>
  <r>
    <x v="3"/>
    <n v="1200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4"/>
    <m/>
  </r>
  <r>
    <x v="4"/>
    <m/>
  </r>
  <r>
    <x v="4"/>
    <m/>
  </r>
  <r>
    <x v="4"/>
    <m/>
  </r>
  <r>
    <x v="4"/>
    <m/>
  </r>
  <r>
    <x v="4"/>
    <m/>
  </r>
  <r>
    <x v="5"/>
    <n v="5000"/>
  </r>
  <r>
    <x v="5"/>
    <n v="3908"/>
  </r>
  <r>
    <x v="5"/>
    <n v="5751"/>
  </r>
  <r>
    <x v="5"/>
    <n v="7574"/>
  </r>
  <r>
    <x v="5"/>
    <n v="2000"/>
  </r>
  <r>
    <x v="5"/>
    <n v="4269"/>
  </r>
  <r>
    <x v="5"/>
    <n v="500"/>
  </r>
  <r>
    <x v="5"/>
    <n v="2000"/>
  </r>
  <r>
    <x v="5"/>
    <n v="3000"/>
  </r>
  <r>
    <x v="5"/>
    <n v="14000"/>
  </r>
  <r>
    <x v="5"/>
    <m/>
  </r>
  <r>
    <x v="6"/>
    <n v="5987"/>
  </r>
  <r>
    <x v="6"/>
    <n v="700"/>
  </r>
  <r>
    <x v="6"/>
    <n v="2136"/>
  </r>
  <r>
    <x v="6"/>
    <n v="4952"/>
  </r>
  <r>
    <x v="6"/>
    <n v="727"/>
  </r>
  <r>
    <x v="6"/>
    <n v="4864"/>
  </r>
  <r>
    <x v="6"/>
    <n v="7000"/>
  </r>
  <r>
    <x v="6"/>
    <n v="7000"/>
  </r>
  <r>
    <x v="6"/>
    <n v="7000"/>
  </r>
  <r>
    <x v="6"/>
    <n v="7000"/>
  </r>
  <r>
    <x v="6"/>
    <n v="4000"/>
  </r>
  <r>
    <x v="6"/>
    <m/>
  </r>
  <r>
    <x v="7"/>
    <n v="3000"/>
  </r>
  <r>
    <x v="7"/>
    <m/>
  </r>
  <r>
    <x v="7"/>
    <m/>
  </r>
  <r>
    <x v="7"/>
    <m/>
  </r>
  <r>
    <x v="7"/>
    <m/>
  </r>
  <r>
    <x v="7"/>
    <m/>
  </r>
  <r>
    <x v="7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FY23"/>
    <s v="P9"/>
    <s v="March"/>
    <s v="FY23P9B"/>
    <s v="FY23P930000034"/>
    <n v="1"/>
    <n v="1"/>
    <n v="1"/>
    <s v="45011B"/>
    <s v="45011B        FS03"/>
    <s v="FY23P9        FS03B"/>
    <s v="FY23        FS03"/>
    <s v="in        FS03"/>
    <s v="FY23P9        FS03"/>
    <n v="255.80750000000003"/>
    <n v="1068.3725000000002"/>
    <n v="2166.84"/>
    <n v="2186.6111999999998"/>
    <n v="19.771199999999681"/>
    <d v="2023-03-26T00:00:00"/>
    <x v="0"/>
    <x v="0"/>
    <n v="419160"/>
    <n v="30000034"/>
    <s v="SEAG GIN 80P 120/50 PT ND US"/>
    <n v="60"/>
    <n v="972"/>
    <n v="120"/>
    <n v="116640"/>
    <n v="380"/>
    <n v="380"/>
    <n v="720"/>
    <n v="30"/>
    <n v="690"/>
    <n v="262200"/>
    <n v="2185"/>
    <n v="116640"/>
    <n v="44.49"/>
    <n v="41.45"/>
    <n v="107.32"/>
    <n v="100"/>
    <n v="15"/>
    <n v="15"/>
    <m/>
    <m/>
    <n v="25"/>
    <m/>
    <n v="349"/>
    <n v="404"/>
    <m/>
    <m/>
    <n v="85"/>
    <n v="50"/>
    <m/>
    <m/>
    <m/>
    <m/>
    <m/>
    <m/>
    <m/>
    <m/>
    <m/>
    <n v="35"/>
    <m/>
    <n v="6"/>
    <n v="61"/>
    <n v="100"/>
    <m/>
    <m/>
    <m/>
    <m/>
    <m/>
    <m/>
    <m/>
    <n v="68"/>
    <n v="15"/>
    <m/>
    <m/>
    <m/>
    <m/>
    <n v="20"/>
    <n v="100"/>
    <n v="355"/>
  </r>
  <r>
    <s v="FY23"/>
    <s v="P9"/>
    <s v="March"/>
    <s v="FY23P9B"/>
    <s v="FY23P930008167"/>
    <n v="1"/>
    <n v="1"/>
    <n v="1"/>
    <s v="45012B"/>
    <s v="45012B        FS01"/>
    <s v="FY23P9        FS01B"/>
    <s v="FY23        FS01"/>
    <s v="in        FS01"/>
    <s v="FY23P9        FS01"/>
    <n v="553.21000000000015"/>
    <n v="592.72500000000014"/>
    <n v="3200.7150000000006"/>
    <n v="2272.5"/>
    <n v="-928.2150000000006"/>
    <d v="2023-03-27T00:00:00"/>
    <x v="0"/>
    <x v="1"/>
    <n v="417488"/>
    <n v="30008167"/>
    <s v="SEAG GIN 80P 12/750 PTTF ND NC"/>
    <n v="108"/>
    <n v="1875"/>
    <n v="12"/>
    <n v="22500"/>
    <n v="70"/>
    <n v="70"/>
    <n v="720"/>
    <n v="30"/>
    <n v="690"/>
    <n v="48300"/>
    <n v="4025"/>
    <n v="22500"/>
    <n v="46.58"/>
    <n v="63.04"/>
    <n v="73.89"/>
    <n v="100"/>
    <n v="10"/>
    <n v="60"/>
    <n v="20"/>
    <m/>
    <n v="20"/>
    <m/>
    <n v="145"/>
    <n v="255"/>
    <m/>
    <m/>
    <n v="140"/>
    <m/>
    <m/>
    <m/>
    <n v="25"/>
    <m/>
    <n v="10"/>
    <m/>
    <m/>
    <m/>
    <m/>
    <m/>
    <m/>
    <n v="5"/>
    <n v="44"/>
    <n v="42"/>
    <m/>
    <m/>
    <m/>
    <n v="14"/>
    <m/>
    <m/>
    <m/>
    <m/>
    <m/>
    <m/>
    <m/>
    <m/>
    <m/>
    <n v="10"/>
    <n v="120"/>
    <n v="150"/>
  </r>
  <r>
    <s v="FY23"/>
    <s v="P9"/>
    <s v="March"/>
    <s v="FY23P9B"/>
    <s v="FY23P930000034"/>
    <n v="0"/>
    <n v="0"/>
    <n v="1"/>
    <s v="45012B"/>
    <s v="45012B        FS03"/>
    <s v="FY23P9        FS03B"/>
    <s v="FY23        FS03"/>
    <s v="in        FS03"/>
    <s v="FY23P9        FS03"/>
    <n v="285.90250000000003"/>
    <n v="1026.2395000000001"/>
    <n v="2166.84"/>
    <n v="2004.3935999999997"/>
    <n v="-162.44640000000049"/>
    <d v="2023-03-27T00:00:00"/>
    <x v="0"/>
    <x v="0"/>
    <n v="419153"/>
    <n v="30000034"/>
    <s v="SEAG GIN 80P 120/50 PT ND US"/>
    <n v="60"/>
    <n v="891"/>
    <n v="120"/>
    <n v="106920"/>
    <n v="380"/>
    <n v="380"/>
    <n v="720"/>
    <n v="30"/>
    <n v="690"/>
    <n v="262200"/>
    <n v="2185"/>
    <n v="106920"/>
    <n v="40.78"/>
    <n v="-8.26"/>
    <n v="-493.63"/>
    <n v="100"/>
    <n v="15"/>
    <n v="30"/>
    <m/>
    <m/>
    <n v="20"/>
    <m/>
    <n v="682"/>
    <n v="747"/>
    <m/>
    <m/>
    <n v="95"/>
    <n v="35"/>
    <m/>
    <n v="12"/>
    <m/>
    <m/>
    <n v="10"/>
    <m/>
    <m/>
    <m/>
    <m/>
    <n v="50"/>
    <m/>
    <n v="25"/>
    <n v="56"/>
    <n v="19"/>
    <m/>
    <m/>
    <m/>
    <m/>
    <m/>
    <m/>
    <m/>
    <n v="50"/>
    <n v="46"/>
    <m/>
    <n v="28"/>
    <m/>
    <m/>
    <n v="10"/>
    <n v="90"/>
    <n v="341"/>
  </r>
  <r>
    <s v="FY23"/>
    <s v="P9"/>
    <s v="March"/>
    <s v="FY23P9B"/>
    <s v="FY23P996705002"/>
    <n v="0"/>
    <n v="0"/>
    <n v="1"/>
    <s v="45012B"/>
    <s v="45012B        FS04"/>
    <s v="FY23P9        FS04B"/>
    <s v="FY23        FS04"/>
    <s v="in        FS04"/>
    <s v="FY23P9        FS04"/>
    <n v="66.470000000000013"/>
    <n v="229.32150000000004"/>
    <n v="504.83965000000006"/>
    <n v="488.38650000000001"/>
    <n v="-16.453150000000051"/>
    <d v="2023-03-27T00:00:00"/>
    <x v="0"/>
    <x v="2"/>
    <n v="417505"/>
    <n v="96705002"/>
    <s v="SV EXS80 12/375 CP"/>
    <n v="15.19"/>
    <n v="965"/>
    <n v="12"/>
    <n v="11580"/>
    <n v="185"/>
    <n v="185"/>
    <n v="152"/>
    <m/>
    <n v="152"/>
    <n v="28120"/>
    <n v="2343"/>
    <n v="11580"/>
    <n v="41.18"/>
    <n v="50.66"/>
    <n v="81.290000000000006"/>
    <n v="100"/>
    <n v="5"/>
    <n v="15"/>
    <m/>
    <m/>
    <m/>
    <m/>
    <n v="55"/>
    <n v="75"/>
    <m/>
    <m/>
    <n v="20"/>
    <m/>
    <m/>
    <n v="6"/>
    <n v="12"/>
    <m/>
    <m/>
    <m/>
    <m/>
    <m/>
    <n v="18"/>
    <m/>
    <m/>
    <m/>
    <m/>
    <n v="3"/>
    <m/>
    <m/>
    <m/>
    <m/>
    <m/>
    <n v="25"/>
    <m/>
    <m/>
    <m/>
    <m/>
    <n v="5"/>
    <m/>
    <m/>
    <m/>
    <n v="418"/>
    <n v="69"/>
  </r>
  <r>
    <s v="FY23"/>
    <s v="P9"/>
    <s v="March"/>
    <s v="FY23P9B"/>
    <s v="FY23P996705001"/>
    <n v="0"/>
    <n v="0"/>
    <n v="0"/>
    <s v="45012B"/>
    <s v="45012B        FS04"/>
    <s v="FY23P9        FS04B"/>
    <s v="FY23        FS04"/>
    <s v="in        FS04"/>
    <s v="FY23P9        FS04"/>
    <n v="309.08550000000002"/>
    <n v="677.99400000000014"/>
    <n v="1372.2731500000002"/>
    <n v="1142.19"/>
    <n v="-230.08315000000016"/>
    <d v="2023-03-27T00:00:00"/>
    <x v="0"/>
    <x v="2"/>
    <n v="417630"/>
    <n v="96705001"/>
    <s v="SV APL70 12/375 CP"/>
    <n v="41.29"/>
    <n v="2100"/>
    <n v="12"/>
    <n v="25200"/>
    <n v="185"/>
    <n v="185"/>
    <n v="413"/>
    <n v="30"/>
    <n v="383"/>
    <n v="70855"/>
    <n v="5905"/>
    <n v="25200"/>
    <n v="35.57"/>
    <n v="34.99"/>
    <n v="101.65"/>
    <n v="100"/>
    <m/>
    <n v="30"/>
    <m/>
    <n v="18"/>
    <n v="15"/>
    <m/>
    <n v="186"/>
    <n v="249"/>
    <m/>
    <m/>
    <n v="93"/>
    <m/>
    <m/>
    <m/>
    <m/>
    <m/>
    <n v="16"/>
    <m/>
    <m/>
    <m/>
    <n v="42"/>
    <n v="54"/>
    <m/>
    <n v="6"/>
    <m/>
    <n v="8"/>
    <n v="20"/>
    <m/>
    <m/>
    <n v="4"/>
    <m/>
    <n v="41"/>
    <m/>
    <m/>
    <m/>
    <m/>
    <n v="13"/>
    <m/>
    <m/>
    <m/>
    <n v="548"/>
    <n v="204"/>
  </r>
  <r>
    <s v="FY23"/>
    <s v="P9"/>
    <s v="March"/>
    <s v="FY23P9B"/>
    <s v="FY23P963009850"/>
    <n v="0"/>
    <n v="0"/>
    <n v="1"/>
    <s v="45012B"/>
    <s v="45012B        FS10"/>
    <s v="FY23P9        FS10B"/>
    <s v="FY23        FS10"/>
    <s v="in        FS10"/>
    <s v="FY23P9        FS10"/>
    <n v="394.42416666666668"/>
    <n v="726.57083333333333"/>
    <n v="2419.9257142857145"/>
    <n v="1042.6644000000001"/>
    <n v="-1377.2613142857144"/>
    <d v="2023-03-27T00:00:00"/>
    <x v="0"/>
    <x v="3"/>
    <n v="421248"/>
    <n v="63009850"/>
    <s v="KAH 32 12/1L 20 EX"/>
    <n v="68"/>
    <n v="2524"/>
    <n v="12"/>
    <n v="30288"/>
    <n v="250"/>
    <n v="250"/>
    <n v="510"/>
    <n v="30"/>
    <n v="480"/>
    <n v="120000"/>
    <n v="10000"/>
    <n v="30288"/>
    <n v="25.24"/>
    <n v="51.04"/>
    <n v="49.45"/>
    <n v="100"/>
    <n v="10"/>
    <n v="45"/>
    <m/>
    <m/>
    <n v="10"/>
    <m/>
    <n v="170"/>
    <n v="235"/>
    <m/>
    <m/>
    <n v="95"/>
    <m/>
    <m/>
    <m/>
    <m/>
    <m/>
    <m/>
    <m/>
    <m/>
    <m/>
    <m/>
    <m/>
    <m/>
    <n v="5"/>
    <m/>
    <m/>
    <m/>
    <m/>
    <m/>
    <n v="130"/>
    <n v="40"/>
    <m/>
    <m/>
    <m/>
    <m/>
    <m/>
    <m/>
    <m/>
    <m/>
    <m/>
    <n v="1"/>
    <n v="175"/>
  </r>
  <r>
    <s v="FY23"/>
    <s v="P9"/>
    <s v="March"/>
    <s v="FY23P9B"/>
    <s v="FY23P930012034"/>
    <n v="0"/>
    <n v="0"/>
    <n v="1"/>
    <s v="45012B"/>
    <s v="45012B        FS12"/>
    <s v="FY23P9        FS12B"/>
    <s v="FY23        FS12"/>
    <s v="in        FS12"/>
    <s v="FY23P9        FS12"/>
    <n v="285.90250000000003"/>
    <n v="1351.2655000000002"/>
    <n v="866.7360000000001"/>
    <n v="380.952"/>
    <n v="-485.78400000000011"/>
    <d v="2023-03-27T00:00:00"/>
    <x v="0"/>
    <x v="4"/>
    <n v="417588"/>
    <n v="30012034"/>
    <s v="SEAG GIN 80P 6/1.75L ND US"/>
    <n v="24"/>
    <n v="1716"/>
    <n v="6"/>
    <n v="10296"/>
    <n v="130"/>
    <n v="130"/>
    <n v="360"/>
    <n v="30"/>
    <n v="330"/>
    <n v="42900"/>
    <n v="7150"/>
    <n v="10296"/>
    <n v="24"/>
    <n v="-51.52"/>
    <n v="-46.59"/>
    <n v="100"/>
    <n v="5"/>
    <n v="45"/>
    <m/>
    <m/>
    <n v="15"/>
    <m/>
    <n v="435"/>
    <n v="500"/>
    <m/>
    <m/>
    <n v="95"/>
    <m/>
    <n v="15"/>
    <m/>
    <n v="310"/>
    <m/>
    <m/>
    <m/>
    <m/>
    <m/>
    <m/>
    <m/>
    <m/>
    <n v="5"/>
    <m/>
    <m/>
    <m/>
    <m/>
    <m/>
    <n v="9"/>
    <m/>
    <n v="110"/>
    <m/>
    <m/>
    <m/>
    <m/>
    <m/>
    <m/>
    <m/>
    <m/>
    <n v="120"/>
    <n v="449"/>
  </r>
  <r>
    <s v="FY23"/>
    <s v="P9"/>
    <s v="March"/>
    <s v="FY23P9C"/>
    <s v="FY23P930008167"/>
    <n v="0"/>
    <n v="1"/>
    <n v="1"/>
    <s v="45012C"/>
    <s v="45012C        FS01"/>
    <s v="FY23P9        FS01C"/>
    <s v="FY23        FS01"/>
    <s v="in        FS01"/>
    <s v="FY23P9        FS01"/>
    <n v="79.030000000000015"/>
    <n v="533.4525000000001"/>
    <n v="1066.9050000000002"/>
    <n v="559.94399999999996"/>
    <n v="-506.96100000000024"/>
    <d v="2023-03-27T00:00:00"/>
    <x v="1"/>
    <x v="1"/>
    <n v="417488"/>
    <n v="30008167"/>
    <s v="SEAG GIN 80P 12/750 PTTF ND NC"/>
    <n v="36"/>
    <n v="462"/>
    <n v="12"/>
    <n v="5544"/>
    <n v="70"/>
    <n v="70"/>
    <n v="240"/>
    <m/>
    <n v="240"/>
    <n v="16800"/>
    <n v="1400"/>
    <n v="5544"/>
    <n v="33"/>
    <n v="39.58"/>
    <n v="83.37"/>
    <n v="100"/>
    <n v="5"/>
    <n v="15"/>
    <m/>
    <m/>
    <m/>
    <m/>
    <n v="125"/>
    <n v="145"/>
    <m/>
    <m/>
    <n v="20"/>
    <m/>
    <m/>
    <n v="45"/>
    <m/>
    <m/>
    <m/>
    <m/>
    <m/>
    <m/>
    <m/>
    <n v="6"/>
    <m/>
    <m/>
    <m/>
    <m/>
    <n v="10"/>
    <m/>
    <m/>
    <n v="4"/>
    <n v="70"/>
    <m/>
    <m/>
    <m/>
    <m/>
    <m/>
    <m/>
    <m/>
    <m/>
    <m/>
    <n v="225"/>
    <n v="135"/>
  </r>
  <r>
    <s v="FY23"/>
    <s v="P9"/>
    <s v="March"/>
    <s v="FY23P9C"/>
    <s v="FY23P971608004"/>
    <n v="0"/>
    <n v="0"/>
    <n v="0"/>
    <s v="45012C"/>
    <s v="45012C        FS01"/>
    <s v="FY23P9        FS01C"/>
    <s v="FY23        FS01"/>
    <s v="in        FS01"/>
    <s v="FY23P9        FS01"/>
    <n v="367.2"/>
    <n v="0"/>
    <n v="2221.2000000000003"/>
    <n v="0"/>
    <n v="-2221.2000000000003"/>
    <d v="2023-03-27T00:00:00"/>
    <x v="1"/>
    <x v="1"/>
    <n v="424499"/>
    <n v="71608004"/>
    <s v="JEFF VSB BBN 82.3 6/750 AU"/>
    <n v="72"/>
    <m/>
    <n v="6"/>
    <m/>
    <n v="55"/>
    <n v="55"/>
    <n v="480"/>
    <n v="30"/>
    <n v="450"/>
    <n v="24750"/>
    <n v="4125"/>
    <n v="0"/>
    <n v="0"/>
    <n v="90"/>
    <n v="0"/>
    <n v="0"/>
    <m/>
    <n v="45"/>
    <m/>
    <m/>
    <m/>
    <m/>
    <m/>
    <n v="45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s v="FY23"/>
    <s v="P9"/>
    <s v="March"/>
    <s v="FY23P9C"/>
    <s v="FY23P930000034"/>
    <n v="0"/>
    <n v="0"/>
    <n v="1"/>
    <s v="45012C"/>
    <s v="45012C        FS03"/>
    <s v="FY23P9        FS03C"/>
    <s v="FY23        FS03"/>
    <s v="in        FS03"/>
    <s v="FY23P9        FS03"/>
    <n v="361.14000000000004"/>
    <n v="947.99250000000018"/>
    <n v="2166.84"/>
    <n v="1923.4079999999997"/>
    <n v="-243.43200000000047"/>
    <d v="2023-03-27T00:00:00"/>
    <x v="1"/>
    <x v="0"/>
    <n v="419154"/>
    <n v="30000034"/>
    <s v="SEAG GIN 80P 120/50 PT ND US"/>
    <n v="60"/>
    <n v="855"/>
    <n v="120"/>
    <n v="102600"/>
    <n v="380"/>
    <n v="380"/>
    <n v="720"/>
    <n v="30"/>
    <n v="690"/>
    <n v="262200"/>
    <n v="2185"/>
    <n v="102600"/>
    <n v="39.130000000000003"/>
    <n v="44.78"/>
    <n v="87.38"/>
    <n v="100"/>
    <n v="10"/>
    <n v="60"/>
    <m/>
    <m/>
    <n v="20"/>
    <m/>
    <n v="291"/>
    <n v="381"/>
    <m/>
    <m/>
    <n v="120"/>
    <n v="12"/>
    <m/>
    <n v="22"/>
    <m/>
    <m/>
    <m/>
    <m/>
    <m/>
    <m/>
    <n v="7"/>
    <m/>
    <n v="16"/>
    <n v="9"/>
    <n v="92"/>
    <n v="29"/>
    <m/>
    <m/>
    <n v="34"/>
    <n v="17"/>
    <m/>
    <n v="46"/>
    <m/>
    <m/>
    <n v="23"/>
    <m/>
    <m/>
    <m/>
    <m/>
    <n v="8"/>
    <n v="81"/>
    <n v="315"/>
  </r>
  <r>
    <s v="FY23"/>
    <s v="P9"/>
    <s v="March"/>
    <s v="FY23P9C"/>
    <s v="FY23P930001034"/>
    <n v="0"/>
    <n v="0"/>
    <n v="1"/>
    <s v="45012C"/>
    <s v="45012C        FS05"/>
    <s v="FY23P9        FS05C"/>
    <s v="FY23        FS05"/>
    <s v="in        FS05"/>
    <s v="FY23P9        FS05"/>
    <n v="49.852500000000006"/>
    <n v="372.23200000000008"/>
    <n v="681.31750000000011"/>
    <n v="489.24359999999996"/>
    <n v="-192.07390000000015"/>
    <d v="2023-03-27T00:00:00"/>
    <x v="1"/>
    <x v="5"/>
    <n v="417589"/>
    <n v="30001034"/>
    <s v="SEAG GIN 80P 48/100 FSK ND US"/>
    <n v="20.5"/>
    <n v="333"/>
    <n v="48"/>
    <n v="15984"/>
    <n v="250"/>
    <n v="250"/>
    <n v="205"/>
    <m/>
    <n v="205"/>
    <n v="51250"/>
    <n v="1068"/>
    <n v="15984"/>
    <n v="31.19"/>
    <n v="41.46"/>
    <n v="75.22"/>
    <n v="100"/>
    <m/>
    <n v="15"/>
    <m/>
    <m/>
    <m/>
    <m/>
    <n v="105"/>
    <n v="120"/>
    <m/>
    <m/>
    <n v="15"/>
    <m/>
    <m/>
    <m/>
    <m/>
    <m/>
    <m/>
    <m/>
    <m/>
    <m/>
    <n v="30"/>
    <n v="55"/>
    <m/>
    <m/>
    <m/>
    <m/>
    <m/>
    <m/>
    <n v="4"/>
    <n v="3"/>
    <m/>
    <n v="20"/>
    <m/>
    <m/>
    <m/>
    <m/>
    <m/>
    <m/>
    <m/>
    <m/>
    <n v="57"/>
    <n v="112"/>
  </r>
  <r>
    <s v="FY23"/>
    <s v="P9"/>
    <s v="March"/>
    <s v="FY23P9C"/>
    <s v="FY23P930001034"/>
    <n v="0"/>
    <n v="0"/>
    <n v="0"/>
    <s v="45012C"/>
    <s v="45012C        FS05"/>
    <s v="FY23P9        FS05C"/>
    <s v="FY23        FS05"/>
    <s v="in        FS05"/>
    <s v="FY23P9        FS05"/>
    <n v="166.17500000000004"/>
    <n v="545.05400000000009"/>
    <n v="1434.7549500000002"/>
    <n v="952.0415999999999"/>
    <n v="-482.71335000000033"/>
    <d v="2023-03-27T00:00:00"/>
    <x v="1"/>
    <x v="5"/>
    <n v="417594"/>
    <n v="30001034"/>
    <s v="SEAG GIN 80P 48/100 FSK ND US"/>
    <n v="43.17"/>
    <n v="648"/>
    <n v="48"/>
    <n v="31104"/>
    <n v="250"/>
    <n v="250"/>
    <n v="370"/>
    <m/>
    <n v="370"/>
    <n v="92500"/>
    <n v="1927"/>
    <n v="31104"/>
    <n v="33.630000000000003"/>
    <n v="43.24"/>
    <n v="77.760000000000005"/>
    <n v="100"/>
    <m/>
    <n v="30"/>
    <m/>
    <m/>
    <n v="20"/>
    <m/>
    <n v="160"/>
    <n v="210"/>
    <m/>
    <m/>
    <n v="50"/>
    <m/>
    <m/>
    <n v="13"/>
    <m/>
    <m/>
    <m/>
    <m/>
    <m/>
    <m/>
    <n v="11"/>
    <n v="80"/>
    <m/>
    <m/>
    <m/>
    <n v="38"/>
    <m/>
    <m/>
    <n v="4"/>
    <n v="18"/>
    <m/>
    <m/>
    <m/>
    <m/>
    <m/>
    <m/>
    <m/>
    <m/>
    <m/>
    <m/>
    <n v="168"/>
    <n v="164"/>
  </r>
  <r>
    <s v="FY23"/>
    <s v="P9"/>
    <s v="March"/>
    <s v="FY23P9C"/>
    <s v="FY23P963009850"/>
    <n v="0"/>
    <n v="0"/>
    <n v="1"/>
    <s v="45012C"/>
    <s v="45012C        FS10"/>
    <s v="FY23P9        FS10C"/>
    <s v="FY23        FS10"/>
    <s v="in        FS10"/>
    <s v="FY23P9        FS10"/>
    <n v="41.518333333333331"/>
    <n v="323.84300000000002"/>
    <n v="1120.9950000000001"/>
    <n v="1051.3395"/>
    <n v="-69.655500000000075"/>
    <d v="2023-03-27T00:00:00"/>
    <x v="1"/>
    <x v="3"/>
    <n v="421248"/>
    <n v="63009850"/>
    <s v="KAH 32 12/1L 20 EX"/>
    <n v="31.5"/>
    <n v="2545"/>
    <n v="12"/>
    <n v="30540"/>
    <n v="250"/>
    <n v="250"/>
    <n v="210"/>
    <m/>
    <n v="210"/>
    <n v="52500"/>
    <n v="4375"/>
    <n v="30540"/>
    <n v="58.17"/>
    <n v="58.1"/>
    <n v="100.13"/>
    <n v="100"/>
    <n v="10"/>
    <m/>
    <m/>
    <m/>
    <m/>
    <m/>
    <n v="78"/>
    <n v="88"/>
    <m/>
    <m/>
    <n v="10"/>
    <n v="10"/>
    <m/>
    <n v="15"/>
    <m/>
    <m/>
    <m/>
    <m/>
    <m/>
    <m/>
    <m/>
    <n v="23"/>
    <m/>
    <m/>
    <m/>
    <m/>
    <m/>
    <m/>
    <m/>
    <n v="30"/>
    <m/>
    <m/>
    <m/>
    <m/>
    <m/>
    <m/>
    <m/>
    <m/>
    <m/>
    <m/>
    <n v="783"/>
    <n v="78"/>
  </r>
  <r>
    <s v="FY23"/>
    <s v="P9"/>
    <s v="March"/>
    <s v="FY23P9C"/>
    <s v="FY23P963009850"/>
    <n v="0"/>
    <n v="0"/>
    <n v="0"/>
    <s v="45012C"/>
    <s v="45012C        FS10"/>
    <s v="FY23P9        FS10C"/>
    <s v="FY23        FS10"/>
    <s v="in        FS10"/>
    <s v="FY23P9        FS10"/>
    <n v="166.07333333333332"/>
    <n v="423.48699999999997"/>
    <n v="1574.7310714285716"/>
    <n v="1578.0420000000001"/>
    <n v="3.3109285714285761"/>
    <d v="2023-03-27T00:00:00"/>
    <x v="1"/>
    <x v="3"/>
    <n v="425872"/>
    <n v="63009850"/>
    <s v="KAH 32 12/1L 20 EX"/>
    <n v="44.25"/>
    <n v="3820"/>
    <n v="12"/>
    <n v="45840"/>
    <n v="250"/>
    <n v="250"/>
    <n v="295"/>
    <n v="30"/>
    <n v="265"/>
    <n v="66250"/>
    <n v="5521"/>
    <n v="45840"/>
    <n v="69.19"/>
    <n v="60.75"/>
    <n v="113.89"/>
    <n v="100"/>
    <m/>
    <m/>
    <n v="10"/>
    <m/>
    <m/>
    <m/>
    <n v="94"/>
    <n v="104"/>
    <m/>
    <m/>
    <n v="40"/>
    <m/>
    <m/>
    <m/>
    <m/>
    <m/>
    <m/>
    <m/>
    <m/>
    <m/>
    <n v="23"/>
    <m/>
    <m/>
    <n v="8"/>
    <m/>
    <m/>
    <n v="10"/>
    <m/>
    <m/>
    <n v="35"/>
    <m/>
    <m/>
    <n v="26"/>
    <m/>
    <m/>
    <m/>
    <m/>
    <m/>
    <m/>
    <m/>
    <n v="234"/>
    <n v="102"/>
  </r>
  <r>
    <s v="FY23"/>
    <s v="P9"/>
    <s v="March"/>
    <s v="FY23P9C"/>
    <s v="FY23P930012034"/>
    <n v="0"/>
    <n v="0"/>
    <n v="1"/>
    <s v="45012C"/>
    <s v="45012C        FS12"/>
    <s v="FY23P9        FS12C"/>
    <s v="FY23        FS12"/>
    <s v="in        FS12"/>
    <s v="FY23P9        FS12"/>
    <n v="90.285000000000011"/>
    <n v="279.88350000000003"/>
    <n v="650.05200000000013"/>
    <n v="262.404"/>
    <n v="-387.64800000000014"/>
    <d v="2023-03-27T00:00:00"/>
    <x v="1"/>
    <x v="4"/>
    <n v="417600"/>
    <n v="30012034"/>
    <s v="SEAG GIN 80P 6/1.75L ND US"/>
    <n v="18"/>
    <n v="1182"/>
    <n v="6"/>
    <n v="7092"/>
    <n v="130"/>
    <n v="130"/>
    <n v="180"/>
    <m/>
    <n v="180"/>
    <n v="23400"/>
    <n v="3900"/>
    <n v="7092"/>
    <n v="30.31"/>
    <n v="41.11"/>
    <n v="73.72"/>
    <n v="100"/>
    <m/>
    <m/>
    <m/>
    <m/>
    <n v="30"/>
    <m/>
    <n v="76"/>
    <n v="106"/>
    <m/>
    <m/>
    <n v="30"/>
    <m/>
    <m/>
    <n v="10"/>
    <m/>
    <m/>
    <m/>
    <m/>
    <n v="43"/>
    <m/>
    <n v="10"/>
    <m/>
    <m/>
    <n v="9"/>
    <m/>
    <n v="13"/>
    <m/>
    <m/>
    <m/>
    <n v="8"/>
    <m/>
    <m/>
    <m/>
    <m/>
    <m/>
    <m/>
    <m/>
    <m/>
    <m/>
    <m/>
    <n v="462"/>
    <n v="93"/>
  </r>
  <r>
    <s v="FY23"/>
    <s v="P9"/>
    <s v="March"/>
    <s v="FY23P9C"/>
    <s v="FY23P930012034"/>
    <n v="0"/>
    <n v="0"/>
    <n v="0"/>
    <s v="45012C"/>
    <s v="45012C        FS12"/>
    <s v="FY23P9        FS12C"/>
    <s v="FY23        FS12"/>
    <s v="in        FS12"/>
    <s v="FY23P9        FS12"/>
    <n v="120.38000000000002"/>
    <n v="625.97600000000011"/>
    <n v="1625.13"/>
    <n v="934.17600000000004"/>
    <n v="-690.95400000000006"/>
    <d v="2023-03-27T00:00:00"/>
    <x v="1"/>
    <x v="4"/>
    <n v="417588"/>
    <n v="30012034"/>
    <s v="SEAG GIN 80P 6/1.75L ND US"/>
    <n v="45"/>
    <n v="4208"/>
    <n v="6"/>
    <n v="25248"/>
    <n v="130"/>
    <n v="130"/>
    <n v="450"/>
    <n v="30"/>
    <n v="420"/>
    <n v="54600"/>
    <n v="9100"/>
    <n v="25248"/>
    <n v="46.24"/>
    <n v="50"/>
    <n v="92.48"/>
    <n v="100"/>
    <n v="10"/>
    <m/>
    <m/>
    <m/>
    <m/>
    <m/>
    <n v="200"/>
    <n v="210"/>
    <m/>
    <m/>
    <n v="40"/>
    <m/>
    <m/>
    <m/>
    <n v="8"/>
    <m/>
    <m/>
    <m/>
    <n v="115"/>
    <m/>
    <m/>
    <n v="17"/>
    <m/>
    <m/>
    <m/>
    <n v="25"/>
    <m/>
    <m/>
    <m/>
    <n v="23"/>
    <m/>
    <n v="20"/>
    <m/>
    <m/>
    <m/>
    <m/>
    <m/>
    <m/>
    <m/>
    <m/>
    <n v="657"/>
    <n v="208"/>
  </r>
  <r>
    <s v="FY23"/>
    <s v="P9"/>
    <s v="March"/>
    <s v="FY23P9B"/>
    <s v="FY23P971608004"/>
    <n v="1"/>
    <n v="1"/>
    <n v="1"/>
    <s v="45013B"/>
    <s v="45013B        FS01"/>
    <s v="FY23P9        FS01B"/>
    <s v="FY23        FS01"/>
    <s v="in        FS01"/>
    <s v="FY23P9        FS01"/>
    <n v="899.3739130434783"/>
    <n v="3777.3704347826088"/>
    <n v="4812.6000000000004"/>
    <n v="180.196"/>
    <n v="-4632.4040000000005"/>
    <d v="2023-03-28T00:00:00"/>
    <x v="0"/>
    <x v="1"/>
    <n v="424499"/>
    <n v="71608004"/>
    <s v="JEFF VSB BBN 82.3 6/750 AU"/>
    <n v="156"/>
    <n v="190"/>
    <n v="6"/>
    <n v="1140"/>
    <n v="55"/>
    <n v="55"/>
    <n v="720"/>
    <n v="30"/>
    <n v="690"/>
    <n v="37950"/>
    <n v="6325"/>
    <n v="1140"/>
    <n v="3"/>
    <n v="7.39"/>
    <n v="40.64"/>
    <n v="100"/>
    <n v="10"/>
    <n v="60"/>
    <n v="10"/>
    <m/>
    <n v="20"/>
    <m/>
    <n v="539"/>
    <n v="639"/>
    <m/>
    <m/>
    <n v="130"/>
    <m/>
    <m/>
    <m/>
    <m/>
    <m/>
    <m/>
    <n v="25"/>
    <n v="420"/>
    <n v="10"/>
    <n v="12"/>
    <m/>
    <m/>
    <m/>
    <n v="7"/>
    <n v="10"/>
    <m/>
    <m/>
    <m/>
    <n v="62"/>
    <m/>
    <m/>
    <m/>
    <m/>
    <m/>
    <m/>
    <m/>
    <m/>
    <m/>
    <m/>
    <m/>
    <n v="546"/>
  </r>
  <r>
    <s v="FY23"/>
    <s v="P9"/>
    <s v="March"/>
    <s v="FY23P9B"/>
    <s v="FY23P930000034"/>
    <n v="0"/>
    <n v="0"/>
    <n v="1"/>
    <s v="45013B"/>
    <s v="45013B        FS03"/>
    <s v="FY23P9        FS03B"/>
    <s v="FY23        FS03"/>
    <s v="in        FS03"/>
    <s v="FY23P9        FS03"/>
    <n v="195.61750000000004"/>
    <n v="1083.42"/>
    <n v="2166.84"/>
    <n v="2085.3791999999999"/>
    <n v="-81.46080000000029"/>
    <d v="2023-03-28T00:00:00"/>
    <x v="0"/>
    <x v="0"/>
    <n v="419155"/>
    <n v="30000034"/>
    <s v="SEAG GIN 80P 120/50 PT ND US"/>
    <n v="60"/>
    <n v="927"/>
    <n v="120"/>
    <n v="111240"/>
    <n v="380"/>
    <n v="380"/>
    <n v="720"/>
    <n v="30"/>
    <n v="690"/>
    <n v="262200"/>
    <n v="2185"/>
    <n v="111240"/>
    <n v="42.43"/>
    <n v="43.77"/>
    <n v="96.93"/>
    <n v="100"/>
    <m/>
    <n v="15"/>
    <m/>
    <m/>
    <n v="20"/>
    <m/>
    <n v="353"/>
    <n v="388"/>
    <m/>
    <m/>
    <n v="65"/>
    <n v="25"/>
    <m/>
    <n v="15"/>
    <n v="30"/>
    <m/>
    <m/>
    <m/>
    <m/>
    <m/>
    <m/>
    <n v="80"/>
    <m/>
    <n v="15"/>
    <n v="70"/>
    <n v="23"/>
    <m/>
    <m/>
    <m/>
    <m/>
    <m/>
    <m/>
    <m/>
    <n v="25"/>
    <n v="7"/>
    <n v="70"/>
    <m/>
    <m/>
    <m/>
    <m/>
    <n v="120"/>
    <n v="360"/>
  </r>
  <r>
    <s v="FY23"/>
    <s v="P9"/>
    <s v="March"/>
    <s v="FY23P9B"/>
    <s v="FY23P996705001"/>
    <n v="0"/>
    <n v="0"/>
    <n v="1"/>
    <s v="45013B"/>
    <s v="45013B        FS04"/>
    <s v="FY23P9        FS04B"/>
    <s v="FY23        FS04"/>
    <s v="in        FS04"/>
    <s v="FY23P9        FS04"/>
    <n v="16.617500000000003"/>
    <n v="106.35200000000002"/>
    <n v="286.81805000000008"/>
    <n v="312.74250000000001"/>
    <n v="25.924449999999922"/>
    <d v="2023-03-28T00:00:00"/>
    <x v="0"/>
    <x v="2"/>
    <n v="417639"/>
    <n v="96705001"/>
    <s v="SV APL70 12/375 CP"/>
    <n v="8.6300000000000008"/>
    <n v="575"/>
    <n v="12"/>
    <n v="6900"/>
    <n v="185"/>
    <n v="185"/>
    <n v="74"/>
    <m/>
    <n v="74"/>
    <n v="13690"/>
    <n v="1141"/>
    <n v="6900"/>
    <n v="50.4"/>
    <n v="79.73"/>
    <n v="63.22"/>
    <n v="100"/>
    <n v="5"/>
    <m/>
    <m/>
    <m/>
    <m/>
    <m/>
    <n v="10"/>
    <n v="15"/>
    <m/>
    <m/>
    <n v="5"/>
    <m/>
    <m/>
    <m/>
    <m/>
    <m/>
    <m/>
    <m/>
    <n v="6"/>
    <m/>
    <n v="6"/>
    <m/>
    <m/>
    <m/>
    <m/>
    <n v="4"/>
    <n v="6"/>
    <m/>
    <m/>
    <m/>
    <m/>
    <n v="10"/>
    <m/>
    <m/>
    <m/>
    <m/>
    <m/>
    <m/>
    <m/>
    <m/>
    <n v="497"/>
    <n v="32"/>
  </r>
  <r>
    <s v="FY23"/>
    <s v="P9"/>
    <s v="March"/>
    <s v="FY23P9B"/>
    <s v="FY23P996705001"/>
    <n v="0"/>
    <n v="0"/>
    <n v="0"/>
    <s v="45013B"/>
    <s v="45013B        FS04"/>
    <s v="FY23P9        FS04B"/>
    <s v="FY23        FS04"/>
    <s v="in        FS04"/>
    <s v="FY23P9        FS04"/>
    <n v="49.852500000000006"/>
    <n v="501.84850000000006"/>
    <n v="732.83175000000017"/>
    <n v="146.85300000000001"/>
    <n v="-585.97875000000022"/>
    <d v="2023-03-28T00:00:00"/>
    <x v="0"/>
    <x v="2"/>
    <n v="428113"/>
    <n v="96705001"/>
    <s v="SV APL70 12/375 CP"/>
    <n v="22.05"/>
    <n v="270"/>
    <n v="12"/>
    <n v="3240"/>
    <n v="185"/>
    <n v="185"/>
    <n v="189"/>
    <m/>
    <n v="189"/>
    <n v="34965"/>
    <n v="2914"/>
    <n v="3240"/>
    <n v="9.27"/>
    <n v="15.34"/>
    <n v="60.39"/>
    <n v="100"/>
    <m/>
    <n v="15"/>
    <m/>
    <m/>
    <m/>
    <m/>
    <n v="145"/>
    <n v="160"/>
    <m/>
    <m/>
    <n v="15"/>
    <m/>
    <m/>
    <m/>
    <n v="25"/>
    <m/>
    <m/>
    <m/>
    <m/>
    <m/>
    <n v="16"/>
    <m/>
    <m/>
    <m/>
    <m/>
    <m/>
    <m/>
    <m/>
    <m/>
    <m/>
    <n v="104"/>
    <n v="6"/>
    <m/>
    <m/>
    <m/>
    <m/>
    <m/>
    <m/>
    <m/>
    <m/>
    <n v="270"/>
    <n v="151"/>
  </r>
  <r>
    <s v="FY23"/>
    <s v="P9"/>
    <s v="March"/>
    <s v="FY23P9B"/>
    <s v="FY23P930001034"/>
    <n v="0"/>
    <n v="0"/>
    <n v="1"/>
    <s v="45013B"/>
    <s v="45013B        FS05"/>
    <s v="FY23P9        FS05B"/>
    <s v="FY23        FS05"/>
    <s v="in        FS05"/>
    <s v="FY23P9        FS05"/>
    <n v="66.470000000000013"/>
    <n v="239.29200000000003"/>
    <n v="567.98615000000007"/>
    <n v="793.36799999999994"/>
    <n v="225.38184999999987"/>
    <d v="2023-03-28T00:00:00"/>
    <x v="0"/>
    <x v="5"/>
    <n v="417594"/>
    <n v="30001034"/>
    <s v="SEAG GIN 80P 48/100 FSK ND US"/>
    <n v="17.09"/>
    <n v="540"/>
    <n v="48"/>
    <n v="25920"/>
    <n v="250"/>
    <n v="250"/>
    <n v="205"/>
    <m/>
    <n v="205"/>
    <n v="51250"/>
    <n v="1068"/>
    <n v="25920"/>
    <n v="50.58"/>
    <n v="70.73"/>
    <n v="71.5"/>
    <n v="100"/>
    <n v="5"/>
    <n v="15"/>
    <m/>
    <m/>
    <m/>
    <m/>
    <n v="40"/>
    <n v="60"/>
    <m/>
    <m/>
    <n v="20"/>
    <m/>
    <n v="15"/>
    <n v="5"/>
    <m/>
    <m/>
    <n v="5"/>
    <m/>
    <n v="3"/>
    <m/>
    <n v="6"/>
    <m/>
    <m/>
    <m/>
    <m/>
    <n v="6"/>
    <m/>
    <m/>
    <n v="5"/>
    <n v="25"/>
    <m/>
    <n v="2"/>
    <m/>
    <m/>
    <m/>
    <m/>
    <m/>
    <m/>
    <m/>
    <m/>
    <n v="190"/>
    <n v="72"/>
  </r>
  <r>
    <s v="FY23"/>
    <s v="P9"/>
    <s v="March"/>
    <s v="FY23P9B"/>
    <s v="FY23P930001034"/>
    <n v="0"/>
    <n v="0"/>
    <n v="0"/>
    <s v="45013B"/>
    <s v="45013B        FS05"/>
    <s v="FY23P9        FS05B"/>
    <s v="FY23        FS05"/>
    <s v="in        FS05"/>
    <s v="FY23P9        FS05"/>
    <n v="249.26250000000005"/>
    <n v="481.90750000000008"/>
    <n v="1370.9437500000004"/>
    <n v="1614.6507999999999"/>
    <n v="243.70704999999953"/>
    <d v="2023-03-28T00:00:00"/>
    <x v="0"/>
    <x v="5"/>
    <n v="417601"/>
    <n v="30001034"/>
    <s v="SEAG GIN 80P 48/100 FSK ND US"/>
    <n v="41.25"/>
    <n v="1099"/>
    <n v="48"/>
    <n v="52752"/>
    <n v="250"/>
    <n v="250"/>
    <n v="495"/>
    <n v="30"/>
    <n v="465"/>
    <n v="116250"/>
    <n v="2422"/>
    <n v="52752"/>
    <n v="45.38"/>
    <n v="66.67"/>
    <n v="68.069999999999993"/>
    <n v="100"/>
    <m/>
    <n v="15"/>
    <m/>
    <m/>
    <n v="30"/>
    <m/>
    <n v="110"/>
    <n v="155"/>
    <m/>
    <m/>
    <n v="75"/>
    <m/>
    <m/>
    <n v="8"/>
    <n v="15"/>
    <m/>
    <n v="5"/>
    <m/>
    <n v="10"/>
    <m/>
    <n v="3"/>
    <n v="40"/>
    <m/>
    <n v="4"/>
    <n v="9"/>
    <n v="24"/>
    <m/>
    <m/>
    <m/>
    <n v="21"/>
    <m/>
    <n v="6"/>
    <m/>
    <m/>
    <m/>
    <m/>
    <m/>
    <m/>
    <m/>
    <m/>
    <m/>
    <n v="145"/>
  </r>
  <r>
    <s v="FY23"/>
    <s v="P9"/>
    <s v="March"/>
    <s v="FY23P9B"/>
    <s v="FY23P963009851"/>
    <n v="0"/>
    <n v="0"/>
    <n v="1"/>
    <s v="45013B"/>
    <s v="45013B        FS10"/>
    <s v="FY23P9        FS10B"/>
    <s v="FY23        FS10"/>
    <s v="in        FS10"/>
    <s v="FY23P9        FS10"/>
    <n v="290.62833333333333"/>
    <n v="1282.9165"/>
    <n v="2241.9900000000002"/>
    <n v="2077.8338000000003"/>
    <n v="-164.1561999999999"/>
    <d v="2023-03-28T00:00:00"/>
    <x v="0"/>
    <x v="3"/>
    <n v="417509"/>
    <n v="63009851"/>
    <s v="KAH 32 12/1L 21 MX"/>
    <n v="63"/>
    <n v="5222"/>
    <n v="12"/>
    <n v="62664"/>
    <n v="250"/>
    <n v="250"/>
    <n v="630"/>
    <n v="30"/>
    <n v="600"/>
    <n v="150000"/>
    <n v="12500"/>
    <n v="62664"/>
    <n v="41.78"/>
    <n v="42.83"/>
    <n v="97.53"/>
    <n v="100"/>
    <n v="5"/>
    <n v="15"/>
    <m/>
    <m/>
    <n v="20"/>
    <m/>
    <n v="303"/>
    <n v="343"/>
    <m/>
    <m/>
    <n v="70"/>
    <m/>
    <n v="35"/>
    <m/>
    <n v="22"/>
    <m/>
    <m/>
    <m/>
    <n v="12"/>
    <m/>
    <m/>
    <n v="45"/>
    <m/>
    <n v="25"/>
    <m/>
    <m/>
    <m/>
    <m/>
    <m/>
    <n v="22"/>
    <m/>
    <n v="44"/>
    <n v="40"/>
    <n v="58"/>
    <m/>
    <m/>
    <m/>
    <m/>
    <m/>
    <n v="6"/>
    <n v="750"/>
    <n v="309"/>
  </r>
  <r>
    <s v="FY23"/>
    <s v="P9"/>
    <s v="March"/>
    <s v="FY23P9B"/>
    <s v="FY23P930012034"/>
    <n v="0"/>
    <n v="0"/>
    <n v="1"/>
    <s v="45013B"/>
    <s v="45013B        FS12"/>
    <s v="FY23P9        FS12B"/>
    <s v="FY23        FS12"/>
    <s v="in        FS12"/>
    <s v="FY23P9        FS12"/>
    <n v="315.99750000000006"/>
    <n v="331.04500000000007"/>
    <n v="2275.1820000000002"/>
    <n v="1485.18"/>
    <n v="-790.00200000000018"/>
    <d v="2023-03-28T00:00:00"/>
    <x v="0"/>
    <x v="4"/>
    <n v="417600"/>
    <n v="30012034"/>
    <s v="SEAG GIN 80P 6/1.75L ND US"/>
    <n v="63"/>
    <n v="6690"/>
    <n v="6"/>
    <n v="40140"/>
    <n v="130"/>
    <n v="130"/>
    <n v="630"/>
    <n v="30"/>
    <n v="600"/>
    <n v="78000"/>
    <n v="13000"/>
    <n v="40140"/>
    <n v="51.46"/>
    <n v="72"/>
    <n v="71.47"/>
    <n v="100"/>
    <n v="10"/>
    <n v="45"/>
    <m/>
    <m/>
    <n v="20"/>
    <m/>
    <n v="93"/>
    <n v="168"/>
    <m/>
    <m/>
    <n v="105"/>
    <m/>
    <m/>
    <n v="34"/>
    <n v="7"/>
    <m/>
    <m/>
    <m/>
    <m/>
    <m/>
    <m/>
    <n v="25"/>
    <m/>
    <n v="5"/>
    <m/>
    <n v="5"/>
    <m/>
    <m/>
    <m/>
    <n v="21"/>
    <m/>
    <n v="13"/>
    <m/>
    <m/>
    <m/>
    <m/>
    <m/>
    <m/>
    <m/>
    <m/>
    <n v="880"/>
    <n v="110"/>
  </r>
  <r>
    <s v="FY23"/>
    <s v="P9"/>
    <s v="March"/>
    <s v="FY23P9C"/>
    <s v="FY23P971608004"/>
    <n v="0"/>
    <n v="1"/>
    <n v="1"/>
    <s v="45013C"/>
    <s v="45013C        FS01"/>
    <s v="FY23P9        FS01C"/>
    <s v="FY23        FS01"/>
    <s v="in        FS01"/>
    <s v="FY23P9        FS01"/>
    <n v="1352.8421052631577"/>
    <n v="2135.5578947368417"/>
    <n v="5553"/>
    <n v="1878.7804000000001"/>
    <n v="-3674.2195999999999"/>
    <d v="2023-03-28T00:00:00"/>
    <x v="1"/>
    <x v="1"/>
    <n v="415762"/>
    <n v="71608004"/>
    <s v="JEFF VSB BBN 82.3 6/750 AU"/>
    <n v="180"/>
    <n v="1981"/>
    <n v="6"/>
    <n v="11886"/>
    <n v="55"/>
    <n v="55"/>
    <n v="600"/>
    <n v="30"/>
    <n v="570"/>
    <n v="31350"/>
    <n v="5225"/>
    <n v="11886"/>
    <n v="37.909999999999997"/>
    <n v="43.33"/>
    <n v="87.49"/>
    <n v="100"/>
    <m/>
    <n v="60"/>
    <n v="20"/>
    <m/>
    <n v="30"/>
    <m/>
    <n v="213"/>
    <n v="323"/>
    <m/>
    <m/>
    <n v="140"/>
    <m/>
    <m/>
    <m/>
    <n v="15"/>
    <m/>
    <m/>
    <n v="15"/>
    <m/>
    <m/>
    <m/>
    <n v="43"/>
    <m/>
    <m/>
    <n v="21"/>
    <m/>
    <n v="8"/>
    <m/>
    <m/>
    <n v="77"/>
    <m/>
    <n v="32"/>
    <m/>
    <m/>
    <m/>
    <m/>
    <m/>
    <m/>
    <m/>
    <n v="10"/>
    <m/>
    <n v="221"/>
  </r>
  <r>
    <s v="FY23"/>
    <s v="P9"/>
    <s v="March"/>
    <s v="FY23P9C"/>
    <s v="FY23P971608004"/>
    <n v="0"/>
    <n v="0"/>
    <n v="0"/>
    <s v="45013C"/>
    <s v="45013C        FS01"/>
    <s v="FY23P9        FS01C"/>
    <s v="FY23        FS01"/>
    <s v="in        FS01"/>
    <s v="FY23P9        FS01"/>
    <n v="33.15"/>
    <n v="669.63"/>
    <n v="802.1"/>
    <n v="107.1692"/>
    <n v="-694.93079999999998"/>
    <d v="2023-03-28T00:00:00"/>
    <x v="1"/>
    <x v="1"/>
    <n v="424499"/>
    <n v="71608004"/>
    <s v="JEFF VSB BBN 82.3 6/750 AU"/>
    <n v="26"/>
    <n v="113"/>
    <n v="6"/>
    <n v="678"/>
    <n v="55"/>
    <n v="55"/>
    <n v="120"/>
    <m/>
    <n v="120"/>
    <n v="6600"/>
    <n v="1100"/>
    <n v="678"/>
    <n v="10.27"/>
    <n v="11.67"/>
    <n v="88.05"/>
    <n v="100"/>
    <n v="5"/>
    <m/>
    <m/>
    <m/>
    <m/>
    <m/>
    <n v="101"/>
    <n v="106"/>
    <m/>
    <m/>
    <n v="5"/>
    <m/>
    <m/>
    <m/>
    <m/>
    <m/>
    <m/>
    <m/>
    <m/>
    <n v="101"/>
    <m/>
    <m/>
    <m/>
    <m/>
    <m/>
    <m/>
    <m/>
    <m/>
    <m/>
    <m/>
    <m/>
    <m/>
    <m/>
    <m/>
    <m/>
    <m/>
    <m/>
    <m/>
    <m/>
    <m/>
    <n v="20"/>
    <n v="101"/>
  </r>
  <r>
    <s v="FY23"/>
    <s v="P9"/>
    <s v="March"/>
    <s v="FY23P9C"/>
    <s v="FY23P930000034"/>
    <n v="0"/>
    <n v="0"/>
    <n v="1"/>
    <s v="45013C"/>
    <s v="45013C        FS03"/>
    <s v="FY23P9        FS03C"/>
    <s v="FY23        FS03"/>
    <s v="in        FS03"/>
    <s v="FY23P9        FS03"/>
    <n v="361.14000000000004"/>
    <n v="821.59350000000018"/>
    <n v="2166.84"/>
    <n v="2146.1183999999998"/>
    <n v="-20.721600000000308"/>
    <d v="2023-03-28T00:00:00"/>
    <x v="1"/>
    <x v="0"/>
    <n v="419156"/>
    <n v="30000034"/>
    <s v="SEAG GIN 80P 120/50 PT ND US"/>
    <n v="60"/>
    <n v="954"/>
    <n v="120"/>
    <n v="114480"/>
    <n v="380"/>
    <n v="380"/>
    <n v="720"/>
    <n v="30"/>
    <n v="690"/>
    <n v="262200"/>
    <n v="2185"/>
    <n v="114480"/>
    <n v="10.27"/>
    <n v="49.13"/>
    <n v="88.87"/>
    <n v="100"/>
    <n v="10"/>
    <n v="60"/>
    <m/>
    <m/>
    <n v="20"/>
    <m/>
    <n v="261"/>
    <n v="351"/>
    <m/>
    <m/>
    <n v="120"/>
    <m/>
    <m/>
    <n v="28"/>
    <m/>
    <m/>
    <m/>
    <m/>
    <m/>
    <m/>
    <m/>
    <m/>
    <n v="44"/>
    <n v="8"/>
    <n v="117"/>
    <n v="21"/>
    <m/>
    <m/>
    <n v="14"/>
    <n v="4"/>
    <m/>
    <n v="11"/>
    <m/>
    <m/>
    <n v="26"/>
    <m/>
    <m/>
    <m/>
    <m/>
    <m/>
    <n v="97"/>
    <n v="273"/>
  </r>
  <r>
    <s v="FY23"/>
    <s v="P9"/>
    <s v="March"/>
    <s v="FY23P9C"/>
    <s v="FY23P963009851"/>
    <n v="0"/>
    <n v="0"/>
    <n v="1"/>
    <s v="45013C"/>
    <s v="45013C        FS10"/>
    <s v="FY23P9        FS10C"/>
    <s v="FY23        FS10"/>
    <s v="in        FS10"/>
    <s v="FY23P9        FS10"/>
    <n v="166.07333333333332"/>
    <n v="373.66500000000002"/>
    <n v="2277.5771428571429"/>
    <n v="2652.7993000000001"/>
    <n v="375.22215714285721"/>
    <d v="2023-03-28T00:00:00"/>
    <x v="1"/>
    <x v="3"/>
    <n v="417516"/>
    <n v="63009851"/>
    <s v="KAH 32 12/1L 21 MX"/>
    <n v="64"/>
    <n v="6667"/>
    <n v="12"/>
    <n v="80004"/>
    <n v="250"/>
    <n v="250"/>
    <n v="480"/>
    <n v="30"/>
    <n v="450"/>
    <n v="112500"/>
    <n v="9375"/>
    <n v="80004"/>
    <n v="71.11"/>
    <n v="78.89"/>
    <n v="90.15"/>
    <n v="100"/>
    <n v="10"/>
    <m/>
    <m/>
    <m/>
    <m/>
    <m/>
    <n v="85"/>
    <n v="95"/>
    <m/>
    <m/>
    <n v="40"/>
    <m/>
    <m/>
    <n v="20"/>
    <m/>
    <m/>
    <m/>
    <m/>
    <m/>
    <m/>
    <n v="20"/>
    <m/>
    <m/>
    <m/>
    <m/>
    <m/>
    <n v="12"/>
    <m/>
    <m/>
    <n v="12"/>
    <m/>
    <n v="11"/>
    <n v="10"/>
    <n v="5"/>
    <m/>
    <m/>
    <m/>
    <m/>
    <m/>
    <m/>
    <n v="883"/>
    <n v="90"/>
  </r>
  <r>
    <s v="FY23"/>
    <s v="P9"/>
    <s v="March"/>
    <s v="FY23P9C"/>
    <s v="FY23P963009851"/>
    <n v="0"/>
    <n v="0"/>
    <n v="0"/>
    <s v="45013C"/>
    <s v="45013C        FS10"/>
    <s v="FY23P9        FS10C"/>
    <s v="FY23        FS10"/>
    <s v="in        FS10"/>
    <s v="FY23P9        FS10"/>
    <n v="166.07333333333332"/>
    <n v="91.340333333333334"/>
    <n v="587.18785714285718"/>
    <n v="401.87900000000002"/>
    <n v="-185.30885714285716"/>
    <d v="2023-03-28T00:00:00"/>
    <x v="1"/>
    <x v="3"/>
    <n v="417509"/>
    <n v="63009851"/>
    <s v="KAH 32 12/1L 21 MX"/>
    <n v="16.5"/>
    <n v="1010"/>
    <n v="12"/>
    <n v="12120"/>
    <n v="250"/>
    <n v="250"/>
    <n v="110"/>
    <m/>
    <n v="110"/>
    <n v="27500"/>
    <n v="2292"/>
    <n v="12120"/>
    <n v="44.07"/>
    <n v="43.64"/>
    <n v="101"/>
    <n v="100"/>
    <m/>
    <m/>
    <n v="10"/>
    <m/>
    <n v="30"/>
    <m/>
    <n v="22"/>
    <n v="62"/>
    <m/>
    <m/>
    <n v="40"/>
    <m/>
    <m/>
    <m/>
    <m/>
    <m/>
    <m/>
    <m/>
    <m/>
    <m/>
    <m/>
    <m/>
    <m/>
    <m/>
    <m/>
    <m/>
    <m/>
    <m/>
    <m/>
    <n v="22"/>
    <m/>
    <m/>
    <m/>
    <m/>
    <m/>
    <m/>
    <m/>
    <m/>
    <m/>
    <m/>
    <n v="820"/>
    <n v="22"/>
  </r>
  <r>
    <s v="FY23"/>
    <s v="P9"/>
    <s v="March"/>
    <s v="FY23P9B"/>
    <s v="FY23P971608004"/>
    <n v="1"/>
    <n v="1"/>
    <n v="1"/>
    <s v="45014B"/>
    <s v="45014B        FS01"/>
    <s v="FY23P9        FS01B"/>
    <s v="FY23        FS01"/>
    <s v="in        FS01"/>
    <s v="FY23P9        FS01"/>
    <n v="232.04999999999998"/>
    <n v="331.5"/>
    <n v="1403.675"/>
    <n v="777.68799999999999"/>
    <n v="-625.98699999999997"/>
    <d v="2023-03-29T00:00:00"/>
    <x v="0"/>
    <x v="1"/>
    <n v="415762"/>
    <n v="71608004"/>
    <s v="JEFF VSB BBN 82.3 6/750 AU"/>
    <n v="45.5"/>
    <n v="820"/>
    <n v="6"/>
    <n v="4920"/>
    <n v="55"/>
    <n v="55"/>
    <n v="210"/>
    <m/>
    <n v="210"/>
    <n v="11550"/>
    <n v="1925"/>
    <n v="4920"/>
    <n v="42.6"/>
    <n v="60.95"/>
    <n v="69.89"/>
    <n v="100"/>
    <n v="10"/>
    <n v="15"/>
    <n v="10"/>
    <m/>
    <m/>
    <m/>
    <n v="47"/>
    <n v="82"/>
    <m/>
    <m/>
    <n v="35"/>
    <m/>
    <m/>
    <m/>
    <n v="15"/>
    <m/>
    <m/>
    <m/>
    <m/>
    <m/>
    <m/>
    <n v="16"/>
    <m/>
    <m/>
    <m/>
    <m/>
    <m/>
    <m/>
    <n v="3"/>
    <m/>
    <n v="16"/>
    <m/>
    <m/>
    <m/>
    <m/>
    <m/>
    <m/>
    <m/>
    <m/>
    <m/>
    <n v="235"/>
    <n v="50"/>
  </r>
  <r>
    <s v="FY23"/>
    <s v="P9"/>
    <s v="March"/>
    <s v="FY23P9B"/>
    <s v="FY23P971608001"/>
    <n v="0"/>
    <n v="0"/>
    <n v="0"/>
    <s v="45014B"/>
    <s v="45014B        FS01"/>
    <s v="FY23P9        FS01B"/>
    <s v="FY23        FS01"/>
    <s v="in        FS01"/>
    <s v="FY23P9        FS01"/>
    <n v="542.20000000000005"/>
    <n v="589.64250000000004"/>
    <n v="2643.2249999999999"/>
    <n v="3232.7207999999996"/>
    <n v="589.49579999999969"/>
    <d v="2023-03-29T00:00:00"/>
    <x v="0"/>
    <x v="1"/>
    <n v="413422"/>
    <n v="71608001"/>
    <s v="JEFF VSB BBN 82.3 6/750 US"/>
    <n v="110.5"/>
    <n v="2052"/>
    <n v="6"/>
    <n v="12312"/>
    <n v="55"/>
    <n v="55"/>
    <n v="510"/>
    <n v="30"/>
    <n v="480"/>
    <n v="26400"/>
    <n v="4400"/>
    <n v="12312"/>
    <n v="46.64"/>
    <n v="75.42"/>
    <n v="61.84"/>
    <n v="100"/>
    <m/>
    <n v="30"/>
    <m/>
    <m/>
    <n v="20"/>
    <m/>
    <n v="68"/>
    <n v="118"/>
    <m/>
    <m/>
    <n v="80"/>
    <m/>
    <m/>
    <m/>
    <n v="21"/>
    <m/>
    <m/>
    <n v="16"/>
    <m/>
    <m/>
    <m/>
    <n v="11"/>
    <m/>
    <m/>
    <n v="4"/>
    <m/>
    <m/>
    <m/>
    <m/>
    <n v="4"/>
    <m/>
    <n v="4"/>
    <m/>
    <m/>
    <m/>
    <n v="7"/>
    <m/>
    <m/>
    <m/>
    <n v="20"/>
    <m/>
    <n v="87"/>
  </r>
  <r>
    <s v="FY23"/>
    <s v="P9"/>
    <s v="March"/>
    <s v="FY23P9B"/>
    <s v="FY23P930000034"/>
    <n v="0"/>
    <n v="0"/>
    <n v="1"/>
    <s v="45014B"/>
    <s v="45014B        FS03"/>
    <s v="FY23P9        FS03B"/>
    <s v="FY23        FS03"/>
    <s v="in        FS03"/>
    <s v="FY23P9        FS03"/>
    <n v="225.71250000000003"/>
    <n v="511.61500000000007"/>
    <n v="1083.42"/>
    <n v="818.85439999999983"/>
    <n v="-264.56560000000025"/>
    <d v="2023-03-29T00:00:00"/>
    <x v="0"/>
    <x v="0"/>
    <n v="419157"/>
    <n v="30000034"/>
    <s v="SEAG GIN 80P 120/50 PT ND US"/>
    <n v="30"/>
    <n v="364"/>
    <n v="120"/>
    <n v="43680"/>
    <n v="380"/>
    <n v="380"/>
    <n v="360"/>
    <m/>
    <n v="360"/>
    <n v="136800"/>
    <n v="1140"/>
    <n v="43680"/>
    <n v="31.93"/>
    <n v="39.44"/>
    <n v="80.95"/>
    <n v="100"/>
    <n v="15"/>
    <n v="45"/>
    <n v="15"/>
    <m/>
    <m/>
    <m/>
    <n v="143"/>
    <n v="218"/>
    <m/>
    <m/>
    <n v="75"/>
    <m/>
    <m/>
    <n v="10"/>
    <n v="20"/>
    <m/>
    <m/>
    <m/>
    <m/>
    <m/>
    <m/>
    <n v="12"/>
    <m/>
    <m/>
    <n v="101"/>
    <n v="9"/>
    <m/>
    <m/>
    <n v="8"/>
    <m/>
    <m/>
    <m/>
    <m/>
    <n v="5"/>
    <m/>
    <m/>
    <m/>
    <m/>
    <m/>
    <n v="5"/>
    <n v="100"/>
    <n v="170"/>
  </r>
  <r>
    <s v="FY23"/>
    <s v="P9"/>
    <s v="March"/>
    <s v="FY23P9B"/>
    <s v="FY23P961005002"/>
    <n v="0"/>
    <n v="0"/>
    <n v="1"/>
    <s v="45014B"/>
    <s v="45014B        FS04"/>
    <s v="FY23P9        FS04B"/>
    <s v="FY23        FS04"/>
    <s v="in        FS04"/>
    <s v="FY23P9        FS04"/>
    <n v="315.73250000000007"/>
    <n v="1638.4855000000002"/>
    <n v="2093.8050000000003"/>
    <n v="281.93200000000002"/>
    <n v="-1811.8730000000003"/>
    <d v="2023-03-29T00:00:00"/>
    <x v="0"/>
    <x v="2"/>
    <n v="421250"/>
    <n v="61005002"/>
    <s v="HW BLKBDY 70 24/375 NB FSK US"/>
    <n v="63"/>
    <n v="280"/>
    <n v="24"/>
    <n v="6720"/>
    <n v="230"/>
    <n v="230"/>
    <n v="630"/>
    <n v="30"/>
    <n v="600"/>
    <n v="138000"/>
    <n v="5750"/>
    <n v="6720"/>
    <n v="4.87"/>
    <n v="9"/>
    <n v="54.11"/>
    <n v="100"/>
    <n v="5"/>
    <n v="30"/>
    <m/>
    <m/>
    <n v="30"/>
    <m/>
    <n v="481"/>
    <n v="546"/>
    <m/>
    <m/>
    <n v="95"/>
    <m/>
    <m/>
    <m/>
    <m/>
    <m/>
    <n v="74"/>
    <m/>
    <m/>
    <m/>
    <n v="4"/>
    <m/>
    <m/>
    <n v="3"/>
    <m/>
    <n v="237"/>
    <m/>
    <m/>
    <m/>
    <n v="151"/>
    <m/>
    <n v="19"/>
    <m/>
    <m/>
    <m/>
    <m/>
    <n v="5"/>
    <m/>
    <m/>
    <m/>
    <n v="24"/>
    <n v="493"/>
  </r>
  <r>
    <s v="FY23"/>
    <s v="P9"/>
    <s v="March"/>
    <s v="FY23P9B"/>
    <s v="FY23P963109031"/>
    <n v="0"/>
    <n v="0"/>
    <n v="1"/>
    <s v="45014B"/>
    <s v="45014B        FS10"/>
    <s v="FY23P9        FS10B"/>
    <s v="FY23        FS10"/>
    <s v="in        FS10"/>
    <s v="FY23P9        FS10"/>
    <n v="39.25951401869159"/>
    <n v="424.71656074766355"/>
    <n v="385.00800000000004"/>
    <n v="243.50700000000001"/>
    <n v="-141.50100000000003"/>
    <d v="2023-03-29T00:00:00"/>
    <x v="0"/>
    <x v="3"/>
    <n v="425332"/>
    <n v="63109031"/>
    <s v="KAH ESP 70 12/1L NB AU"/>
    <n v="12.48"/>
    <n v="470"/>
    <n v="12"/>
    <n v="5640"/>
    <n v="250"/>
    <n v="250"/>
    <n v="107"/>
    <m/>
    <n v="107"/>
    <n v="26750"/>
    <n v="2229"/>
    <n v="5640"/>
    <n v="21.08"/>
    <n v="-14.95"/>
    <n v="-141"/>
    <n v="100"/>
    <n v="5"/>
    <m/>
    <m/>
    <m/>
    <n v="6"/>
    <m/>
    <n v="112"/>
    <n v="123"/>
    <m/>
    <m/>
    <n v="11"/>
    <m/>
    <m/>
    <m/>
    <m/>
    <m/>
    <m/>
    <m/>
    <m/>
    <m/>
    <m/>
    <m/>
    <m/>
    <m/>
    <n v="21"/>
    <m/>
    <m/>
    <m/>
    <m/>
    <n v="45"/>
    <n v="46"/>
    <m/>
    <m/>
    <m/>
    <m/>
    <m/>
    <m/>
    <m/>
    <m/>
    <n v="7"/>
    <n v="275"/>
    <n v="119"/>
  </r>
  <r>
    <s v="FY23"/>
    <s v="P9"/>
    <s v="March"/>
    <s v="FY23P9B"/>
    <s v="FY23P964509017"/>
    <n v="0"/>
    <n v="0"/>
    <n v="0"/>
    <s v="45014B"/>
    <s v="45014B        FS10"/>
    <s v="FY23P9        FS10B"/>
    <s v="FY23        FS10"/>
    <s v="in        FS10"/>
    <s v="FY23P9        FS10"/>
    <n v="1614.7384615384615"/>
    <n v="0"/>
    <n v="1511.65"/>
    <n v="0"/>
    <n v="-1511.65"/>
    <d v="2023-03-29T00:00:00"/>
    <x v="0"/>
    <x v="3"/>
    <n v="412452"/>
    <n v="64509017"/>
    <s v="KAH SALTED CARAMEL40 6/1L AUNZ"/>
    <n v="49"/>
    <m/>
    <n v="6"/>
    <m/>
    <n v="180"/>
    <n v="180"/>
    <n v="420"/>
    <n v="30"/>
    <n v="390"/>
    <n v="70200"/>
    <n v="11700"/>
    <n v="0"/>
    <n v="0"/>
    <n v="0"/>
    <n v="0"/>
    <n v="0"/>
    <m/>
    <n v="30"/>
    <m/>
    <n v="360"/>
    <m/>
    <m/>
    <m/>
    <n v="390"/>
    <m/>
    <m/>
    <n v="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Y23"/>
    <s v="P9"/>
    <s v="March"/>
    <s v="FY23P9B"/>
    <s v="FY23P930012034"/>
    <n v="0"/>
    <n v="0"/>
    <n v="1"/>
    <s v="45014B"/>
    <s v="45014B        FS12"/>
    <s v="FY23P9        FS12B"/>
    <s v="FY23        FS12"/>
    <s v="in        FS12"/>
    <s v="FY23P9        FS12"/>
    <n v="270.85500000000002"/>
    <n v="78.247000000000014"/>
    <n v="1263.9900000000002"/>
    <n v="1282.05"/>
    <n v="18.059999999999718"/>
    <d v="2023-03-29T00:00:00"/>
    <x v="0"/>
    <x v="4"/>
    <n v="417611"/>
    <n v="30012034"/>
    <s v="SEAG GIN 80P 6/1.75L ND US"/>
    <n v="35"/>
    <n v="5775"/>
    <n v="6"/>
    <n v="34650"/>
    <n v="130"/>
    <n v="130"/>
    <n v="420"/>
    <n v="30"/>
    <n v="390"/>
    <n v="50700"/>
    <n v="8450"/>
    <n v="34650"/>
    <n v="68.34"/>
    <n v="78.97"/>
    <n v="86.54"/>
    <n v="100"/>
    <n v="10"/>
    <n v="30"/>
    <m/>
    <m/>
    <n v="20"/>
    <m/>
    <n v="22"/>
    <n v="82"/>
    <m/>
    <m/>
    <n v="90"/>
    <m/>
    <m/>
    <m/>
    <m/>
    <m/>
    <m/>
    <m/>
    <m/>
    <m/>
    <m/>
    <m/>
    <m/>
    <m/>
    <m/>
    <n v="4"/>
    <m/>
    <m/>
    <m/>
    <n v="11"/>
    <m/>
    <n v="11"/>
    <m/>
    <m/>
    <m/>
    <m/>
    <m/>
    <m/>
    <m/>
    <m/>
    <n v="767"/>
    <n v="26"/>
  </r>
  <r>
    <s v="FY23"/>
    <s v="P9"/>
    <s v="March"/>
    <s v="FY23P9B"/>
    <s v="FY23P981719001"/>
    <n v="0"/>
    <n v="0"/>
    <n v="1"/>
    <s v="45014B"/>
    <s v="45014B        FS14"/>
    <s v="FY23P9        FS14B"/>
    <s v="FY23        FS14"/>
    <s v="in        FS14"/>
    <s v="FY23P9        FS14"/>
    <n v="209.27739130434782"/>
    <n v="1432.7452173913043"/>
    <n v="1866.4250000000002"/>
    <n v="483.86709999999999"/>
    <n v="-1382.5579000000002"/>
    <d v="2023-03-29T00:00:00"/>
    <x v="0"/>
    <x v="6"/>
    <n v="409124"/>
    <n v="81719001"/>
    <s v="MALI PNBBR14USA 24/355 6X4CNUS"/>
    <n v="60.5"/>
    <n v="1817"/>
    <n v="24"/>
    <n v="43608"/>
    <n v="533"/>
    <n v="533"/>
    <n v="605"/>
    <n v="30"/>
    <n v="575"/>
    <n v="306475"/>
    <n v="12770"/>
    <n v="43608"/>
    <n v="14.23"/>
    <n v="16.52"/>
    <n v="86.12"/>
    <n v="100"/>
    <n v="5"/>
    <n v="30"/>
    <m/>
    <m/>
    <m/>
    <m/>
    <n v="445"/>
    <n v="480"/>
    <m/>
    <m/>
    <n v="65"/>
    <m/>
    <m/>
    <m/>
    <n v="20"/>
    <m/>
    <n v="165"/>
    <m/>
    <m/>
    <n v="90"/>
    <m/>
    <m/>
    <m/>
    <m/>
    <m/>
    <m/>
    <m/>
    <m/>
    <m/>
    <m/>
    <m/>
    <n v="35"/>
    <m/>
    <m/>
    <m/>
    <m/>
    <m/>
    <m/>
    <m/>
    <n v="135"/>
    <m/>
    <n v="445"/>
  </r>
  <r>
    <s v="FY23"/>
    <s v="P9"/>
    <s v="March"/>
    <s v="FY23P9C"/>
    <s v="FY23P971608001"/>
    <n v="0"/>
    <n v="1"/>
    <n v="1"/>
    <s v="45014C"/>
    <s v="45014C        FS01"/>
    <s v="FY23P9        FS01C"/>
    <s v="FY23        FS01"/>
    <s v="in        FS01"/>
    <s v="FY23P9        FS01"/>
    <n v="813.3"/>
    <n v="1186.0625"/>
    <n v="4305.7058823529405"/>
    <n v="5208.2723999999998"/>
    <n v="902.5665176470593"/>
    <d v="2023-03-29T00:00:00"/>
    <x v="1"/>
    <x v="1"/>
    <n v="413422"/>
    <n v="71608001"/>
    <s v="JEFF VSB BBN 82.3 6/750 US"/>
    <n v="180"/>
    <n v="3306"/>
    <n v="6"/>
    <n v="19836"/>
    <n v="55"/>
    <n v="55"/>
    <n v="720"/>
    <n v="30"/>
    <n v="690"/>
    <n v="37950"/>
    <n v="6325"/>
    <n v="19836"/>
    <n v="52.27"/>
    <n v="61.59"/>
    <n v="84.86"/>
    <n v="100"/>
    <n v="10"/>
    <n v="60"/>
    <m/>
    <m/>
    <n v="20"/>
    <m/>
    <n v="175"/>
    <n v="265"/>
    <m/>
    <m/>
    <n v="120"/>
    <m/>
    <m/>
    <m/>
    <m/>
    <m/>
    <m/>
    <m/>
    <m/>
    <m/>
    <m/>
    <n v="15"/>
    <m/>
    <n v="15"/>
    <m/>
    <m/>
    <m/>
    <m/>
    <m/>
    <n v="30"/>
    <m/>
    <n v="115"/>
    <m/>
    <m/>
    <m/>
    <m/>
    <m/>
    <m/>
    <m/>
    <m/>
    <n v="233"/>
    <n v="175"/>
  </r>
  <r>
    <s v="FY23"/>
    <s v="P9"/>
    <s v="March"/>
    <s v="FY23P9C"/>
    <s v="FY23P920000054"/>
    <n v="0"/>
    <n v="0"/>
    <n v="1"/>
    <s v="45014C"/>
    <s v="45014C        FS03"/>
    <s v="FY23P9        FS03C"/>
    <s v="FY23        FS03"/>
    <s v="in        FS03"/>
    <s v="FY23P9        FS03"/>
    <n v="391.23500000000007"/>
    <n v="1522.8070000000002"/>
    <n v="2166.84"/>
    <n v="503.05919999999992"/>
    <n v="-1663.7808000000002"/>
    <d v="2023-03-29T00:00:00"/>
    <x v="1"/>
    <x v="0"/>
    <n v="417650"/>
    <n v="20000054"/>
    <s v="MALI 42 120/50 PT SW 21 US"/>
    <n v="60"/>
    <n v="224"/>
    <n v="120"/>
    <n v="26880"/>
    <n v="380"/>
    <n v="380"/>
    <n v="720"/>
    <n v="30"/>
    <n v="690"/>
    <n v="262200"/>
    <n v="2185"/>
    <n v="26880"/>
    <n v="10.25"/>
    <n v="14.64"/>
    <n v="70.040000000000006"/>
    <n v="100"/>
    <n v="10"/>
    <n v="60"/>
    <m/>
    <m/>
    <n v="30"/>
    <m/>
    <n v="489"/>
    <n v="589"/>
    <m/>
    <m/>
    <n v="130"/>
    <m/>
    <m/>
    <n v="32"/>
    <m/>
    <m/>
    <m/>
    <n v="25"/>
    <m/>
    <m/>
    <m/>
    <m/>
    <n v="131"/>
    <n v="4"/>
    <n v="105"/>
    <n v="9"/>
    <m/>
    <m/>
    <n v="4"/>
    <n v="55"/>
    <m/>
    <n v="14"/>
    <m/>
    <m/>
    <n v="127"/>
    <m/>
    <m/>
    <m/>
    <m/>
    <m/>
    <m/>
    <n v="506"/>
  </r>
  <r>
    <s v="FY23"/>
    <s v="P9"/>
    <s v="March"/>
    <s v="FY23P9C"/>
    <s v="FY23P964508017"/>
    <n v="0"/>
    <n v="0"/>
    <n v="1"/>
    <s v="45014C"/>
    <s v="45014C        FS10"/>
    <s v="FY23P9        FS10C"/>
    <s v="FY23        FS10"/>
    <s v="in        FS10"/>
    <s v="FY23P9        FS10"/>
    <n v="871.88499999999999"/>
    <n v="373.66500000000002"/>
    <n v="1120.9950000000001"/>
    <n v="0"/>
    <n v="-1120.9950000000001"/>
    <d v="2023-03-29T00:00:00"/>
    <x v="1"/>
    <x v="3"/>
    <n v="413274"/>
    <n v="64508017"/>
    <s v="KAH SALTED CARAMEL40 12/750 US"/>
    <n v="31.5"/>
    <m/>
    <n v="12"/>
    <m/>
    <n v="290"/>
    <n v="290"/>
    <n v="210"/>
    <m/>
    <n v="210"/>
    <n v="60900"/>
    <n v="5075"/>
    <n v="0"/>
    <n v="0"/>
    <n v="-42.86"/>
    <n v="0"/>
    <n v="0"/>
    <m/>
    <m/>
    <m/>
    <n v="210"/>
    <m/>
    <m/>
    <n v="90"/>
    <n v="300"/>
    <m/>
    <m/>
    <n v="210"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n v="90"/>
  </r>
  <r>
    <s v="FY23"/>
    <s v="P9"/>
    <s v="March"/>
    <s v="FY23P9C"/>
    <s v="FY23P963109031"/>
    <n v="0"/>
    <n v="0"/>
    <n v="0"/>
    <s v="45014C"/>
    <s v="45014C        FS10"/>
    <s v="FY23P9        FS10C"/>
    <s v="FY23        FS10"/>
    <s v="in        FS10"/>
    <s v="FY23P9        FS10"/>
    <n v="321.3"/>
    <n v="107.10000000000001"/>
    <n v="539.875"/>
    <n v="0"/>
    <n v="-539.875"/>
    <d v="2023-03-29T00:00:00"/>
    <x v="1"/>
    <x v="3"/>
    <n v="425332"/>
    <n v="63109031"/>
    <s v="KAH ESP 70 12/1L NB AU"/>
    <n v="17.5"/>
    <m/>
    <n v="12"/>
    <m/>
    <n v="250"/>
    <n v="250"/>
    <n v="150"/>
    <m/>
    <n v="150"/>
    <n v="37500"/>
    <n v="3125"/>
    <n v="0"/>
    <n v="0"/>
    <n v="0"/>
    <n v="0"/>
    <n v="0"/>
    <m/>
    <m/>
    <m/>
    <n v="60"/>
    <n v="30"/>
    <m/>
    <n v="60"/>
    <n v="150"/>
    <m/>
    <m/>
    <n v="90"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1"/>
    <n v="30"/>
  </r>
  <r>
    <s v="FY23"/>
    <s v="P9"/>
    <s v="March"/>
    <s v="FY23P9C"/>
    <s v="FY23P964509017"/>
    <n v="0"/>
    <n v="0"/>
    <n v="0"/>
    <s v="45014C"/>
    <s v="45014C        FS10"/>
    <s v="FY23P9        FS10C"/>
    <s v="FY23        FS10"/>
    <s v="in        FS10"/>
    <s v="FY23P9        FS10"/>
    <n v="114.75"/>
    <n v="582.92999999999995"/>
    <n v="1203.1500000000001"/>
    <n v="920.14560000000006"/>
    <n v="-283.00440000000003"/>
    <d v="2023-03-29T00:00:00"/>
    <x v="1"/>
    <x v="3"/>
    <n v="412452"/>
    <n v="64509017"/>
    <s v="KAH SALTED CARAMEL40 6/1L AUNZ"/>
    <n v="39"/>
    <n v="1776"/>
    <n v="6"/>
    <n v="10656"/>
    <n v="180"/>
    <n v="180"/>
    <n v="260"/>
    <m/>
    <n v="260"/>
    <n v="46800"/>
    <n v="7800"/>
    <n v="10656"/>
    <n v="22.77"/>
    <n v="41.54"/>
    <n v="54.81"/>
    <n v="100"/>
    <n v="10"/>
    <n v="15"/>
    <m/>
    <m/>
    <m/>
    <m/>
    <n v="127"/>
    <n v="152"/>
    <m/>
    <m/>
    <n v="25"/>
    <m/>
    <m/>
    <n v="15"/>
    <m/>
    <m/>
    <m/>
    <m/>
    <m/>
    <m/>
    <m/>
    <m/>
    <m/>
    <n v="15"/>
    <n v="15"/>
    <m/>
    <n v="25"/>
    <m/>
    <m/>
    <m/>
    <m/>
    <n v="30"/>
    <n v="27"/>
    <m/>
    <m/>
    <m/>
    <m/>
    <m/>
    <m/>
    <m/>
    <n v="334"/>
    <n v="127"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FY23"/>
    <s v="P9"/>
    <s v="March"/>
    <s v="FY23P9B"/>
    <s v="FY23P930000034"/>
    <n v="1"/>
    <n v="1"/>
    <n v="1"/>
    <s v="45011B"/>
    <s v="45011B        FS03"/>
    <s v="FY23P9        FS03B"/>
    <s v="FY23        FS03"/>
    <s v="in        FS03"/>
    <s v="FY23P9        FS03"/>
    <n v="255.80750000000003"/>
    <n v="1068.3725000000002"/>
    <n v="2166.84"/>
    <n v="2186.6111999999998"/>
    <n v="19.771199999999681"/>
    <x v="0"/>
    <s v="B"/>
    <x v="0"/>
    <n v="419160"/>
    <n v="30000034"/>
    <s v="SEAG GIN 80P 120/50 PT ND US"/>
    <n v="60"/>
    <n v="972"/>
    <n v="120"/>
    <n v="116640"/>
    <n v="380"/>
    <n v="380"/>
    <n v="720"/>
    <n v="30"/>
    <n v="690"/>
    <n v="262200"/>
    <n v="2185"/>
    <n v="116640"/>
    <n v="44.49"/>
    <n v="41.45"/>
    <n v="107.32"/>
    <n v="100"/>
    <n v="15"/>
    <n v="15"/>
    <m/>
    <m/>
    <n v="25"/>
    <m/>
    <n v="349"/>
    <n v="404"/>
    <m/>
    <m/>
    <n v="85"/>
    <n v="50"/>
    <m/>
    <m/>
    <m/>
    <m/>
    <m/>
    <m/>
    <m/>
    <m/>
    <m/>
    <n v="35"/>
    <m/>
    <n v="6"/>
    <n v="61"/>
    <n v="100"/>
    <m/>
    <m/>
    <m/>
    <m/>
    <m/>
    <m/>
    <m/>
    <n v="68"/>
    <n v="15"/>
    <m/>
    <m/>
    <m/>
    <m/>
    <n v="20"/>
    <n v="100"/>
    <n v="355"/>
  </r>
  <r>
    <s v="FY23"/>
    <s v="P9"/>
    <s v="March"/>
    <s v="FY23P9B"/>
    <s v="FY23P930008167"/>
    <n v="1"/>
    <n v="1"/>
    <n v="1"/>
    <s v="45012B"/>
    <s v="45012B        FS01"/>
    <s v="FY23P9        FS01B"/>
    <s v="FY23        FS01"/>
    <s v="in        FS01"/>
    <s v="FY23P9        FS01"/>
    <n v="553.21000000000015"/>
    <n v="592.72500000000014"/>
    <n v="3200.7150000000006"/>
    <n v="2272.5"/>
    <n v="-928.2150000000006"/>
    <x v="1"/>
    <s v="B"/>
    <x v="1"/>
    <n v="417488"/>
    <n v="30008167"/>
    <s v="SEAG GIN 80P 12/750 PTTF ND NC"/>
    <n v="108"/>
    <n v="1875"/>
    <n v="12"/>
    <n v="22500"/>
    <n v="70"/>
    <n v="70"/>
    <n v="720"/>
    <n v="30"/>
    <n v="690"/>
    <n v="48300"/>
    <n v="4025"/>
    <n v="22500"/>
    <n v="46.58"/>
    <n v="63.04"/>
    <n v="73.89"/>
    <n v="100"/>
    <n v="10"/>
    <n v="60"/>
    <n v="20"/>
    <m/>
    <n v="20"/>
    <m/>
    <n v="145"/>
    <n v="255"/>
    <m/>
    <m/>
    <n v="140"/>
    <m/>
    <m/>
    <m/>
    <n v="25"/>
    <m/>
    <n v="10"/>
    <m/>
    <m/>
    <m/>
    <m/>
    <m/>
    <m/>
    <n v="5"/>
    <n v="44"/>
    <n v="42"/>
    <m/>
    <m/>
    <m/>
    <n v="14"/>
    <m/>
    <m/>
    <m/>
    <m/>
    <m/>
    <m/>
    <m/>
    <m/>
    <m/>
    <n v="10"/>
    <n v="120"/>
    <n v="150"/>
  </r>
  <r>
    <s v="FY23"/>
    <s v="P9"/>
    <s v="March"/>
    <s v="FY23P9B"/>
    <s v="FY23P930000034"/>
    <n v="0"/>
    <n v="0"/>
    <n v="1"/>
    <s v="45012B"/>
    <s v="45012B        FS03"/>
    <s v="FY23P9        FS03B"/>
    <s v="FY23        FS03"/>
    <s v="in        FS03"/>
    <s v="FY23P9        FS03"/>
    <n v="285.90250000000003"/>
    <n v="1026.2395000000001"/>
    <n v="2166.84"/>
    <n v="2004.3935999999997"/>
    <n v="-162.44640000000049"/>
    <x v="1"/>
    <s v="B"/>
    <x v="0"/>
    <n v="419153"/>
    <n v="30000034"/>
    <s v="SEAG GIN 80P 120/50 PT ND US"/>
    <n v="60"/>
    <n v="891"/>
    <n v="120"/>
    <n v="106920"/>
    <n v="380"/>
    <n v="380"/>
    <n v="720"/>
    <n v="30"/>
    <n v="690"/>
    <n v="262200"/>
    <n v="2185"/>
    <n v="106920"/>
    <n v="40.78"/>
    <n v="-8.26"/>
    <n v="-493.63"/>
    <n v="100"/>
    <n v="15"/>
    <n v="30"/>
    <m/>
    <m/>
    <n v="20"/>
    <m/>
    <n v="682"/>
    <n v="747"/>
    <m/>
    <m/>
    <n v="95"/>
    <n v="35"/>
    <m/>
    <n v="12"/>
    <m/>
    <m/>
    <n v="10"/>
    <m/>
    <m/>
    <m/>
    <m/>
    <n v="50"/>
    <m/>
    <n v="25"/>
    <n v="56"/>
    <n v="19"/>
    <m/>
    <m/>
    <m/>
    <m/>
    <m/>
    <m/>
    <m/>
    <n v="50"/>
    <n v="46"/>
    <m/>
    <n v="28"/>
    <m/>
    <m/>
    <n v="10"/>
    <n v="90"/>
    <n v="341"/>
  </r>
  <r>
    <s v="FY23"/>
    <s v="P9"/>
    <s v="March"/>
    <s v="FY23P9B"/>
    <s v="FY23P996705002"/>
    <n v="0"/>
    <n v="0"/>
    <n v="1"/>
    <s v="45012B"/>
    <s v="45012B        FS04"/>
    <s v="FY23P9        FS04B"/>
    <s v="FY23        FS04"/>
    <s v="in        FS04"/>
    <s v="FY23P9        FS04"/>
    <n v="66.470000000000013"/>
    <n v="229.32150000000004"/>
    <n v="504.83965000000006"/>
    <n v="488.38650000000001"/>
    <n v="-16.453150000000051"/>
    <x v="1"/>
    <s v="B"/>
    <x v="2"/>
    <n v="417505"/>
    <n v="96705002"/>
    <s v="SV EXS80 12/375 CP"/>
    <n v="15.19"/>
    <n v="965"/>
    <n v="12"/>
    <n v="11580"/>
    <n v="185"/>
    <n v="185"/>
    <n v="152"/>
    <m/>
    <n v="152"/>
    <n v="28120"/>
    <n v="2343"/>
    <n v="11580"/>
    <n v="41.18"/>
    <n v="50.66"/>
    <n v="81.290000000000006"/>
    <n v="100"/>
    <n v="5"/>
    <n v="15"/>
    <m/>
    <m/>
    <m/>
    <m/>
    <n v="55"/>
    <n v="75"/>
    <m/>
    <m/>
    <n v="20"/>
    <m/>
    <m/>
    <n v="6"/>
    <n v="12"/>
    <m/>
    <m/>
    <m/>
    <m/>
    <m/>
    <n v="18"/>
    <m/>
    <m/>
    <m/>
    <m/>
    <n v="3"/>
    <m/>
    <m/>
    <m/>
    <m/>
    <m/>
    <n v="25"/>
    <m/>
    <m/>
    <m/>
    <m/>
    <n v="5"/>
    <m/>
    <m/>
    <m/>
    <n v="418"/>
    <n v="69"/>
  </r>
  <r>
    <s v="FY23"/>
    <s v="P9"/>
    <s v="March"/>
    <s v="FY23P9B"/>
    <s v="FY23P996705001"/>
    <n v="0"/>
    <n v="0"/>
    <n v="0"/>
    <s v="45012B"/>
    <s v="45012B        FS04"/>
    <s v="FY23P9        FS04B"/>
    <s v="FY23        FS04"/>
    <s v="in        FS04"/>
    <s v="FY23P9        FS04"/>
    <n v="309.08550000000002"/>
    <n v="677.99400000000014"/>
    <n v="1372.2731500000002"/>
    <n v="1142.19"/>
    <n v="-230.08315000000016"/>
    <x v="1"/>
    <s v="B"/>
    <x v="2"/>
    <n v="417630"/>
    <n v="96705001"/>
    <s v="SV APL70 12/375 CP"/>
    <n v="41.29"/>
    <n v="2100"/>
    <n v="12"/>
    <n v="25200"/>
    <n v="185"/>
    <n v="185"/>
    <n v="413"/>
    <n v="30"/>
    <n v="383"/>
    <n v="70855"/>
    <n v="5905"/>
    <n v="25200"/>
    <n v="35.57"/>
    <n v="34.99"/>
    <n v="101.65"/>
    <n v="100"/>
    <m/>
    <n v="30"/>
    <m/>
    <n v="18"/>
    <n v="15"/>
    <m/>
    <n v="186"/>
    <n v="249"/>
    <m/>
    <m/>
    <n v="93"/>
    <m/>
    <m/>
    <m/>
    <m/>
    <m/>
    <n v="16"/>
    <m/>
    <m/>
    <m/>
    <n v="42"/>
    <n v="54"/>
    <m/>
    <n v="6"/>
    <m/>
    <n v="8"/>
    <n v="20"/>
    <m/>
    <m/>
    <n v="4"/>
    <m/>
    <n v="41"/>
    <m/>
    <m/>
    <m/>
    <m/>
    <n v="13"/>
    <m/>
    <m/>
    <m/>
    <n v="548"/>
    <n v="204"/>
  </r>
  <r>
    <s v="FY23"/>
    <s v="P9"/>
    <s v="March"/>
    <s v="FY23P9B"/>
    <s v="FY23P963009850"/>
    <n v="0"/>
    <n v="0"/>
    <n v="1"/>
    <s v="45012B"/>
    <s v="45012B        FS10"/>
    <s v="FY23P9        FS10B"/>
    <s v="FY23        FS10"/>
    <s v="in        FS10"/>
    <s v="FY23P9        FS10"/>
    <n v="394.42416666666668"/>
    <n v="726.57083333333333"/>
    <n v="2419.9257142857145"/>
    <n v="1042.6644000000001"/>
    <n v="-1377.2613142857144"/>
    <x v="1"/>
    <s v="B"/>
    <x v="3"/>
    <n v="421248"/>
    <n v="63009850"/>
    <s v="KAH 32 12/1L 20 EX"/>
    <n v="68"/>
    <n v="2524"/>
    <n v="12"/>
    <n v="30288"/>
    <n v="250"/>
    <n v="250"/>
    <n v="510"/>
    <n v="30"/>
    <n v="480"/>
    <n v="120000"/>
    <n v="10000"/>
    <n v="30288"/>
    <n v="25.24"/>
    <n v="51.04"/>
    <n v="49.45"/>
    <n v="100"/>
    <n v="10"/>
    <n v="45"/>
    <m/>
    <m/>
    <n v="10"/>
    <m/>
    <n v="170"/>
    <n v="235"/>
    <m/>
    <m/>
    <n v="95"/>
    <m/>
    <m/>
    <m/>
    <m/>
    <m/>
    <m/>
    <m/>
    <m/>
    <m/>
    <m/>
    <m/>
    <m/>
    <n v="5"/>
    <m/>
    <m/>
    <m/>
    <m/>
    <m/>
    <n v="130"/>
    <n v="40"/>
    <m/>
    <m/>
    <m/>
    <m/>
    <m/>
    <m/>
    <m/>
    <m/>
    <m/>
    <n v="1"/>
    <n v="175"/>
  </r>
  <r>
    <s v="FY23"/>
    <s v="P9"/>
    <s v="March"/>
    <s v="FY23P9B"/>
    <s v="FY23P930012034"/>
    <n v="0"/>
    <n v="0"/>
    <n v="1"/>
    <s v="45012B"/>
    <s v="45012B        FS12"/>
    <s v="FY23P9        FS12B"/>
    <s v="FY23        FS12"/>
    <s v="in        FS12"/>
    <s v="FY23P9        FS12"/>
    <n v="285.90250000000003"/>
    <n v="1351.2655000000002"/>
    <n v="866.7360000000001"/>
    <n v="380.952"/>
    <n v="-485.78400000000011"/>
    <x v="1"/>
    <s v="B"/>
    <x v="4"/>
    <n v="417588"/>
    <n v="30012034"/>
    <s v="SEAG GIN 80P 6/1.75L ND US"/>
    <n v="24"/>
    <n v="1716"/>
    <n v="6"/>
    <n v="10296"/>
    <n v="130"/>
    <n v="130"/>
    <n v="360"/>
    <n v="30"/>
    <n v="330"/>
    <n v="42900"/>
    <n v="7150"/>
    <n v="10296"/>
    <n v="24"/>
    <n v="-51.52"/>
    <n v="-46.59"/>
    <n v="100"/>
    <n v="5"/>
    <n v="45"/>
    <m/>
    <m/>
    <n v="15"/>
    <m/>
    <n v="435"/>
    <n v="500"/>
    <m/>
    <m/>
    <n v="95"/>
    <m/>
    <n v="15"/>
    <m/>
    <n v="310"/>
    <m/>
    <m/>
    <m/>
    <m/>
    <m/>
    <m/>
    <m/>
    <m/>
    <n v="5"/>
    <m/>
    <m/>
    <m/>
    <m/>
    <m/>
    <n v="9"/>
    <m/>
    <n v="110"/>
    <m/>
    <m/>
    <m/>
    <m/>
    <m/>
    <m/>
    <m/>
    <m/>
    <n v="120"/>
    <n v="449"/>
  </r>
  <r>
    <s v="FY23"/>
    <s v="P9"/>
    <s v="March"/>
    <s v="FY23P9C"/>
    <s v="FY23P930008167"/>
    <n v="0"/>
    <n v="1"/>
    <n v="1"/>
    <s v="45012C"/>
    <s v="45012C        FS01"/>
    <s v="FY23P9        FS01C"/>
    <s v="FY23        FS01"/>
    <s v="in        FS01"/>
    <s v="FY23P9        FS01"/>
    <n v="79.030000000000015"/>
    <n v="533.4525000000001"/>
    <n v="1066.9050000000002"/>
    <n v="559.94399999999996"/>
    <n v="-506.96100000000024"/>
    <x v="1"/>
    <s v="C"/>
    <x v="1"/>
    <n v="417488"/>
    <n v="30008167"/>
    <s v="SEAG GIN 80P 12/750 PTTF ND NC"/>
    <n v="36"/>
    <n v="462"/>
    <n v="12"/>
    <n v="5544"/>
    <n v="70"/>
    <n v="70"/>
    <n v="240"/>
    <m/>
    <n v="240"/>
    <n v="16800"/>
    <n v="1400"/>
    <n v="5544"/>
    <n v="33"/>
    <n v="39.58"/>
    <n v="83.37"/>
    <n v="100"/>
    <n v="5"/>
    <n v="15"/>
    <m/>
    <m/>
    <m/>
    <m/>
    <n v="125"/>
    <n v="145"/>
    <m/>
    <m/>
    <n v="20"/>
    <m/>
    <m/>
    <n v="45"/>
    <m/>
    <m/>
    <m/>
    <m/>
    <m/>
    <m/>
    <m/>
    <n v="6"/>
    <m/>
    <m/>
    <m/>
    <m/>
    <n v="10"/>
    <m/>
    <m/>
    <n v="4"/>
    <n v="70"/>
    <m/>
    <m/>
    <m/>
    <m/>
    <m/>
    <m/>
    <m/>
    <m/>
    <m/>
    <n v="225"/>
    <n v="135"/>
  </r>
  <r>
    <s v="FY23"/>
    <s v="P9"/>
    <s v="March"/>
    <s v="FY23P9C"/>
    <s v="FY23P971608004"/>
    <n v="0"/>
    <n v="0"/>
    <n v="0"/>
    <s v="45012C"/>
    <s v="45012C        FS01"/>
    <s v="FY23P9        FS01C"/>
    <s v="FY23        FS01"/>
    <s v="in        FS01"/>
    <s v="FY23P9        FS01"/>
    <n v="367.2"/>
    <n v="0"/>
    <n v="2221.2000000000003"/>
    <n v="0"/>
    <n v="-2221.2000000000003"/>
    <x v="1"/>
    <s v="C"/>
    <x v="1"/>
    <n v="424499"/>
    <n v="71608004"/>
    <s v="JEFF VSB BBN 82.3 6/750 AU"/>
    <n v="72"/>
    <m/>
    <n v="6"/>
    <m/>
    <n v="55"/>
    <n v="55"/>
    <n v="480"/>
    <n v="30"/>
    <n v="450"/>
    <n v="24750"/>
    <n v="4125"/>
    <n v="0"/>
    <n v="0"/>
    <n v="90"/>
    <n v="0"/>
    <n v="0"/>
    <m/>
    <n v="45"/>
    <m/>
    <m/>
    <m/>
    <m/>
    <m/>
    <n v="45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s v="FY23"/>
    <s v="P9"/>
    <s v="March"/>
    <s v="FY23P9C"/>
    <s v="FY23P930000034"/>
    <n v="0"/>
    <n v="0"/>
    <n v="1"/>
    <s v="45012C"/>
    <s v="45012C        FS03"/>
    <s v="FY23P9        FS03C"/>
    <s v="FY23        FS03"/>
    <s v="in        FS03"/>
    <s v="FY23P9        FS03"/>
    <n v="361.14000000000004"/>
    <n v="947.99250000000018"/>
    <n v="2166.84"/>
    <n v="1923.4079999999997"/>
    <n v="-243.43200000000047"/>
    <x v="1"/>
    <s v="C"/>
    <x v="0"/>
    <n v="419154"/>
    <n v="30000034"/>
    <s v="SEAG GIN 80P 120/50 PT ND US"/>
    <n v="60"/>
    <n v="855"/>
    <n v="120"/>
    <n v="102600"/>
    <n v="380"/>
    <n v="380"/>
    <n v="720"/>
    <n v="30"/>
    <n v="690"/>
    <n v="262200"/>
    <n v="2185"/>
    <n v="102600"/>
    <n v="39.130000000000003"/>
    <n v="44.78"/>
    <n v="87.38"/>
    <n v="100"/>
    <n v="10"/>
    <n v="60"/>
    <m/>
    <m/>
    <n v="20"/>
    <m/>
    <n v="291"/>
    <n v="381"/>
    <m/>
    <m/>
    <n v="120"/>
    <n v="12"/>
    <m/>
    <n v="22"/>
    <m/>
    <m/>
    <m/>
    <m/>
    <m/>
    <m/>
    <n v="7"/>
    <m/>
    <n v="16"/>
    <n v="9"/>
    <n v="92"/>
    <n v="29"/>
    <m/>
    <m/>
    <n v="34"/>
    <n v="17"/>
    <m/>
    <n v="46"/>
    <m/>
    <m/>
    <n v="23"/>
    <m/>
    <m/>
    <m/>
    <m/>
    <n v="8"/>
    <n v="81"/>
    <n v="315"/>
  </r>
  <r>
    <s v="FY23"/>
    <s v="P9"/>
    <s v="March"/>
    <s v="FY23P9C"/>
    <s v="FY23P930001034"/>
    <n v="0"/>
    <n v="0"/>
    <n v="1"/>
    <s v="45012C"/>
    <s v="45012C        FS05"/>
    <s v="FY23P9        FS05C"/>
    <s v="FY23        FS05"/>
    <s v="in        FS05"/>
    <s v="FY23P9        FS05"/>
    <n v="49.852500000000006"/>
    <n v="372.23200000000008"/>
    <n v="681.31750000000011"/>
    <n v="489.24359999999996"/>
    <n v="-192.07390000000015"/>
    <x v="1"/>
    <s v="C"/>
    <x v="5"/>
    <n v="417589"/>
    <n v="30001034"/>
    <s v="SEAG GIN 80P 48/100 FSK ND US"/>
    <n v="20.5"/>
    <n v="333"/>
    <n v="48"/>
    <n v="15984"/>
    <n v="250"/>
    <n v="250"/>
    <n v="205"/>
    <m/>
    <n v="205"/>
    <n v="51250"/>
    <n v="1068"/>
    <n v="15984"/>
    <n v="31.19"/>
    <n v="41.46"/>
    <n v="75.22"/>
    <n v="100"/>
    <m/>
    <n v="15"/>
    <m/>
    <m/>
    <m/>
    <m/>
    <n v="105"/>
    <n v="120"/>
    <m/>
    <m/>
    <n v="15"/>
    <m/>
    <m/>
    <m/>
    <m/>
    <m/>
    <m/>
    <m/>
    <m/>
    <m/>
    <n v="30"/>
    <n v="55"/>
    <m/>
    <m/>
    <m/>
    <m/>
    <m/>
    <m/>
    <n v="4"/>
    <n v="3"/>
    <m/>
    <n v="20"/>
    <m/>
    <m/>
    <m/>
    <m/>
    <m/>
    <m/>
    <m/>
    <m/>
    <n v="57"/>
    <n v="112"/>
  </r>
  <r>
    <s v="FY23"/>
    <s v="P9"/>
    <s v="March"/>
    <s v="FY23P9C"/>
    <s v="FY23P930001034"/>
    <n v="0"/>
    <n v="0"/>
    <n v="0"/>
    <s v="45012C"/>
    <s v="45012C        FS05"/>
    <s v="FY23P9        FS05C"/>
    <s v="FY23        FS05"/>
    <s v="in        FS05"/>
    <s v="FY23P9        FS05"/>
    <n v="166.17500000000004"/>
    <n v="545.05400000000009"/>
    <n v="1434.7549500000002"/>
    <n v="952.0415999999999"/>
    <n v="-482.71335000000033"/>
    <x v="1"/>
    <s v="C"/>
    <x v="5"/>
    <n v="417594"/>
    <n v="30001034"/>
    <s v="SEAG GIN 80P 48/100 FSK ND US"/>
    <n v="43.17"/>
    <n v="648"/>
    <n v="48"/>
    <n v="31104"/>
    <n v="250"/>
    <n v="250"/>
    <n v="370"/>
    <m/>
    <n v="370"/>
    <n v="92500"/>
    <n v="1927"/>
    <n v="31104"/>
    <n v="33.630000000000003"/>
    <n v="43.24"/>
    <n v="77.760000000000005"/>
    <n v="100"/>
    <m/>
    <n v="30"/>
    <m/>
    <m/>
    <n v="20"/>
    <m/>
    <n v="160"/>
    <n v="210"/>
    <m/>
    <m/>
    <n v="50"/>
    <m/>
    <m/>
    <n v="13"/>
    <m/>
    <m/>
    <m/>
    <m/>
    <m/>
    <m/>
    <n v="11"/>
    <n v="80"/>
    <m/>
    <m/>
    <m/>
    <n v="38"/>
    <m/>
    <m/>
    <n v="4"/>
    <n v="18"/>
    <m/>
    <m/>
    <m/>
    <m/>
    <m/>
    <m/>
    <m/>
    <m/>
    <m/>
    <m/>
    <n v="168"/>
    <n v="164"/>
  </r>
  <r>
    <s v="FY23"/>
    <s v="P9"/>
    <s v="March"/>
    <s v="FY23P9C"/>
    <s v="FY23P963009850"/>
    <n v="0"/>
    <n v="0"/>
    <n v="1"/>
    <s v="45012C"/>
    <s v="45012C        FS10"/>
    <s v="FY23P9        FS10C"/>
    <s v="FY23        FS10"/>
    <s v="in        FS10"/>
    <s v="FY23P9        FS10"/>
    <n v="41.518333333333331"/>
    <n v="323.84300000000002"/>
    <n v="1120.9950000000001"/>
    <n v="1051.3395"/>
    <n v="-69.655500000000075"/>
    <x v="1"/>
    <s v="C"/>
    <x v="3"/>
    <n v="421248"/>
    <n v="63009850"/>
    <s v="KAH 32 12/1L 20 EX"/>
    <n v="31.5"/>
    <n v="2545"/>
    <n v="12"/>
    <n v="30540"/>
    <n v="250"/>
    <n v="250"/>
    <n v="210"/>
    <m/>
    <n v="210"/>
    <n v="52500"/>
    <n v="4375"/>
    <n v="30540"/>
    <n v="58.17"/>
    <n v="58.1"/>
    <n v="100.13"/>
    <n v="100"/>
    <n v="10"/>
    <m/>
    <m/>
    <m/>
    <m/>
    <m/>
    <n v="78"/>
    <n v="88"/>
    <m/>
    <m/>
    <n v="10"/>
    <n v="10"/>
    <m/>
    <n v="15"/>
    <m/>
    <m/>
    <m/>
    <m/>
    <m/>
    <m/>
    <m/>
    <n v="23"/>
    <m/>
    <m/>
    <m/>
    <m/>
    <m/>
    <m/>
    <m/>
    <n v="30"/>
    <m/>
    <m/>
    <m/>
    <m/>
    <m/>
    <m/>
    <m/>
    <m/>
    <m/>
    <m/>
    <n v="783"/>
    <n v="78"/>
  </r>
  <r>
    <s v="FY23"/>
    <s v="P9"/>
    <s v="March"/>
    <s v="FY23P9C"/>
    <s v="FY23P963009850"/>
    <n v="0"/>
    <n v="0"/>
    <n v="0"/>
    <s v="45012C"/>
    <s v="45012C        FS10"/>
    <s v="FY23P9        FS10C"/>
    <s v="FY23        FS10"/>
    <s v="in        FS10"/>
    <s v="FY23P9        FS10"/>
    <n v="166.07333333333332"/>
    <n v="423.48699999999997"/>
    <n v="1574.7310714285716"/>
    <n v="1578.0420000000001"/>
    <n v="3.3109285714285761"/>
    <x v="1"/>
    <s v="C"/>
    <x v="3"/>
    <n v="425872"/>
    <n v="63009850"/>
    <s v="KAH 32 12/1L 20 EX"/>
    <n v="44.25"/>
    <n v="3820"/>
    <n v="12"/>
    <n v="45840"/>
    <n v="250"/>
    <n v="250"/>
    <n v="295"/>
    <n v="30"/>
    <n v="265"/>
    <n v="66250"/>
    <n v="5521"/>
    <n v="45840"/>
    <n v="69.19"/>
    <n v="60.75"/>
    <n v="113.89"/>
    <n v="100"/>
    <m/>
    <m/>
    <n v="10"/>
    <m/>
    <m/>
    <m/>
    <n v="94"/>
    <n v="104"/>
    <m/>
    <m/>
    <n v="40"/>
    <m/>
    <m/>
    <m/>
    <m/>
    <m/>
    <m/>
    <m/>
    <m/>
    <m/>
    <n v="23"/>
    <m/>
    <m/>
    <n v="8"/>
    <m/>
    <m/>
    <n v="10"/>
    <m/>
    <m/>
    <n v="35"/>
    <m/>
    <m/>
    <n v="26"/>
    <m/>
    <m/>
    <m/>
    <m/>
    <m/>
    <m/>
    <m/>
    <n v="234"/>
    <n v="102"/>
  </r>
  <r>
    <s v="FY23"/>
    <s v="P9"/>
    <s v="March"/>
    <s v="FY23P9C"/>
    <s v="FY23P930012034"/>
    <n v="0"/>
    <n v="0"/>
    <n v="1"/>
    <s v="45012C"/>
    <s v="45012C        FS12"/>
    <s v="FY23P9        FS12C"/>
    <s v="FY23        FS12"/>
    <s v="in        FS12"/>
    <s v="FY23P9        FS12"/>
    <n v="90.285000000000011"/>
    <n v="279.88350000000003"/>
    <n v="650.05200000000013"/>
    <n v="262.404"/>
    <n v="-387.64800000000014"/>
    <x v="1"/>
    <s v="C"/>
    <x v="4"/>
    <n v="417600"/>
    <n v="30012034"/>
    <s v="SEAG GIN 80P 6/1.75L ND US"/>
    <n v="18"/>
    <n v="1182"/>
    <n v="6"/>
    <n v="7092"/>
    <n v="130"/>
    <n v="130"/>
    <n v="180"/>
    <m/>
    <n v="180"/>
    <n v="23400"/>
    <n v="3900"/>
    <n v="7092"/>
    <n v="30.31"/>
    <n v="41.11"/>
    <n v="73.72"/>
    <n v="100"/>
    <m/>
    <m/>
    <m/>
    <m/>
    <n v="30"/>
    <m/>
    <n v="76"/>
    <n v="106"/>
    <m/>
    <m/>
    <n v="30"/>
    <m/>
    <m/>
    <n v="10"/>
    <m/>
    <m/>
    <m/>
    <m/>
    <n v="43"/>
    <m/>
    <n v="10"/>
    <m/>
    <m/>
    <n v="9"/>
    <m/>
    <n v="13"/>
    <m/>
    <m/>
    <m/>
    <n v="8"/>
    <m/>
    <m/>
    <m/>
    <m/>
    <m/>
    <m/>
    <m/>
    <m/>
    <m/>
    <m/>
    <n v="462"/>
    <n v="93"/>
  </r>
  <r>
    <s v="FY23"/>
    <s v="P9"/>
    <s v="March"/>
    <s v="FY23P9C"/>
    <s v="FY23P930012034"/>
    <n v="0"/>
    <n v="0"/>
    <n v="0"/>
    <s v="45012C"/>
    <s v="45012C        FS12"/>
    <s v="FY23P9        FS12C"/>
    <s v="FY23        FS12"/>
    <s v="in        FS12"/>
    <s v="FY23P9        FS12"/>
    <n v="120.38000000000002"/>
    <n v="625.97600000000011"/>
    <n v="1625.13"/>
    <n v="934.17600000000004"/>
    <n v="-690.95400000000006"/>
    <x v="1"/>
    <s v="C"/>
    <x v="4"/>
    <n v="417588"/>
    <n v="30012034"/>
    <s v="SEAG GIN 80P 6/1.75L ND US"/>
    <n v="45"/>
    <n v="4208"/>
    <n v="6"/>
    <n v="25248"/>
    <n v="130"/>
    <n v="130"/>
    <n v="450"/>
    <n v="30"/>
    <n v="420"/>
    <n v="54600"/>
    <n v="9100"/>
    <n v="25248"/>
    <n v="46.24"/>
    <n v="50"/>
    <n v="92.48"/>
    <n v="100"/>
    <n v="10"/>
    <m/>
    <m/>
    <m/>
    <m/>
    <m/>
    <n v="200"/>
    <n v="210"/>
    <m/>
    <m/>
    <n v="40"/>
    <m/>
    <m/>
    <m/>
    <n v="8"/>
    <m/>
    <m/>
    <m/>
    <n v="115"/>
    <m/>
    <m/>
    <n v="17"/>
    <m/>
    <m/>
    <m/>
    <n v="25"/>
    <m/>
    <m/>
    <m/>
    <n v="23"/>
    <m/>
    <n v="20"/>
    <m/>
    <m/>
    <m/>
    <m/>
    <m/>
    <m/>
    <m/>
    <m/>
    <n v="657"/>
    <n v="208"/>
  </r>
  <r>
    <s v="FY23"/>
    <s v="P9"/>
    <s v="March"/>
    <s v="FY23P9B"/>
    <s v="FY23P971608004"/>
    <n v="1"/>
    <n v="1"/>
    <n v="1"/>
    <s v="45013B"/>
    <s v="45013B        FS01"/>
    <s v="FY23P9        FS01B"/>
    <s v="FY23        FS01"/>
    <s v="in        FS01"/>
    <s v="FY23P9        FS01"/>
    <n v="899.3739130434783"/>
    <n v="3777.3704347826088"/>
    <n v="4812.6000000000004"/>
    <n v="180.196"/>
    <n v="-4632.4040000000005"/>
    <x v="2"/>
    <s v="B"/>
    <x v="1"/>
    <n v="424499"/>
    <n v="71608004"/>
    <s v="JEFF VSB BBN 82.3 6/750 AU"/>
    <n v="156"/>
    <n v="190"/>
    <n v="6"/>
    <n v="1140"/>
    <n v="55"/>
    <n v="55"/>
    <n v="720"/>
    <n v="30"/>
    <n v="690"/>
    <n v="37950"/>
    <n v="6325"/>
    <n v="1140"/>
    <n v="3"/>
    <n v="7.39"/>
    <n v="40.64"/>
    <n v="100"/>
    <n v="10"/>
    <n v="60"/>
    <n v="10"/>
    <m/>
    <n v="20"/>
    <m/>
    <n v="539"/>
    <n v="639"/>
    <m/>
    <m/>
    <n v="130"/>
    <m/>
    <m/>
    <m/>
    <m/>
    <m/>
    <m/>
    <n v="25"/>
    <n v="420"/>
    <n v="10"/>
    <n v="12"/>
    <m/>
    <m/>
    <m/>
    <n v="7"/>
    <n v="10"/>
    <m/>
    <m/>
    <m/>
    <n v="62"/>
    <m/>
    <m/>
    <m/>
    <m/>
    <m/>
    <m/>
    <m/>
    <m/>
    <m/>
    <m/>
    <m/>
    <n v="546"/>
  </r>
  <r>
    <s v="FY23"/>
    <s v="P9"/>
    <s v="March"/>
    <s v="FY23P9B"/>
    <s v="FY23P930000034"/>
    <n v="0"/>
    <n v="0"/>
    <n v="1"/>
    <s v="45013B"/>
    <s v="45013B        FS03"/>
    <s v="FY23P9        FS03B"/>
    <s v="FY23        FS03"/>
    <s v="in        FS03"/>
    <s v="FY23P9        FS03"/>
    <n v="195.61750000000004"/>
    <n v="1083.42"/>
    <n v="2166.84"/>
    <n v="2085.3791999999999"/>
    <n v="-81.46080000000029"/>
    <x v="2"/>
    <s v="B"/>
    <x v="0"/>
    <n v="419155"/>
    <n v="30000034"/>
    <s v="SEAG GIN 80P 120/50 PT ND US"/>
    <n v="60"/>
    <n v="927"/>
    <n v="120"/>
    <n v="111240"/>
    <n v="380"/>
    <n v="380"/>
    <n v="720"/>
    <n v="30"/>
    <n v="690"/>
    <n v="262200"/>
    <n v="2185"/>
    <n v="111240"/>
    <n v="42.43"/>
    <n v="43.77"/>
    <n v="96.93"/>
    <n v="100"/>
    <m/>
    <n v="15"/>
    <m/>
    <m/>
    <n v="20"/>
    <m/>
    <n v="353"/>
    <n v="388"/>
    <m/>
    <m/>
    <n v="65"/>
    <n v="25"/>
    <m/>
    <n v="15"/>
    <n v="30"/>
    <m/>
    <m/>
    <m/>
    <m/>
    <m/>
    <m/>
    <n v="80"/>
    <m/>
    <n v="15"/>
    <n v="70"/>
    <n v="23"/>
    <m/>
    <m/>
    <m/>
    <m/>
    <m/>
    <m/>
    <m/>
    <n v="25"/>
    <n v="7"/>
    <n v="70"/>
    <m/>
    <m/>
    <m/>
    <m/>
    <n v="120"/>
    <n v="360"/>
  </r>
  <r>
    <s v="FY23"/>
    <s v="P9"/>
    <s v="March"/>
    <s v="FY23P9B"/>
    <s v="FY23P996705001"/>
    <n v="0"/>
    <n v="0"/>
    <n v="1"/>
    <s v="45013B"/>
    <s v="45013B        FS04"/>
    <s v="FY23P9        FS04B"/>
    <s v="FY23        FS04"/>
    <s v="in        FS04"/>
    <s v="FY23P9        FS04"/>
    <n v="16.617500000000003"/>
    <n v="106.35200000000002"/>
    <n v="286.81805000000008"/>
    <n v="312.74250000000001"/>
    <n v="25.924449999999922"/>
    <x v="2"/>
    <s v="B"/>
    <x v="2"/>
    <n v="417639"/>
    <n v="96705001"/>
    <s v="SV APL70 12/375 CP"/>
    <n v="8.6300000000000008"/>
    <n v="575"/>
    <n v="12"/>
    <n v="6900"/>
    <n v="185"/>
    <n v="185"/>
    <n v="74"/>
    <m/>
    <n v="74"/>
    <n v="13690"/>
    <n v="1141"/>
    <n v="6900"/>
    <n v="50.4"/>
    <n v="79.73"/>
    <n v="63.22"/>
    <n v="100"/>
    <n v="5"/>
    <m/>
    <m/>
    <m/>
    <m/>
    <m/>
    <n v="10"/>
    <n v="15"/>
    <m/>
    <m/>
    <n v="5"/>
    <m/>
    <m/>
    <m/>
    <m/>
    <m/>
    <m/>
    <m/>
    <n v="6"/>
    <m/>
    <n v="6"/>
    <m/>
    <m/>
    <m/>
    <m/>
    <n v="4"/>
    <n v="6"/>
    <m/>
    <m/>
    <m/>
    <m/>
    <n v="10"/>
    <m/>
    <m/>
    <m/>
    <m/>
    <m/>
    <m/>
    <m/>
    <m/>
    <n v="497"/>
    <n v="32"/>
  </r>
  <r>
    <s v="FY23"/>
    <s v="P9"/>
    <s v="March"/>
    <s v="FY23P9B"/>
    <s v="FY23P996705001"/>
    <n v="0"/>
    <n v="0"/>
    <n v="0"/>
    <s v="45013B"/>
    <s v="45013B        FS04"/>
    <s v="FY23P9        FS04B"/>
    <s v="FY23        FS04"/>
    <s v="in        FS04"/>
    <s v="FY23P9        FS04"/>
    <n v="49.852500000000006"/>
    <n v="501.84850000000006"/>
    <n v="732.83175000000017"/>
    <n v="146.85300000000001"/>
    <n v="-585.97875000000022"/>
    <x v="2"/>
    <s v="B"/>
    <x v="2"/>
    <n v="428113"/>
    <n v="96705001"/>
    <s v="SV APL70 12/375 CP"/>
    <n v="22.05"/>
    <n v="270"/>
    <n v="12"/>
    <n v="3240"/>
    <n v="185"/>
    <n v="185"/>
    <n v="189"/>
    <m/>
    <n v="189"/>
    <n v="34965"/>
    <n v="2914"/>
    <n v="3240"/>
    <n v="9.27"/>
    <n v="15.34"/>
    <n v="60.39"/>
    <n v="100"/>
    <m/>
    <n v="15"/>
    <m/>
    <m/>
    <m/>
    <m/>
    <n v="145"/>
    <n v="160"/>
    <m/>
    <m/>
    <n v="15"/>
    <m/>
    <m/>
    <m/>
    <n v="25"/>
    <m/>
    <m/>
    <m/>
    <m/>
    <m/>
    <n v="16"/>
    <m/>
    <m/>
    <m/>
    <m/>
    <m/>
    <m/>
    <m/>
    <m/>
    <m/>
    <n v="104"/>
    <n v="6"/>
    <m/>
    <m/>
    <m/>
    <m/>
    <m/>
    <m/>
    <m/>
    <m/>
    <n v="270"/>
    <n v="151"/>
  </r>
  <r>
    <s v="FY23"/>
    <s v="P9"/>
    <s v="March"/>
    <s v="FY23P9B"/>
    <s v="FY23P930001034"/>
    <n v="0"/>
    <n v="0"/>
    <n v="1"/>
    <s v="45013B"/>
    <s v="45013B        FS05"/>
    <s v="FY23P9        FS05B"/>
    <s v="FY23        FS05"/>
    <s v="in        FS05"/>
    <s v="FY23P9        FS05"/>
    <n v="66.470000000000013"/>
    <n v="239.29200000000003"/>
    <n v="567.98615000000007"/>
    <n v="793.36799999999994"/>
    <n v="225.38184999999987"/>
    <x v="2"/>
    <s v="B"/>
    <x v="5"/>
    <n v="417594"/>
    <n v="30001034"/>
    <s v="SEAG GIN 80P 48/100 FSK ND US"/>
    <n v="17.09"/>
    <n v="540"/>
    <n v="48"/>
    <n v="25920"/>
    <n v="250"/>
    <n v="250"/>
    <n v="205"/>
    <m/>
    <n v="205"/>
    <n v="51250"/>
    <n v="1068"/>
    <n v="25920"/>
    <n v="50.58"/>
    <n v="70.73"/>
    <n v="71.5"/>
    <n v="100"/>
    <n v="5"/>
    <n v="15"/>
    <m/>
    <m/>
    <m/>
    <m/>
    <n v="40"/>
    <n v="60"/>
    <m/>
    <m/>
    <n v="20"/>
    <m/>
    <n v="15"/>
    <n v="5"/>
    <m/>
    <m/>
    <n v="5"/>
    <m/>
    <n v="3"/>
    <m/>
    <n v="6"/>
    <m/>
    <m/>
    <m/>
    <m/>
    <n v="6"/>
    <m/>
    <m/>
    <n v="5"/>
    <n v="25"/>
    <m/>
    <n v="2"/>
    <m/>
    <m/>
    <m/>
    <m/>
    <m/>
    <m/>
    <m/>
    <m/>
    <n v="190"/>
    <n v="72"/>
  </r>
  <r>
    <s v="FY23"/>
    <s v="P9"/>
    <s v="March"/>
    <s v="FY23P9B"/>
    <s v="FY23P930001034"/>
    <n v="0"/>
    <n v="0"/>
    <n v="0"/>
    <s v="45013B"/>
    <s v="45013B        FS05"/>
    <s v="FY23P9        FS05B"/>
    <s v="FY23        FS05"/>
    <s v="in        FS05"/>
    <s v="FY23P9        FS05"/>
    <n v="249.26250000000005"/>
    <n v="481.90750000000008"/>
    <n v="1370.9437500000004"/>
    <n v="1614.6507999999999"/>
    <n v="243.70704999999953"/>
    <x v="2"/>
    <s v="B"/>
    <x v="5"/>
    <n v="417601"/>
    <n v="30001034"/>
    <s v="SEAG GIN 80P 48/100 FSK ND US"/>
    <n v="41.25"/>
    <n v="1099"/>
    <n v="48"/>
    <n v="52752"/>
    <n v="250"/>
    <n v="250"/>
    <n v="495"/>
    <n v="30"/>
    <n v="465"/>
    <n v="116250"/>
    <n v="2422"/>
    <n v="52752"/>
    <n v="45.38"/>
    <n v="66.67"/>
    <n v="68.069999999999993"/>
    <n v="100"/>
    <m/>
    <n v="15"/>
    <m/>
    <m/>
    <n v="30"/>
    <m/>
    <n v="110"/>
    <n v="155"/>
    <m/>
    <m/>
    <n v="75"/>
    <m/>
    <m/>
    <n v="8"/>
    <n v="15"/>
    <m/>
    <n v="5"/>
    <m/>
    <n v="10"/>
    <m/>
    <n v="3"/>
    <n v="40"/>
    <m/>
    <n v="4"/>
    <n v="9"/>
    <n v="24"/>
    <m/>
    <m/>
    <m/>
    <n v="21"/>
    <m/>
    <n v="6"/>
    <m/>
    <m/>
    <m/>
    <m/>
    <m/>
    <m/>
    <m/>
    <m/>
    <m/>
    <n v="145"/>
  </r>
  <r>
    <s v="FY23"/>
    <s v="P9"/>
    <s v="March"/>
    <s v="FY23P9B"/>
    <s v="FY23P963009851"/>
    <n v="0"/>
    <n v="0"/>
    <n v="1"/>
    <s v="45013B"/>
    <s v="45013B        FS10"/>
    <s v="FY23P9        FS10B"/>
    <s v="FY23        FS10"/>
    <s v="in        FS10"/>
    <s v="FY23P9        FS10"/>
    <n v="290.62833333333333"/>
    <n v="1282.9165"/>
    <n v="2241.9900000000002"/>
    <n v="2077.8338000000003"/>
    <n v="-164.1561999999999"/>
    <x v="2"/>
    <s v="B"/>
    <x v="3"/>
    <n v="417509"/>
    <n v="63009851"/>
    <s v="KAH 32 12/1L 21 MX"/>
    <n v="63"/>
    <n v="5222"/>
    <n v="12"/>
    <n v="62664"/>
    <n v="250"/>
    <n v="250"/>
    <n v="630"/>
    <n v="30"/>
    <n v="600"/>
    <n v="150000"/>
    <n v="12500"/>
    <n v="62664"/>
    <n v="41.78"/>
    <n v="42.83"/>
    <n v="97.53"/>
    <n v="100"/>
    <n v="5"/>
    <n v="15"/>
    <m/>
    <m/>
    <n v="20"/>
    <m/>
    <n v="303"/>
    <n v="343"/>
    <m/>
    <m/>
    <n v="70"/>
    <m/>
    <n v="35"/>
    <m/>
    <n v="22"/>
    <m/>
    <m/>
    <m/>
    <n v="12"/>
    <m/>
    <m/>
    <n v="45"/>
    <m/>
    <n v="25"/>
    <m/>
    <m/>
    <m/>
    <m/>
    <m/>
    <n v="22"/>
    <m/>
    <n v="44"/>
    <n v="40"/>
    <n v="58"/>
    <m/>
    <m/>
    <m/>
    <m/>
    <m/>
    <n v="6"/>
    <n v="750"/>
    <n v="309"/>
  </r>
  <r>
    <s v="FY23"/>
    <s v="P9"/>
    <s v="March"/>
    <s v="FY23P9B"/>
    <s v="FY23P930012034"/>
    <n v="0"/>
    <n v="0"/>
    <n v="1"/>
    <s v="45013B"/>
    <s v="45013B        FS12"/>
    <s v="FY23P9        FS12B"/>
    <s v="FY23        FS12"/>
    <s v="in        FS12"/>
    <s v="FY23P9        FS12"/>
    <n v="315.99750000000006"/>
    <n v="331.04500000000007"/>
    <n v="2275.1820000000002"/>
    <n v="1485.18"/>
    <n v="-790.00200000000018"/>
    <x v="2"/>
    <s v="B"/>
    <x v="4"/>
    <n v="417600"/>
    <n v="30012034"/>
    <s v="SEAG GIN 80P 6/1.75L ND US"/>
    <n v="63"/>
    <n v="6690"/>
    <n v="6"/>
    <n v="40140"/>
    <n v="130"/>
    <n v="130"/>
    <n v="630"/>
    <n v="30"/>
    <n v="600"/>
    <n v="78000"/>
    <n v="13000"/>
    <n v="40140"/>
    <n v="51.46"/>
    <n v="72"/>
    <n v="71.47"/>
    <n v="100"/>
    <n v="10"/>
    <n v="45"/>
    <m/>
    <m/>
    <n v="20"/>
    <m/>
    <n v="93"/>
    <n v="168"/>
    <m/>
    <m/>
    <n v="105"/>
    <m/>
    <m/>
    <n v="34"/>
    <n v="7"/>
    <m/>
    <m/>
    <m/>
    <m/>
    <m/>
    <m/>
    <n v="25"/>
    <m/>
    <n v="5"/>
    <m/>
    <n v="5"/>
    <m/>
    <m/>
    <m/>
    <n v="21"/>
    <m/>
    <n v="13"/>
    <m/>
    <m/>
    <m/>
    <m/>
    <m/>
    <m/>
    <m/>
    <m/>
    <n v="880"/>
    <n v="110"/>
  </r>
  <r>
    <s v="FY23"/>
    <s v="P9"/>
    <s v="March"/>
    <s v="FY23P9C"/>
    <s v="FY23P971608004"/>
    <n v="0"/>
    <n v="1"/>
    <n v="1"/>
    <s v="45013C"/>
    <s v="45013C        FS01"/>
    <s v="FY23P9        FS01C"/>
    <s v="FY23        FS01"/>
    <s v="in        FS01"/>
    <s v="FY23P9        FS01"/>
    <n v="1352.8421052631577"/>
    <n v="2135.5578947368417"/>
    <n v="5553"/>
    <n v="1878.7804000000001"/>
    <n v="-3674.2195999999999"/>
    <x v="2"/>
    <s v="C"/>
    <x v="1"/>
    <n v="415762"/>
    <n v="71608004"/>
    <s v="JEFF VSB BBN 82.3 6/750 AU"/>
    <n v="180"/>
    <n v="1981"/>
    <n v="6"/>
    <n v="11886"/>
    <n v="55"/>
    <n v="55"/>
    <n v="600"/>
    <n v="30"/>
    <n v="570"/>
    <n v="31350"/>
    <n v="5225"/>
    <n v="11886"/>
    <n v="37.909999999999997"/>
    <n v="43.33"/>
    <n v="87.49"/>
    <n v="100"/>
    <m/>
    <n v="60"/>
    <n v="20"/>
    <m/>
    <n v="30"/>
    <m/>
    <n v="213"/>
    <n v="323"/>
    <m/>
    <m/>
    <n v="140"/>
    <m/>
    <m/>
    <m/>
    <n v="15"/>
    <m/>
    <m/>
    <n v="15"/>
    <m/>
    <m/>
    <m/>
    <n v="43"/>
    <m/>
    <m/>
    <n v="21"/>
    <m/>
    <n v="8"/>
    <m/>
    <m/>
    <n v="77"/>
    <m/>
    <n v="32"/>
    <m/>
    <m/>
    <m/>
    <m/>
    <m/>
    <m/>
    <m/>
    <n v="10"/>
    <m/>
    <n v="221"/>
  </r>
  <r>
    <s v="FY23"/>
    <s v="P9"/>
    <s v="March"/>
    <s v="FY23P9C"/>
    <s v="FY23P971608004"/>
    <n v="0"/>
    <n v="0"/>
    <n v="0"/>
    <s v="45013C"/>
    <s v="45013C        FS01"/>
    <s v="FY23P9        FS01C"/>
    <s v="FY23        FS01"/>
    <s v="in        FS01"/>
    <s v="FY23P9        FS01"/>
    <n v="33.15"/>
    <n v="669.63"/>
    <n v="802.1"/>
    <n v="107.1692"/>
    <n v="-694.93079999999998"/>
    <x v="2"/>
    <s v="C"/>
    <x v="1"/>
    <n v="424499"/>
    <n v="71608004"/>
    <s v="JEFF VSB BBN 82.3 6/750 AU"/>
    <n v="26"/>
    <n v="113"/>
    <n v="6"/>
    <n v="678"/>
    <n v="55"/>
    <n v="55"/>
    <n v="120"/>
    <m/>
    <n v="120"/>
    <n v="6600"/>
    <n v="1100"/>
    <n v="678"/>
    <n v="10.27"/>
    <n v="11.67"/>
    <n v="88.05"/>
    <n v="100"/>
    <n v="5"/>
    <m/>
    <m/>
    <m/>
    <m/>
    <m/>
    <n v="101"/>
    <n v="106"/>
    <m/>
    <m/>
    <n v="5"/>
    <m/>
    <m/>
    <m/>
    <m/>
    <m/>
    <m/>
    <m/>
    <m/>
    <n v="101"/>
    <m/>
    <m/>
    <m/>
    <m/>
    <m/>
    <m/>
    <m/>
    <m/>
    <m/>
    <m/>
    <m/>
    <m/>
    <m/>
    <m/>
    <m/>
    <m/>
    <m/>
    <m/>
    <m/>
    <m/>
    <n v="20"/>
    <n v="101"/>
  </r>
  <r>
    <s v="FY23"/>
    <s v="P9"/>
    <s v="March"/>
    <s v="FY23P9C"/>
    <s v="FY23P930000034"/>
    <n v="0"/>
    <n v="0"/>
    <n v="1"/>
    <s v="45013C"/>
    <s v="45013C        FS03"/>
    <s v="FY23P9        FS03C"/>
    <s v="FY23        FS03"/>
    <s v="in        FS03"/>
    <s v="FY23P9        FS03"/>
    <n v="361.14000000000004"/>
    <n v="821.59350000000018"/>
    <n v="2166.84"/>
    <n v="2146.1183999999998"/>
    <n v="-20.721600000000308"/>
    <x v="2"/>
    <s v="C"/>
    <x v="0"/>
    <n v="419156"/>
    <n v="30000034"/>
    <s v="SEAG GIN 80P 120/50 PT ND US"/>
    <n v="60"/>
    <n v="954"/>
    <n v="120"/>
    <n v="114480"/>
    <n v="380"/>
    <n v="380"/>
    <n v="720"/>
    <n v="30"/>
    <n v="690"/>
    <n v="262200"/>
    <n v="2185"/>
    <n v="114480"/>
    <n v="10.27"/>
    <n v="49.13"/>
    <n v="88.87"/>
    <n v="100"/>
    <n v="10"/>
    <n v="60"/>
    <m/>
    <m/>
    <n v="20"/>
    <m/>
    <n v="261"/>
    <n v="351"/>
    <m/>
    <m/>
    <n v="120"/>
    <m/>
    <m/>
    <n v="28"/>
    <m/>
    <m/>
    <m/>
    <m/>
    <m/>
    <m/>
    <m/>
    <m/>
    <n v="44"/>
    <n v="8"/>
    <n v="117"/>
    <n v="21"/>
    <m/>
    <m/>
    <n v="14"/>
    <n v="4"/>
    <m/>
    <n v="11"/>
    <m/>
    <m/>
    <n v="26"/>
    <m/>
    <m/>
    <m/>
    <m/>
    <m/>
    <n v="97"/>
    <n v="273"/>
  </r>
  <r>
    <s v="FY23"/>
    <s v="P9"/>
    <s v="March"/>
    <s v="FY23P9C"/>
    <s v="FY23P963009851"/>
    <n v="0"/>
    <n v="0"/>
    <n v="1"/>
    <s v="45013C"/>
    <s v="45013C        FS10"/>
    <s v="FY23P9        FS10C"/>
    <s v="FY23        FS10"/>
    <s v="in        FS10"/>
    <s v="FY23P9        FS10"/>
    <n v="166.07333333333332"/>
    <n v="373.66500000000002"/>
    <n v="2277.5771428571429"/>
    <n v="2652.7993000000001"/>
    <n v="375.22215714285721"/>
    <x v="2"/>
    <s v="C"/>
    <x v="3"/>
    <n v="417516"/>
    <n v="63009851"/>
    <s v="KAH 32 12/1L 21 MX"/>
    <n v="64"/>
    <n v="6667"/>
    <n v="12"/>
    <n v="80004"/>
    <n v="250"/>
    <n v="250"/>
    <n v="480"/>
    <n v="30"/>
    <n v="450"/>
    <n v="112500"/>
    <n v="9375"/>
    <n v="80004"/>
    <n v="71.11"/>
    <n v="78.89"/>
    <n v="90.15"/>
    <n v="100"/>
    <n v="10"/>
    <m/>
    <m/>
    <m/>
    <m/>
    <m/>
    <n v="85"/>
    <n v="95"/>
    <m/>
    <m/>
    <n v="40"/>
    <m/>
    <m/>
    <n v="20"/>
    <m/>
    <m/>
    <m/>
    <m/>
    <m/>
    <m/>
    <n v="20"/>
    <m/>
    <m/>
    <m/>
    <m/>
    <m/>
    <n v="12"/>
    <m/>
    <m/>
    <n v="12"/>
    <m/>
    <n v="11"/>
    <n v="10"/>
    <n v="5"/>
    <m/>
    <m/>
    <m/>
    <m/>
    <m/>
    <m/>
    <n v="883"/>
    <n v="90"/>
  </r>
  <r>
    <s v="FY23"/>
    <s v="P9"/>
    <s v="March"/>
    <s v="FY23P9C"/>
    <s v="FY23P963009851"/>
    <n v="0"/>
    <n v="0"/>
    <n v="0"/>
    <s v="45013C"/>
    <s v="45013C        FS10"/>
    <s v="FY23P9        FS10C"/>
    <s v="FY23        FS10"/>
    <s v="in        FS10"/>
    <s v="FY23P9        FS10"/>
    <n v="166.07333333333332"/>
    <n v="91.340333333333334"/>
    <n v="587.18785714285718"/>
    <n v="401.87900000000002"/>
    <n v="-185.30885714285716"/>
    <x v="2"/>
    <s v="C"/>
    <x v="3"/>
    <n v="417509"/>
    <n v="63009851"/>
    <s v="KAH 32 12/1L 21 MX"/>
    <n v="16.5"/>
    <n v="1010"/>
    <n v="12"/>
    <n v="12120"/>
    <n v="250"/>
    <n v="250"/>
    <n v="110"/>
    <m/>
    <n v="110"/>
    <n v="27500"/>
    <n v="2292"/>
    <n v="12120"/>
    <n v="44.07"/>
    <n v="43.64"/>
    <n v="101"/>
    <n v="100"/>
    <m/>
    <m/>
    <n v="10"/>
    <m/>
    <n v="30"/>
    <m/>
    <n v="22"/>
    <n v="62"/>
    <m/>
    <m/>
    <n v="40"/>
    <m/>
    <m/>
    <m/>
    <m/>
    <m/>
    <m/>
    <m/>
    <m/>
    <m/>
    <m/>
    <m/>
    <m/>
    <m/>
    <m/>
    <m/>
    <m/>
    <m/>
    <m/>
    <n v="22"/>
    <m/>
    <m/>
    <m/>
    <m/>
    <m/>
    <m/>
    <m/>
    <m/>
    <m/>
    <m/>
    <n v="820"/>
    <n v="22"/>
  </r>
  <r>
    <s v="FY23"/>
    <s v="P9"/>
    <s v="March"/>
    <s v="FY23P9B"/>
    <s v="FY23P971608004"/>
    <n v="1"/>
    <n v="1"/>
    <n v="1"/>
    <s v="45014B"/>
    <s v="45014B        FS01"/>
    <s v="FY23P9        FS01B"/>
    <s v="FY23        FS01"/>
    <s v="in        FS01"/>
    <s v="FY23P9        FS01"/>
    <n v="232.04999999999998"/>
    <n v="331.5"/>
    <n v="1403.675"/>
    <n v="777.68799999999999"/>
    <n v="-625.98699999999997"/>
    <x v="3"/>
    <s v="B"/>
    <x v="1"/>
    <n v="415762"/>
    <n v="71608004"/>
    <s v="JEFF VSB BBN 82.3 6/750 AU"/>
    <n v="45.5"/>
    <n v="820"/>
    <n v="6"/>
    <n v="4920"/>
    <n v="55"/>
    <n v="55"/>
    <n v="210"/>
    <m/>
    <n v="210"/>
    <n v="11550"/>
    <n v="1925"/>
    <n v="4920"/>
    <n v="42.6"/>
    <n v="60.95"/>
    <n v="69.89"/>
    <n v="100"/>
    <n v="10"/>
    <n v="15"/>
    <n v="10"/>
    <m/>
    <m/>
    <m/>
    <n v="47"/>
    <n v="82"/>
    <m/>
    <m/>
    <n v="35"/>
    <m/>
    <m/>
    <m/>
    <n v="15"/>
    <m/>
    <m/>
    <m/>
    <m/>
    <m/>
    <m/>
    <n v="16"/>
    <m/>
    <m/>
    <m/>
    <m/>
    <m/>
    <m/>
    <n v="3"/>
    <m/>
    <n v="16"/>
    <m/>
    <m/>
    <m/>
    <m/>
    <m/>
    <m/>
    <m/>
    <m/>
    <m/>
    <n v="235"/>
    <n v="50"/>
  </r>
  <r>
    <s v="FY23"/>
    <s v="P9"/>
    <s v="March"/>
    <s v="FY23P9B"/>
    <s v="FY23P971608001"/>
    <n v="0"/>
    <n v="0"/>
    <n v="0"/>
    <s v="45014B"/>
    <s v="45014B        FS01"/>
    <s v="FY23P9        FS01B"/>
    <s v="FY23        FS01"/>
    <s v="in        FS01"/>
    <s v="FY23P9        FS01"/>
    <n v="542.20000000000005"/>
    <n v="589.64250000000004"/>
    <n v="2643.2249999999999"/>
    <n v="3232.7207999999996"/>
    <n v="589.49579999999969"/>
    <x v="3"/>
    <s v="B"/>
    <x v="1"/>
    <n v="413422"/>
    <n v="71608001"/>
    <s v="JEFF VSB BBN 82.3 6/750 US"/>
    <n v="110.5"/>
    <n v="2052"/>
    <n v="6"/>
    <n v="12312"/>
    <n v="55"/>
    <n v="55"/>
    <n v="510"/>
    <n v="30"/>
    <n v="480"/>
    <n v="26400"/>
    <n v="4400"/>
    <n v="12312"/>
    <n v="46.64"/>
    <n v="75.42"/>
    <n v="61.84"/>
    <n v="100"/>
    <m/>
    <n v="30"/>
    <m/>
    <m/>
    <n v="20"/>
    <m/>
    <n v="68"/>
    <n v="118"/>
    <m/>
    <m/>
    <n v="80"/>
    <m/>
    <m/>
    <m/>
    <n v="21"/>
    <m/>
    <m/>
    <n v="16"/>
    <m/>
    <m/>
    <m/>
    <n v="11"/>
    <m/>
    <m/>
    <n v="4"/>
    <m/>
    <m/>
    <m/>
    <m/>
    <n v="4"/>
    <m/>
    <n v="4"/>
    <m/>
    <m/>
    <m/>
    <n v="7"/>
    <m/>
    <m/>
    <m/>
    <n v="20"/>
    <m/>
    <n v="87"/>
  </r>
  <r>
    <s v="FY23"/>
    <s v="P9"/>
    <s v="March"/>
    <s v="FY23P9B"/>
    <s v="FY23P930000034"/>
    <n v="0"/>
    <n v="0"/>
    <n v="1"/>
    <s v="45014B"/>
    <s v="45014B        FS03"/>
    <s v="FY23P9        FS03B"/>
    <s v="FY23        FS03"/>
    <s v="in        FS03"/>
    <s v="FY23P9        FS03"/>
    <n v="225.71250000000003"/>
    <n v="511.61500000000007"/>
    <n v="1083.42"/>
    <n v="818.85439999999983"/>
    <n v="-264.56560000000025"/>
    <x v="3"/>
    <s v="B"/>
    <x v="0"/>
    <n v="419157"/>
    <n v="30000034"/>
    <s v="SEAG GIN 80P 120/50 PT ND US"/>
    <n v="30"/>
    <n v="364"/>
    <n v="120"/>
    <n v="43680"/>
    <n v="380"/>
    <n v="380"/>
    <n v="360"/>
    <m/>
    <n v="360"/>
    <n v="136800"/>
    <n v="1140"/>
    <n v="43680"/>
    <n v="31.93"/>
    <n v="39.44"/>
    <n v="80.95"/>
    <n v="100"/>
    <n v="15"/>
    <n v="45"/>
    <n v="15"/>
    <m/>
    <m/>
    <m/>
    <n v="143"/>
    <n v="218"/>
    <m/>
    <m/>
    <n v="75"/>
    <m/>
    <m/>
    <n v="10"/>
    <n v="20"/>
    <m/>
    <m/>
    <m/>
    <m/>
    <m/>
    <m/>
    <n v="12"/>
    <m/>
    <m/>
    <n v="101"/>
    <n v="9"/>
    <m/>
    <m/>
    <n v="8"/>
    <m/>
    <m/>
    <m/>
    <m/>
    <n v="5"/>
    <m/>
    <m/>
    <m/>
    <m/>
    <m/>
    <n v="5"/>
    <n v="100"/>
    <n v="170"/>
  </r>
  <r>
    <s v="FY23"/>
    <s v="P9"/>
    <s v="March"/>
    <s v="FY23P9B"/>
    <s v="FY23P961005002"/>
    <n v="0"/>
    <n v="0"/>
    <n v="1"/>
    <s v="45014B"/>
    <s v="45014B        FS04"/>
    <s v="FY23P9        FS04B"/>
    <s v="FY23        FS04"/>
    <s v="in        FS04"/>
    <s v="FY23P9        FS04"/>
    <n v="315.73250000000007"/>
    <n v="1638.4855000000002"/>
    <n v="2093.8050000000003"/>
    <n v="281.93200000000002"/>
    <n v="-1811.8730000000003"/>
    <x v="3"/>
    <s v="B"/>
    <x v="2"/>
    <n v="421250"/>
    <n v="61005002"/>
    <s v="HW BLKBDY 70 24/375 NB FSK US"/>
    <n v="63"/>
    <n v="280"/>
    <n v="24"/>
    <n v="6720"/>
    <n v="230"/>
    <n v="230"/>
    <n v="630"/>
    <n v="30"/>
    <n v="600"/>
    <n v="138000"/>
    <n v="5750"/>
    <n v="6720"/>
    <n v="4.87"/>
    <n v="9"/>
    <n v="54.11"/>
    <n v="100"/>
    <n v="5"/>
    <n v="30"/>
    <m/>
    <m/>
    <n v="30"/>
    <m/>
    <n v="481"/>
    <n v="546"/>
    <m/>
    <m/>
    <n v="95"/>
    <m/>
    <m/>
    <m/>
    <m/>
    <m/>
    <n v="74"/>
    <m/>
    <m/>
    <m/>
    <n v="4"/>
    <m/>
    <m/>
    <n v="3"/>
    <m/>
    <n v="237"/>
    <m/>
    <m/>
    <m/>
    <n v="151"/>
    <m/>
    <n v="19"/>
    <m/>
    <m/>
    <m/>
    <m/>
    <n v="5"/>
    <m/>
    <m/>
    <m/>
    <n v="24"/>
    <n v="493"/>
  </r>
  <r>
    <s v="FY23"/>
    <s v="P9"/>
    <s v="March"/>
    <s v="FY23P9B"/>
    <s v="FY23P963109031"/>
    <n v="0"/>
    <n v="0"/>
    <n v="1"/>
    <s v="45014B"/>
    <s v="45014B        FS10"/>
    <s v="FY23P9        FS10B"/>
    <s v="FY23        FS10"/>
    <s v="in        FS10"/>
    <s v="FY23P9        FS10"/>
    <n v="39.25951401869159"/>
    <n v="424.71656074766355"/>
    <n v="385.00800000000004"/>
    <n v="243.50700000000001"/>
    <n v="-141.50100000000003"/>
    <x v="3"/>
    <s v="B"/>
    <x v="3"/>
    <n v="425332"/>
    <n v="63109031"/>
    <s v="KAH ESP 70 12/1L NB AU"/>
    <n v="12.48"/>
    <n v="470"/>
    <n v="12"/>
    <n v="5640"/>
    <n v="250"/>
    <n v="250"/>
    <n v="107"/>
    <m/>
    <n v="107"/>
    <n v="26750"/>
    <n v="2229"/>
    <n v="5640"/>
    <n v="21.08"/>
    <n v="-14.95"/>
    <n v="-141"/>
    <n v="100"/>
    <n v="5"/>
    <m/>
    <m/>
    <m/>
    <n v="6"/>
    <m/>
    <n v="112"/>
    <n v="123"/>
    <m/>
    <m/>
    <n v="11"/>
    <m/>
    <m/>
    <m/>
    <m/>
    <m/>
    <m/>
    <m/>
    <m/>
    <m/>
    <m/>
    <m/>
    <m/>
    <m/>
    <n v="21"/>
    <m/>
    <m/>
    <m/>
    <m/>
    <n v="45"/>
    <n v="46"/>
    <m/>
    <m/>
    <m/>
    <m/>
    <m/>
    <m/>
    <m/>
    <m/>
    <n v="7"/>
    <n v="275"/>
    <n v="119"/>
  </r>
  <r>
    <s v="FY23"/>
    <s v="P9"/>
    <s v="March"/>
    <s v="FY23P9B"/>
    <s v="FY23P964509017"/>
    <n v="0"/>
    <n v="0"/>
    <n v="0"/>
    <s v="45014B"/>
    <s v="45014B        FS10"/>
    <s v="FY23P9        FS10B"/>
    <s v="FY23        FS10"/>
    <s v="in        FS10"/>
    <s v="FY23P9        FS10"/>
    <n v="1614.7384615384615"/>
    <n v="0"/>
    <n v="1511.65"/>
    <n v="0"/>
    <n v="-1511.65"/>
    <x v="3"/>
    <s v="B"/>
    <x v="3"/>
    <n v="412452"/>
    <n v="64509017"/>
    <s v="KAH SALTED CARAMEL40 6/1L AUNZ"/>
    <n v="49"/>
    <m/>
    <n v="6"/>
    <m/>
    <n v="180"/>
    <n v="180"/>
    <n v="420"/>
    <n v="30"/>
    <n v="390"/>
    <n v="70200"/>
    <n v="11700"/>
    <n v="0"/>
    <n v="0"/>
    <n v="0"/>
    <n v="0"/>
    <n v="0"/>
    <m/>
    <n v="30"/>
    <m/>
    <n v="360"/>
    <m/>
    <m/>
    <m/>
    <n v="390"/>
    <m/>
    <m/>
    <n v="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Y23"/>
    <s v="P9"/>
    <s v="March"/>
    <s v="FY23P9B"/>
    <s v="FY23P930012034"/>
    <n v="0"/>
    <n v="0"/>
    <n v="1"/>
    <s v="45014B"/>
    <s v="45014B        FS12"/>
    <s v="FY23P9        FS12B"/>
    <s v="FY23        FS12"/>
    <s v="in        FS12"/>
    <s v="FY23P9        FS12"/>
    <n v="270.85500000000002"/>
    <n v="78.247000000000014"/>
    <n v="1263.9900000000002"/>
    <n v="1282.05"/>
    <n v="18.059999999999718"/>
    <x v="3"/>
    <s v="B"/>
    <x v="4"/>
    <n v="417611"/>
    <n v="30012034"/>
    <s v="SEAG GIN 80P 6/1.75L ND US"/>
    <n v="35"/>
    <n v="5775"/>
    <n v="6"/>
    <n v="34650"/>
    <n v="130"/>
    <n v="130"/>
    <n v="420"/>
    <n v="30"/>
    <n v="390"/>
    <n v="50700"/>
    <n v="8450"/>
    <n v="34650"/>
    <n v="68.34"/>
    <n v="78.97"/>
    <n v="86.54"/>
    <n v="100"/>
    <n v="10"/>
    <n v="30"/>
    <m/>
    <m/>
    <n v="20"/>
    <m/>
    <n v="22"/>
    <n v="82"/>
    <m/>
    <m/>
    <n v="90"/>
    <m/>
    <m/>
    <m/>
    <m/>
    <m/>
    <m/>
    <m/>
    <m/>
    <m/>
    <m/>
    <m/>
    <m/>
    <m/>
    <m/>
    <n v="4"/>
    <m/>
    <m/>
    <m/>
    <n v="11"/>
    <m/>
    <n v="11"/>
    <m/>
    <m/>
    <m/>
    <m/>
    <m/>
    <m/>
    <m/>
    <m/>
    <n v="767"/>
    <n v="26"/>
  </r>
  <r>
    <s v="FY23"/>
    <s v="P9"/>
    <s v="March"/>
    <s v="FY23P9B"/>
    <s v="FY23P981719001"/>
    <n v="0"/>
    <n v="0"/>
    <n v="1"/>
    <s v="45014B"/>
    <s v="45014B        FS14"/>
    <s v="FY23P9        FS14B"/>
    <s v="FY23        FS14"/>
    <s v="in        FS14"/>
    <s v="FY23P9        FS14"/>
    <n v="209.27739130434782"/>
    <n v="1432.7452173913043"/>
    <n v="1866.4250000000002"/>
    <n v="483.86709999999999"/>
    <n v="-1382.5579000000002"/>
    <x v="3"/>
    <s v="B"/>
    <x v="6"/>
    <n v="409124"/>
    <n v="81719001"/>
    <s v="MALI PNBBR14USA 24/355 6X4CNUS"/>
    <n v="60.5"/>
    <n v="1817"/>
    <n v="24"/>
    <n v="43608"/>
    <n v="533"/>
    <n v="533"/>
    <n v="605"/>
    <n v="30"/>
    <n v="575"/>
    <n v="306475"/>
    <n v="12770"/>
    <n v="43608"/>
    <n v="14.23"/>
    <n v="16.52"/>
    <n v="86.12"/>
    <n v="100"/>
    <n v="5"/>
    <n v="30"/>
    <m/>
    <m/>
    <m/>
    <m/>
    <n v="445"/>
    <n v="480"/>
    <m/>
    <m/>
    <n v="65"/>
    <m/>
    <m/>
    <m/>
    <n v="20"/>
    <m/>
    <n v="165"/>
    <m/>
    <m/>
    <n v="90"/>
    <m/>
    <m/>
    <m/>
    <m/>
    <m/>
    <m/>
    <m/>
    <m/>
    <m/>
    <m/>
    <m/>
    <n v="35"/>
    <m/>
    <m/>
    <m/>
    <m/>
    <m/>
    <m/>
    <m/>
    <n v="135"/>
    <m/>
    <n v="445"/>
  </r>
  <r>
    <s v="FY23"/>
    <s v="P9"/>
    <s v="March"/>
    <s v="FY23P9C"/>
    <s v="FY23P971608001"/>
    <n v="0"/>
    <n v="1"/>
    <n v="1"/>
    <s v="45014C"/>
    <s v="45014C        FS01"/>
    <s v="FY23P9        FS01C"/>
    <s v="FY23        FS01"/>
    <s v="in        FS01"/>
    <s v="FY23P9        FS01"/>
    <n v="813.3"/>
    <n v="1186.0625"/>
    <n v="4305.7058823529405"/>
    <n v="5208.2723999999998"/>
    <n v="902.5665176470593"/>
    <x v="3"/>
    <s v="C"/>
    <x v="1"/>
    <n v="413422"/>
    <n v="71608001"/>
    <s v="JEFF VSB BBN 82.3 6/750 US"/>
    <n v="180"/>
    <n v="3306"/>
    <n v="6"/>
    <n v="19836"/>
    <n v="55"/>
    <n v="55"/>
    <n v="720"/>
    <n v="30"/>
    <n v="690"/>
    <n v="37950"/>
    <n v="6325"/>
    <n v="19836"/>
    <n v="52.27"/>
    <n v="61.59"/>
    <n v="84.86"/>
    <n v="100"/>
    <n v="10"/>
    <n v="60"/>
    <m/>
    <m/>
    <n v="20"/>
    <m/>
    <n v="175"/>
    <n v="265"/>
    <m/>
    <m/>
    <n v="120"/>
    <m/>
    <m/>
    <m/>
    <m/>
    <m/>
    <m/>
    <m/>
    <m/>
    <m/>
    <m/>
    <n v="15"/>
    <m/>
    <n v="15"/>
    <m/>
    <m/>
    <m/>
    <m/>
    <m/>
    <n v="30"/>
    <m/>
    <n v="115"/>
    <m/>
    <m/>
    <m/>
    <m/>
    <m/>
    <m/>
    <m/>
    <m/>
    <n v="233"/>
    <n v="175"/>
  </r>
  <r>
    <s v="FY23"/>
    <s v="P9"/>
    <s v="March"/>
    <s v="FY23P9C"/>
    <s v="FY23P920000054"/>
    <n v="0"/>
    <n v="0"/>
    <n v="1"/>
    <s v="45014C"/>
    <s v="45014C        FS03"/>
    <s v="FY23P9        FS03C"/>
    <s v="FY23        FS03"/>
    <s v="in        FS03"/>
    <s v="FY23P9        FS03"/>
    <n v="391.23500000000007"/>
    <n v="1522.8070000000002"/>
    <n v="2166.84"/>
    <n v="503.05919999999992"/>
    <n v="-1663.7808000000002"/>
    <x v="3"/>
    <s v="C"/>
    <x v="0"/>
    <n v="417650"/>
    <n v="20000054"/>
    <s v="MALI 42 120/50 PT SW 21 US"/>
    <n v="60"/>
    <n v="224"/>
    <n v="120"/>
    <n v="26880"/>
    <n v="380"/>
    <n v="380"/>
    <n v="720"/>
    <n v="30"/>
    <n v="690"/>
    <n v="262200"/>
    <n v="2185"/>
    <n v="26880"/>
    <n v="10.25"/>
    <n v="14.64"/>
    <n v="70.040000000000006"/>
    <n v="100"/>
    <n v="10"/>
    <n v="60"/>
    <m/>
    <m/>
    <n v="30"/>
    <m/>
    <n v="489"/>
    <n v="589"/>
    <m/>
    <m/>
    <n v="130"/>
    <m/>
    <m/>
    <n v="32"/>
    <m/>
    <m/>
    <m/>
    <n v="25"/>
    <m/>
    <m/>
    <m/>
    <m/>
    <n v="131"/>
    <n v="4"/>
    <n v="105"/>
    <n v="9"/>
    <m/>
    <m/>
    <n v="4"/>
    <n v="55"/>
    <m/>
    <n v="14"/>
    <m/>
    <m/>
    <n v="127"/>
    <m/>
    <m/>
    <m/>
    <m/>
    <m/>
    <m/>
    <n v="506"/>
  </r>
  <r>
    <s v="FY23"/>
    <s v="P9"/>
    <s v="March"/>
    <s v="FY23P9C"/>
    <s v="FY23P964508017"/>
    <n v="0"/>
    <n v="0"/>
    <n v="1"/>
    <s v="45014C"/>
    <s v="45014C        FS10"/>
    <s v="FY23P9        FS10C"/>
    <s v="FY23        FS10"/>
    <s v="in        FS10"/>
    <s v="FY23P9        FS10"/>
    <n v="871.88499999999999"/>
    <n v="373.66500000000002"/>
    <n v="1120.9950000000001"/>
    <n v="0"/>
    <n v="-1120.9950000000001"/>
    <x v="3"/>
    <s v="C"/>
    <x v="3"/>
    <n v="413274"/>
    <n v="64508017"/>
    <s v="KAH SALTED CARAMEL40 12/750 US"/>
    <n v="31.5"/>
    <m/>
    <n v="12"/>
    <m/>
    <n v="290"/>
    <n v="290"/>
    <n v="210"/>
    <m/>
    <n v="210"/>
    <n v="60900"/>
    <n v="5075"/>
    <n v="0"/>
    <n v="0"/>
    <n v="-42.86"/>
    <n v="0"/>
    <n v="0"/>
    <m/>
    <m/>
    <m/>
    <n v="210"/>
    <m/>
    <m/>
    <n v="90"/>
    <n v="300"/>
    <m/>
    <m/>
    <n v="210"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n v="90"/>
  </r>
  <r>
    <s v="FY23"/>
    <s v="P9"/>
    <s v="March"/>
    <s v="FY23P9C"/>
    <s v="FY23P963109031"/>
    <n v="0"/>
    <n v="0"/>
    <n v="0"/>
    <s v="45014C"/>
    <s v="45014C        FS10"/>
    <s v="FY23P9        FS10C"/>
    <s v="FY23        FS10"/>
    <s v="in        FS10"/>
    <s v="FY23P9        FS10"/>
    <n v="321.3"/>
    <n v="107.10000000000001"/>
    <n v="539.875"/>
    <n v="0"/>
    <n v="-539.875"/>
    <x v="3"/>
    <s v="C"/>
    <x v="3"/>
    <n v="425332"/>
    <n v="63109031"/>
    <s v="KAH ESP 70 12/1L NB AU"/>
    <n v="17.5"/>
    <m/>
    <n v="12"/>
    <m/>
    <n v="250"/>
    <n v="250"/>
    <n v="150"/>
    <m/>
    <n v="150"/>
    <n v="37500"/>
    <n v="3125"/>
    <n v="0"/>
    <n v="0"/>
    <n v="0"/>
    <n v="0"/>
    <n v="0"/>
    <m/>
    <m/>
    <m/>
    <n v="60"/>
    <n v="30"/>
    <m/>
    <n v="60"/>
    <n v="150"/>
    <m/>
    <m/>
    <n v="90"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1"/>
    <n v="30"/>
  </r>
  <r>
    <s v="FY23"/>
    <s v="P9"/>
    <s v="March"/>
    <s v="FY23P9C"/>
    <s v="FY23P964509017"/>
    <n v="0"/>
    <n v="0"/>
    <n v="0"/>
    <s v="45014C"/>
    <s v="45014C        FS10"/>
    <s v="FY23P9        FS10C"/>
    <s v="FY23        FS10"/>
    <s v="in        FS10"/>
    <s v="FY23P9        FS10"/>
    <n v="114.75"/>
    <n v="582.92999999999995"/>
    <n v="1203.1500000000001"/>
    <n v="920.14560000000006"/>
    <n v="-283.00440000000003"/>
    <x v="3"/>
    <s v="C"/>
    <x v="3"/>
    <n v="412452"/>
    <n v="64509017"/>
    <s v="KAH SALTED CARAMEL40 6/1L AUNZ"/>
    <n v="39"/>
    <n v="1776"/>
    <n v="6"/>
    <n v="10656"/>
    <n v="180"/>
    <n v="180"/>
    <n v="260"/>
    <m/>
    <n v="260"/>
    <n v="46800"/>
    <n v="7800"/>
    <n v="10656"/>
    <n v="22.77"/>
    <n v="41.54"/>
    <n v="54.81"/>
    <n v="100"/>
    <n v="10"/>
    <n v="15"/>
    <m/>
    <m/>
    <m/>
    <m/>
    <n v="127"/>
    <n v="152"/>
    <m/>
    <m/>
    <n v="25"/>
    <m/>
    <m/>
    <n v="15"/>
    <m/>
    <m/>
    <m/>
    <m/>
    <m/>
    <m/>
    <m/>
    <m/>
    <m/>
    <n v="15"/>
    <n v="15"/>
    <m/>
    <n v="25"/>
    <m/>
    <m/>
    <m/>
    <m/>
    <n v="30"/>
    <n v="27"/>
    <m/>
    <m/>
    <m/>
    <m/>
    <m/>
    <m/>
    <m/>
    <n v="334"/>
    <n v="127"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644E8-6CE8-42D4-B73D-AFFBB02DC936}" name="PivotTable10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S48:T65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axis="axisRow" showAll="0">
      <items count="4">
        <item x="0"/>
        <item x="1"/>
        <item x="2"/>
        <item t="default"/>
      </items>
    </pivotField>
    <pivotField axis="axisRow" showAll="0">
      <items count="10">
        <item x="1"/>
        <item x="0"/>
        <item x="5"/>
        <item m="1" x="8"/>
        <item x="3"/>
        <item x="4"/>
        <item x="7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0"/>
    <field x="21"/>
  </rowFields>
  <rowItems count="17">
    <i>
      <x/>
    </i>
    <i r="1">
      <x/>
    </i>
    <i r="1">
      <x v="1"/>
    </i>
    <i r="1">
      <x v="2"/>
    </i>
    <i r="1">
      <x v="4"/>
    </i>
    <i r="1">
      <x v="5"/>
    </i>
    <i r="1">
      <x v="7"/>
    </i>
    <i r="1">
      <x v="8"/>
    </i>
    <i>
      <x v="1"/>
    </i>
    <i r="1">
      <x/>
    </i>
    <i r="1">
      <x v="1"/>
    </i>
    <i r="1">
      <x v="2"/>
    </i>
    <i r="1">
      <x v="4"/>
    </i>
    <i r="1">
      <x v="5"/>
    </i>
    <i>
      <x v="2"/>
    </i>
    <i r="1">
      <x v="6"/>
    </i>
    <i t="grand">
      <x/>
    </i>
  </rowItems>
  <colItems count="1">
    <i/>
  </colItems>
  <dataFields count="1">
    <dataField name="Sum of Identifier WD/S/L" fld="7" baseField="0" baseItem="0"/>
  </dataFields>
  <formats count="15">
    <format dxfId="31">
      <pivotArea outline="0" collapsedLevelsAreSubtotals="1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20" type="button" dataOnly="0" labelOnly="1" outline="0" axis="axisRow" fieldPosition="0"/>
    </format>
    <format dxfId="27">
      <pivotArea dataOnly="0" labelOnly="1" fieldPosition="0">
        <references count="1">
          <reference field="20" count="0"/>
        </references>
      </pivotArea>
    </format>
    <format dxfId="26">
      <pivotArea dataOnly="0" labelOnly="1" grandRow="1" outline="0" fieldPosition="0"/>
    </format>
    <format dxfId="25">
      <pivotArea dataOnly="0" labelOnly="1" fieldPosition="0">
        <references count="2">
          <reference field="20" count="1" selected="0">
            <x v="0"/>
          </reference>
          <reference field="21" count="0"/>
        </references>
      </pivotArea>
    </format>
    <format dxfId="24">
      <pivotArea dataOnly="0" labelOnly="1" fieldPosition="0">
        <references count="2">
          <reference field="20" count="1" selected="0">
            <x v="1"/>
          </reference>
          <reference field="21" count="4">
            <x v="0"/>
            <x v="1"/>
            <x v="2"/>
            <x v="4"/>
          </reference>
        </references>
      </pivotArea>
    </format>
    <format dxfId="23">
      <pivotArea dataOnly="0" labelOnly="1" outline="0" axis="axisValues" fieldPosition="0"/>
    </format>
    <format dxfId="22">
      <pivotArea collapsedLevelsAreSubtotals="1" fieldPosition="0">
        <references count="1">
          <reference field="20" count="1">
            <x v="0"/>
          </reference>
        </references>
      </pivotArea>
    </format>
    <format dxfId="21">
      <pivotArea collapsedLevelsAreSubtotals="1" fieldPosition="0">
        <references count="1">
          <reference field="20" count="1">
            <x v="0"/>
          </reference>
        </references>
      </pivotArea>
    </format>
    <format dxfId="20">
      <pivotArea collapsedLevelsAreSubtotals="1" fieldPosition="0">
        <references count="2">
          <reference field="20" count="1" selected="0">
            <x v="0"/>
          </reference>
          <reference field="21" count="6">
            <x v="0"/>
            <x v="1"/>
            <x v="2"/>
            <x v="3"/>
            <x v="4"/>
            <x v="5"/>
          </reference>
        </references>
      </pivotArea>
    </format>
    <format dxfId="19">
      <pivotArea collapsedLevelsAreSubtotals="1" fieldPosition="0">
        <references count="1">
          <reference field="20" count="1">
            <x v="1"/>
          </reference>
        </references>
      </pivotArea>
    </format>
    <format dxfId="18">
      <pivotArea collapsedLevelsAreSubtotals="1" fieldPosition="0">
        <references count="2">
          <reference field="20" count="1" selected="0">
            <x v="1"/>
          </reference>
          <reference field="21" count="4">
            <x v="0"/>
            <x v="1"/>
            <x v="2"/>
            <x v="4"/>
          </reference>
        </references>
      </pivotArea>
    </format>
    <format dxfId="17">
      <pivotArea collapsedLevelsAreSubtotals="1" fieldPosition="0">
        <references count="1">
          <reference field="2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691B5-D608-4F6A-8466-064ADBEFD56E}" name="PivotTable7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Date">
  <location ref="H3:J11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axis="axisRow" numFmtId="14" showAll="0">
      <items count="30">
        <item h="1" m="1" x="16"/>
        <item h="1" m="1" x="12"/>
        <item h="1" m="1" x="21"/>
        <item h="1" m="1" x="6"/>
        <item h="1" x="4"/>
        <item h="1" m="1" x="14"/>
        <item h="1" m="1" x="25"/>
        <item h="1" m="1" x="10"/>
        <item h="1" m="1" x="22"/>
        <item h="1" m="1" x="7"/>
        <item h="1" m="1" x="15"/>
        <item h="1" m="1" x="26"/>
        <item h="1" m="1" x="11"/>
        <item h="1" m="1" x="20"/>
        <item h="1" m="1" x="5"/>
        <item h="1" m="1" x="13"/>
        <item h="1" m="1" x="24"/>
        <item h="1" m="1" x="9"/>
        <item h="1" m="1" x="19"/>
        <item h="1" m="1" x="23"/>
        <item h="1" m="1" x="8"/>
        <item h="1" m="1" x="18"/>
        <item h="1" m="1" x="28"/>
        <item h="1" m="1" x="17"/>
        <item h="1" m="1" x="27"/>
        <item h="1" x="0"/>
        <item h="1" x="1"/>
        <item h="1" x="2"/>
        <item x="3"/>
        <item t="default"/>
      </items>
    </pivotField>
    <pivotField showAll="0"/>
    <pivotField axis="axisRow" showAll="0">
      <items count="10">
        <item x="1"/>
        <item x="0"/>
        <item x="2"/>
        <item x="5"/>
        <item m="1" x="8"/>
        <item x="3"/>
        <item x="4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9"/>
    <field x="21"/>
  </rowFields>
  <rowItems count="8">
    <i>
      <x v="28"/>
    </i>
    <i r="1">
      <x/>
    </i>
    <i r="1">
      <x v="1"/>
    </i>
    <i r="1">
      <x v="2"/>
    </i>
    <i r="1">
      <x v="5"/>
    </i>
    <i r="1">
      <x v="6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Bottle Total" fld="28" baseField="0" baseItem="0"/>
    <dataField name="Exp. Btls" fld="34" baseField="0" baseItem="0"/>
  </dataFields>
  <formats count="8">
    <format dxfId="39">
      <pivotArea outline="0" collapsedLevelsAreSubtotals="1" fieldPosition="0"/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9" type="button" dataOnly="0" labelOnly="1" outline="0" axis="axisRow" fieldPosition="0"/>
    </format>
    <format dxfId="35">
      <pivotArea dataOnly="0" labelOnly="1" fieldPosition="0">
        <references count="1">
          <reference field="19" count="0"/>
        </references>
      </pivotArea>
    </format>
    <format dxfId="34">
      <pivotArea dataOnly="0" labelOnly="1" grandRow="1" outline="0" fieldPosition="0"/>
    </format>
    <format dxfId="33">
      <pivotArea dataOnly="0" labelOnly="1" fieldPosition="0">
        <references count="2">
          <reference field="19" count="0" selected="0"/>
          <reference field="21" count="6">
            <x v="0"/>
            <x v="1"/>
            <x v="2"/>
            <x v="3"/>
            <x v="5"/>
            <x v="6"/>
          </reference>
        </references>
      </pivotArea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F7356-22B9-4E98-A3E5-BA82C15E1BDE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B35:AE43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/>
    <pivotField axis="axisRow" showAll="0">
      <items count="10">
        <item x="1"/>
        <item x="0"/>
        <item x="2"/>
        <item x="5"/>
        <item m="1" x="8"/>
        <item x="3"/>
        <item x="4"/>
        <item h="1"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5"/>
    </i>
    <i>
      <x v="6"/>
    </i>
    <i>
      <x v="8"/>
    </i>
    <i t="grand">
      <x/>
    </i>
  </rowItems>
  <colFields count="1">
    <field x="-2"/>
  </colFields>
  <colItems count="2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</colItems>
  <dataFields count="29">
    <dataField name="Sum of Fill Height/Cap Detector" fld="52" baseField="0" baseItem="0"/>
    <dataField name="Sum of FCS" fld="53" baseField="21" baseItem="1"/>
    <dataField name="Sum of Proc.-Tk Chg" fld="54" baseField="0" baseItem="0"/>
    <dataField name="Sum of Manning/    Supplies" fld="55" baseField="0" baseItem="0"/>
    <dataField name="Sum of Foam" fld="56" baseField="21" baseItem="1"/>
    <dataField name="Sum of Proof Cks     /Lab" fld="57" baseField="21" baseItem="1"/>
    <dataField name="Sum of Vision System" fld="58" baseField="0" baseItem="0"/>
    <dataField name="Sum of QA External" fld="59" baseField="0" baseItem="0"/>
    <dataField name="Sum of QA Internal" fld="60" baseField="0" baseItem="0"/>
    <dataField name="Sum of Pal/Depal" fld="61" baseField="0" baseItem="0"/>
    <dataField name="Sum of Unloader" fld="62" baseField="0" baseItem="0"/>
    <dataField name="Sum of Bulk Unloader" fld="63" baseField="0" baseItem="0"/>
    <dataField name="Sum of Cleaner" fld="64" baseField="0" baseItem="0"/>
    <dataField name="Sum of Filler" fld="65" baseField="0" baseItem="0"/>
    <dataField name="Sum of Capper" fld="66" baseField="0" baseItem="0"/>
    <dataField name="Sum of Checkweigher/Taper" fld="67" baseField="0" baseItem="0"/>
    <dataField name="Sum of Team Performance" fld="68" baseField="21" baseItem="1"/>
    <dataField name="Sum of Bottle Orientor" fld="69" baseField="0" baseItem="0"/>
    <dataField name="Sum of Labeler" fld="70" baseField="0" baseItem="0"/>
    <dataField name="Sum of Wash" fld="71" baseField="21" baseItem="1"/>
    <dataField name="Sum of Case Packer" fld="72" baseField="0" baseItem="0"/>
    <dataField name="Sum of Partitioner" fld="73" baseField="21" baseItem="1"/>
    <dataField name="Sum of Case Erector" fld="74" baseField="0" baseItem="0"/>
    <dataField name="Sum of APM" fld="75" baseField="0" baseItem="0"/>
    <dataField name="Sum of Case Line" fld="76" baseField="21" baseItem="1"/>
    <dataField name="Sum of State Code" fld="77" baseField="0" baseItem="0"/>
    <dataField name="Sum of Case Printer" fld="78" baseField="21" baseItem="1"/>
    <dataField name="Sum of Laser Dater" fld="79" baseField="21" baseItem="1"/>
    <dataField name="Sum of Other" fld="80" baseField="0" baseItem="0"/>
  </dataFields>
  <formats count="1">
    <format dxfId="40">
      <pivotArea dataOnly="0" labelOnly="1" outline="0" fieldPosition="0">
        <references count="1">
          <reference field="4294967294" count="2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9" type="yesterday" evalOrder="-1" id="1">
      <autoFilter ref="A1">
        <filterColumn colId="0">
          <dynamicFilter type="yesterday" val="44938" maxVal="44939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432BA-DD56-4538-BA06-58C803982EB1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J80:K89" firstHeaderRow="1" firstDataRow="1" firstDataCol="1"/>
  <pivotFields count="2"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s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BD7CB-95CB-4424-8D0C-49CC7DC14007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Date">
  <location ref="B21:AE29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axis="axisRow" numFmtId="14" showAll="0">
      <items count="30">
        <item h="1" m="1" x="16"/>
        <item h="1" m="1" x="12"/>
        <item h="1" m="1" x="21"/>
        <item h="1" m="1" x="6"/>
        <item h="1" x="4"/>
        <item h="1" m="1" x="14"/>
        <item h="1" m="1" x="25"/>
        <item h="1" m="1" x="10"/>
        <item h="1" m="1" x="22"/>
        <item h="1" m="1" x="7"/>
        <item h="1" m="1" x="15"/>
        <item h="1" m="1" x="26"/>
        <item h="1" m="1" x="11"/>
        <item h="1" m="1" x="20"/>
        <item h="1" m="1" x="5"/>
        <item h="1" m="1" x="13"/>
        <item h="1" m="1" x="24"/>
        <item h="1" m="1" x="9"/>
        <item h="1" m="1" x="19"/>
        <item h="1" m="1" x="23"/>
        <item h="1" m="1" x="8"/>
        <item h="1" m="1" x="18"/>
        <item h="1" m="1" x="28"/>
        <item h="1" m="1" x="17"/>
        <item h="1" m="1" x="27"/>
        <item h="1" x="0"/>
        <item h="1" x="1"/>
        <item h="1" x="2"/>
        <item x="3"/>
        <item t="default"/>
      </items>
    </pivotField>
    <pivotField showAll="0"/>
    <pivotField axis="axisRow" showAll="0">
      <items count="10">
        <item x="1"/>
        <item x="0"/>
        <item x="2"/>
        <item x="5"/>
        <item m="1" x="8"/>
        <item x="3"/>
        <item x="4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2">
    <field x="19"/>
    <field x="21"/>
  </rowFields>
  <rowItems count="8">
    <i>
      <x v="28"/>
    </i>
    <i r="1">
      <x/>
    </i>
    <i r="1">
      <x v="1"/>
    </i>
    <i r="1">
      <x v="2"/>
    </i>
    <i r="1">
      <x v="5"/>
    </i>
    <i r="1">
      <x v="6"/>
    </i>
    <i r="1">
      <x v="8"/>
    </i>
    <i t="grand">
      <x/>
    </i>
  </rowItems>
  <colFields count="1">
    <field x="-2"/>
  </colFields>
  <colItems count="2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</colItems>
  <dataFields count="29">
    <dataField name="Sum of Fill Height/Cap Detector" fld="52" baseField="0" baseItem="0"/>
    <dataField name="Sum of FCS" fld="53" baseField="21" baseItem="1"/>
    <dataField name="Sum of Proc.-Tk Chg" fld="54" baseField="0" baseItem="0"/>
    <dataField name="Sum of Manning/    Supplies" fld="55" baseField="0" baseItem="0"/>
    <dataField name="Sum of Foam" fld="56" baseField="21" baseItem="1"/>
    <dataField name="Sum of Proof Cks     /Lab" fld="57" baseField="21" baseItem="1"/>
    <dataField name="Sum of Vision System" fld="58" baseField="0" baseItem="0"/>
    <dataField name="Sum of QA External" fld="59" baseField="0" baseItem="0"/>
    <dataField name="Sum of QA Internal" fld="60" baseField="0" baseItem="0"/>
    <dataField name="Sum of Pal/Depal" fld="61" baseField="0" baseItem="0"/>
    <dataField name="Sum of Unloader" fld="62" baseField="0" baseItem="0"/>
    <dataField name="Sum of Bulk Unloader" fld="63" baseField="0" baseItem="0"/>
    <dataField name="Sum of Cleaner" fld="64" baseField="0" baseItem="0"/>
    <dataField name="Sum of Filler" fld="65" baseField="0" baseItem="0"/>
    <dataField name="Sum of Capper" fld="66" baseField="0" baseItem="0"/>
    <dataField name="Sum of Checkweigher/Taper" fld="67" baseField="0" baseItem="0"/>
    <dataField name="Sum of Team Performance" fld="68" baseField="21" baseItem="1"/>
    <dataField name="Sum of Bottle Orientor" fld="69" baseField="0" baseItem="0"/>
    <dataField name="Sum of Labeler" fld="70" baseField="0" baseItem="0"/>
    <dataField name="Sum of Wash" fld="71" baseField="21" baseItem="1"/>
    <dataField name="Sum of Case Packer" fld="72" baseField="0" baseItem="0"/>
    <dataField name="Sum of Partitioner" fld="73" baseField="21" baseItem="1"/>
    <dataField name="Sum of Case Erector" fld="74" baseField="0" baseItem="0"/>
    <dataField name="Sum of APM" fld="75" baseField="0" baseItem="0"/>
    <dataField name="Sum of Case Line" fld="76" baseField="21" baseItem="1"/>
    <dataField name="Sum of State Code" fld="77" baseField="0" baseItem="0"/>
    <dataField name="Sum of Case Printer" fld="78" baseField="21" baseItem="1"/>
    <dataField name="Sum of Laser Dater" fld="79" baseField="21" baseItem="1"/>
    <dataField name="Sum of Other" fld="80" baseField="0" baseItem="0"/>
  </dataFields>
  <formats count="1">
    <format dxfId="41">
      <pivotArea dataOnly="0" labelOnly="1" outline="0" fieldPosition="0">
        <references count="1">
          <reference field="4294967294" count="2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DAB96-9BE6-4D1C-A62A-4F1D6280873E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Line">
  <location ref="B3:D11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/>
    <pivotField axis="axisRow" showAll="0">
      <items count="10">
        <item x="1"/>
        <item x="0"/>
        <item x="2"/>
        <item x="5"/>
        <item m="1" x="8"/>
        <item x="3"/>
        <item x="4"/>
        <item h="1" x="7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Cases" fld="26" baseField="0" baseItem="0"/>
    <dataField name="Exp. Cases" fld="35" baseField="0" baseItem="0"/>
  </dataFields>
  <formats count="7">
    <format dxfId="48">
      <pivotArea outline="0" collapsedLevelsAreSubtotals="1" fieldPosition="0"/>
    </format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21" type="button" dataOnly="0" labelOnly="1" outline="0" axis="axisRow" fieldPosition="0"/>
    </format>
    <format dxfId="44">
      <pivotArea dataOnly="0" labelOnly="1" fieldPosition="0">
        <references count="1">
          <reference field="21" count="0"/>
        </references>
      </pivotArea>
    </format>
    <format dxfId="43">
      <pivotArea dataOnly="0" labelOnly="1" grandRow="1" outline="0" fieldPosition="0"/>
    </format>
    <format dxfId="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01B1-5664-4C63-8AED-2150F56E91EC}">
  <sheetPr codeName="Sheet4">
    <pageSetUpPr autoPageBreaks="0"/>
  </sheetPr>
  <dimension ref="A1:K71"/>
  <sheetViews>
    <sheetView showGridLines="0" tabSelected="1" zoomScale="110" zoomScaleNormal="110" workbookViewId="0">
      <selection sqref="A1:B1"/>
    </sheetView>
  </sheetViews>
  <sheetFormatPr defaultColWidth="8.85546875" defaultRowHeight="15" x14ac:dyDescent="0.25"/>
  <cols>
    <col min="1" max="1" width="5.7109375" style="58" customWidth="1"/>
    <col min="2" max="2" width="7.140625" style="58" customWidth="1"/>
    <col min="3" max="5" width="11.140625" style="58" customWidth="1"/>
    <col min="6" max="6" width="2.28515625" style="58" customWidth="1"/>
    <col min="7" max="9" width="11.140625" style="58" customWidth="1"/>
    <col min="10" max="10" width="11" style="58" customWidth="1"/>
    <col min="11" max="11" width="25.7109375" style="58" customWidth="1"/>
    <col min="12" max="12" width="6.28515625" style="58" customWidth="1"/>
    <col min="13" max="16384" width="8.85546875" style="58"/>
  </cols>
  <sheetData>
    <row r="1" spans="1:11" x14ac:dyDescent="0.25">
      <c r="A1" s="178" t="s">
        <v>0</v>
      </c>
      <c r="B1" s="178"/>
      <c r="C1" s="181" t="s">
        <v>198</v>
      </c>
      <c r="D1" s="181"/>
    </row>
    <row r="2" spans="1:11" x14ac:dyDescent="0.25">
      <c r="A2" s="178" t="s">
        <v>177</v>
      </c>
      <c r="B2" s="178"/>
      <c r="C2" s="182">
        <f ca="1">TODAY()</f>
        <v>45015</v>
      </c>
      <c r="D2" s="182"/>
      <c r="G2" s="183" t="s">
        <v>182</v>
      </c>
      <c r="H2" s="184"/>
      <c r="I2" s="184"/>
      <c r="J2" s="185"/>
    </row>
    <row r="3" spans="1:11" x14ac:dyDescent="0.25">
      <c r="A3" s="179" t="s">
        <v>1</v>
      </c>
      <c r="B3" s="179"/>
      <c r="C3" s="186" t="s">
        <v>108</v>
      </c>
      <c r="D3" s="187"/>
      <c r="G3" s="85">
        <f>VLOOKUP($C$3,Totals!$B$3:$C$12,2,0)</f>
        <v>68218</v>
      </c>
      <c r="H3" s="188" t="s">
        <v>4</v>
      </c>
      <c r="I3" s="188"/>
      <c r="J3" s="189"/>
    </row>
    <row r="4" spans="1:11" x14ac:dyDescent="0.25">
      <c r="C4" s="120"/>
      <c r="D4" s="120"/>
      <c r="G4" s="86">
        <f>VLOOKUP($C$3,Totals!$E$3:$F$12,2,0)</f>
        <v>162086</v>
      </c>
      <c r="H4" s="190" t="s">
        <v>5</v>
      </c>
      <c r="I4" s="190"/>
      <c r="J4" s="191"/>
    </row>
    <row r="5" spans="1:11" x14ac:dyDescent="0.25">
      <c r="A5" s="180" t="s">
        <v>13</v>
      </c>
      <c r="B5" s="180"/>
      <c r="C5" s="89" t="s">
        <v>14</v>
      </c>
      <c r="D5" s="90" t="s">
        <v>15</v>
      </c>
      <c r="E5" s="104" t="s">
        <v>16</v>
      </c>
      <c r="G5"/>
      <c r="H5"/>
      <c r="I5"/>
      <c r="J5"/>
    </row>
    <row r="6" spans="1:11" x14ac:dyDescent="0.25">
      <c r="A6" s="180"/>
      <c r="B6" s="180"/>
      <c r="C6" s="87">
        <f>VLOOKUP($C$3,Totals!$V$48:$Y$57,2,0)</f>
        <v>4</v>
      </c>
      <c r="D6" s="82">
        <f>VLOOKUP($C$3,Totals!$V$48:$Y$57,3,0)</f>
        <v>4</v>
      </c>
      <c r="E6" s="105">
        <f>VLOOKUP($C$3,Totals!$V$48:$Y$57,4,0)</f>
        <v>3</v>
      </c>
    </row>
    <row r="7" spans="1:11" x14ac:dyDescent="0.25">
      <c r="H7" s="109" t="s">
        <v>6</v>
      </c>
      <c r="I7" s="110">
        <f>G3/G4</f>
        <v>0.42087533778364572</v>
      </c>
    </row>
    <row r="8" spans="1:11" x14ac:dyDescent="0.25">
      <c r="A8" s="180" t="s">
        <v>2</v>
      </c>
      <c r="B8" s="180"/>
      <c r="C8" s="89" t="s">
        <v>180</v>
      </c>
      <c r="D8" s="103" t="s">
        <v>152</v>
      </c>
      <c r="E8" s="96" t="s">
        <v>28</v>
      </c>
      <c r="H8" s="68" t="s">
        <v>7</v>
      </c>
      <c r="I8" s="67">
        <v>1</v>
      </c>
    </row>
    <row r="9" spans="1:11" x14ac:dyDescent="0.25">
      <c r="A9" s="180"/>
      <c r="B9" s="180"/>
      <c r="C9" s="92">
        <f>IFERROR(VLOOKUP($C$3,Totals!$L$3:$N$12,2,0),0)</f>
        <v>17.232939429561345</v>
      </c>
      <c r="D9" s="93">
        <f>IFERROR(VLOOKUP($C$3,Totals!$L$3:$N$12,3,0),0)</f>
        <v>33.771287128712871</v>
      </c>
      <c r="E9" s="94">
        <f>IFERROR(VLOOKUP(Overall!$C$3,Totals!$P$4:$Y$13,10,0),0)</f>
        <v>30.623581856363614</v>
      </c>
      <c r="H9" s="60"/>
      <c r="I9" s="60"/>
    </row>
    <row r="14" spans="1:11" x14ac:dyDescent="0.25">
      <c r="K14" s="60"/>
    </row>
    <row r="15" spans="1:11" x14ac:dyDescent="0.25">
      <c r="K15" s="60"/>
    </row>
    <row r="16" spans="1:11" x14ac:dyDescent="0.25">
      <c r="I16" s="60"/>
      <c r="J16" s="60"/>
      <c r="K16" s="60"/>
    </row>
    <row r="17" spans="1:11" x14ac:dyDescent="0.25">
      <c r="I17" s="60"/>
      <c r="J17" s="60"/>
      <c r="K17" s="60"/>
    </row>
    <row r="18" spans="1:11" x14ac:dyDescent="0.25">
      <c r="I18" s="60"/>
      <c r="J18" s="60"/>
      <c r="K18" s="60"/>
    </row>
    <row r="21" spans="1:11" x14ac:dyDescent="0.25">
      <c r="A21" s="21"/>
      <c r="B21" s="21"/>
      <c r="C21" s="21"/>
      <c r="D21" s="21"/>
      <c r="E21" s="21"/>
      <c r="F21" s="21"/>
    </row>
    <row r="23" spans="1:11" x14ac:dyDescent="0.25">
      <c r="G23" s="183" t="s">
        <v>186</v>
      </c>
      <c r="H23" s="184"/>
      <c r="I23" s="184"/>
      <c r="J23" s="185"/>
    </row>
    <row r="24" spans="1:11" x14ac:dyDescent="0.25">
      <c r="G24" s="85">
        <f>Totals!D15</f>
        <v>453106</v>
      </c>
      <c r="H24" s="188" t="s">
        <v>4</v>
      </c>
      <c r="I24" s="188"/>
      <c r="J24" s="189"/>
    </row>
    <row r="25" spans="1:11" x14ac:dyDescent="0.25">
      <c r="G25" s="86">
        <f>Totals!D14</f>
        <v>590963</v>
      </c>
      <c r="H25" s="190" t="s">
        <v>5</v>
      </c>
      <c r="I25" s="190"/>
      <c r="J25" s="191"/>
    </row>
    <row r="26" spans="1:11" x14ac:dyDescent="0.25">
      <c r="G26"/>
      <c r="H26"/>
      <c r="I26"/>
      <c r="J26"/>
    </row>
    <row r="28" spans="1:11" x14ac:dyDescent="0.25">
      <c r="H28" s="109" t="s">
        <v>6</v>
      </c>
      <c r="I28" s="110">
        <f>G24/G25</f>
        <v>0.76672482033562173</v>
      </c>
    </row>
    <row r="29" spans="1:11" x14ac:dyDescent="0.25">
      <c r="H29" s="68" t="s">
        <v>7</v>
      </c>
      <c r="I29" s="67">
        <v>1</v>
      </c>
    </row>
    <row r="33" spans="1:11" x14ac:dyDescent="0.25">
      <c r="A33" s="181" t="s">
        <v>10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</row>
    <row r="34" spans="1:11" x14ac:dyDescent="0.25">
      <c r="A34" s="89" t="s">
        <v>1</v>
      </c>
      <c r="B34" s="90" t="s">
        <v>46</v>
      </c>
      <c r="C34" s="90" t="s">
        <v>45</v>
      </c>
      <c r="D34" s="90" t="s">
        <v>155</v>
      </c>
      <c r="E34" s="90" t="s">
        <v>156</v>
      </c>
      <c r="F34" s="114"/>
      <c r="G34" s="148" t="s">
        <v>157</v>
      </c>
      <c r="H34" s="90" t="s">
        <v>183</v>
      </c>
      <c r="I34" s="90" t="s">
        <v>158</v>
      </c>
      <c r="J34" s="90" t="s">
        <v>178</v>
      </c>
      <c r="K34" s="115" t="s">
        <v>184</v>
      </c>
    </row>
    <row r="35" spans="1:11" x14ac:dyDescent="0.25">
      <c r="A35" s="69">
        <v>3</v>
      </c>
      <c r="B35" s="149" t="s">
        <v>18</v>
      </c>
      <c r="C35" s="71">
        <v>45011</v>
      </c>
      <c r="D35" s="98">
        <v>419160</v>
      </c>
      <c r="E35" s="73" t="s">
        <v>200</v>
      </c>
      <c r="F35" s="158"/>
      <c r="G35" s="159">
        <v>163840</v>
      </c>
      <c r="H35" s="117">
        <v>130000</v>
      </c>
      <c r="I35" s="117">
        <v>33840</v>
      </c>
      <c r="J35" s="75" t="s">
        <v>201</v>
      </c>
      <c r="K35" s="64"/>
    </row>
    <row r="36" spans="1:11" x14ac:dyDescent="0.25">
      <c r="A36" s="69">
        <v>3</v>
      </c>
      <c r="B36" s="149" t="s">
        <v>18</v>
      </c>
      <c r="C36" s="71">
        <v>45012</v>
      </c>
      <c r="D36" s="98">
        <v>419153</v>
      </c>
      <c r="E36" s="73" t="s">
        <v>200</v>
      </c>
      <c r="F36" s="154"/>
      <c r="G36" s="155">
        <v>108257</v>
      </c>
      <c r="H36" s="117">
        <v>100000</v>
      </c>
      <c r="I36" s="117">
        <v>8257</v>
      </c>
      <c r="J36" s="75" t="s">
        <v>201</v>
      </c>
      <c r="K36" s="64"/>
    </row>
    <row r="37" spans="1:11" x14ac:dyDescent="0.25">
      <c r="A37" s="69">
        <v>3</v>
      </c>
      <c r="B37" s="149" t="s">
        <v>16</v>
      </c>
      <c r="C37" s="71">
        <v>45012</v>
      </c>
      <c r="D37" s="98">
        <v>419154</v>
      </c>
      <c r="E37" s="73" t="s">
        <v>200</v>
      </c>
      <c r="F37" s="154"/>
      <c r="G37" s="155">
        <v>103883</v>
      </c>
      <c r="H37" s="117">
        <v>62500</v>
      </c>
      <c r="I37" s="117">
        <v>41383</v>
      </c>
      <c r="J37" s="75" t="s">
        <v>212</v>
      </c>
      <c r="K37" s="64"/>
    </row>
    <row r="38" spans="1:11" x14ac:dyDescent="0.25">
      <c r="A38" s="69">
        <v>10</v>
      </c>
      <c r="B38" s="149" t="s">
        <v>16</v>
      </c>
      <c r="C38" s="71">
        <v>45012</v>
      </c>
      <c r="D38" s="98">
        <v>425872</v>
      </c>
      <c r="E38" s="73" t="s">
        <v>209</v>
      </c>
      <c r="F38" s="154"/>
      <c r="G38" s="155">
        <v>46414</v>
      </c>
      <c r="H38" s="117">
        <v>33540</v>
      </c>
      <c r="I38" s="117">
        <v>12874</v>
      </c>
      <c r="J38" s="75" t="s">
        <v>213</v>
      </c>
      <c r="K38" s="64"/>
    </row>
    <row r="39" spans="1:11" x14ac:dyDescent="0.25">
      <c r="A39" s="69">
        <v>12</v>
      </c>
      <c r="B39" s="149" t="s">
        <v>16</v>
      </c>
      <c r="C39" s="71">
        <v>45012</v>
      </c>
      <c r="D39" s="98">
        <v>417600</v>
      </c>
      <c r="E39" s="73" t="s">
        <v>210</v>
      </c>
      <c r="F39" s="154"/>
      <c r="G39" s="155">
        <v>7092</v>
      </c>
      <c r="H39" s="117">
        <v>0</v>
      </c>
      <c r="I39" s="117">
        <v>7092</v>
      </c>
      <c r="J39" s="75" t="s">
        <v>214</v>
      </c>
      <c r="K39" s="64"/>
    </row>
    <row r="40" spans="1:11" x14ac:dyDescent="0.25">
      <c r="A40" s="69">
        <v>12</v>
      </c>
      <c r="B40" s="149" t="s">
        <v>16</v>
      </c>
      <c r="C40" s="71">
        <v>45012</v>
      </c>
      <c r="D40" s="98">
        <v>417600</v>
      </c>
      <c r="E40" s="73" t="s">
        <v>211</v>
      </c>
      <c r="F40" s="154"/>
      <c r="G40" s="155">
        <v>7304</v>
      </c>
      <c r="H40" s="117">
        <v>10100</v>
      </c>
      <c r="I40" s="117">
        <v>-2796</v>
      </c>
      <c r="J40" s="75" t="s">
        <v>215</v>
      </c>
      <c r="K40" s="64"/>
    </row>
    <row r="41" spans="1:11" x14ac:dyDescent="0.25">
      <c r="A41" s="69">
        <v>1</v>
      </c>
      <c r="B41" s="149" t="s">
        <v>16</v>
      </c>
      <c r="C41" s="71">
        <v>45013</v>
      </c>
      <c r="D41" s="98">
        <v>415762</v>
      </c>
      <c r="E41" s="73" t="s">
        <v>217</v>
      </c>
      <c r="F41" s="154"/>
      <c r="G41" s="155">
        <v>2006</v>
      </c>
      <c r="H41" s="117">
        <v>0</v>
      </c>
      <c r="I41" s="117">
        <v>2006</v>
      </c>
      <c r="J41" s="75"/>
      <c r="K41" s="64"/>
    </row>
    <row r="42" spans="1:11" x14ac:dyDescent="0.25">
      <c r="A42" s="69">
        <v>1</v>
      </c>
      <c r="B42" s="149" t="s">
        <v>16</v>
      </c>
      <c r="C42" s="71">
        <v>45013</v>
      </c>
      <c r="D42" s="98">
        <v>415762</v>
      </c>
      <c r="E42" s="73" t="s">
        <v>218</v>
      </c>
      <c r="F42" s="154"/>
      <c r="G42" s="155">
        <v>1981</v>
      </c>
      <c r="H42" s="117">
        <v>0</v>
      </c>
      <c r="I42" s="117">
        <v>1981</v>
      </c>
      <c r="J42" s="75" t="s">
        <v>220</v>
      </c>
      <c r="K42" s="64" t="s">
        <v>224</v>
      </c>
    </row>
    <row r="43" spans="1:11" x14ac:dyDescent="0.25">
      <c r="A43" s="69">
        <v>3</v>
      </c>
      <c r="B43" s="149" t="s">
        <v>16</v>
      </c>
      <c r="C43" s="71">
        <v>45013</v>
      </c>
      <c r="D43" s="98">
        <v>419155</v>
      </c>
      <c r="E43" s="73" t="s">
        <v>200</v>
      </c>
      <c r="F43" s="154"/>
      <c r="G43" s="155">
        <v>101043</v>
      </c>
      <c r="H43" s="117">
        <v>110000</v>
      </c>
      <c r="I43" s="117">
        <v>-8957</v>
      </c>
      <c r="J43" s="75" t="s">
        <v>221</v>
      </c>
      <c r="K43" s="64"/>
    </row>
    <row r="44" spans="1:11" x14ac:dyDescent="0.25">
      <c r="A44" s="69">
        <v>3</v>
      </c>
      <c r="B44" s="149" t="s">
        <v>18</v>
      </c>
      <c r="C44" s="71">
        <v>45013</v>
      </c>
      <c r="D44" s="98">
        <v>419156</v>
      </c>
      <c r="E44" s="73" t="s">
        <v>200</v>
      </c>
      <c r="F44" s="154"/>
      <c r="G44" s="155">
        <v>139761</v>
      </c>
      <c r="H44" s="117">
        <v>90000</v>
      </c>
      <c r="I44" s="117">
        <v>49761</v>
      </c>
      <c r="J44" s="75" t="s">
        <v>222</v>
      </c>
      <c r="K44" s="64"/>
    </row>
    <row r="45" spans="1:11" x14ac:dyDescent="0.25">
      <c r="A45" s="69">
        <v>10</v>
      </c>
      <c r="B45" s="149" t="s">
        <v>16</v>
      </c>
      <c r="C45" s="71">
        <v>45013</v>
      </c>
      <c r="D45" s="98">
        <v>417516</v>
      </c>
      <c r="E45" s="73" t="s">
        <v>219</v>
      </c>
      <c r="F45" s="154"/>
      <c r="G45" s="155">
        <v>82405</v>
      </c>
      <c r="H45" s="117">
        <v>88639</v>
      </c>
      <c r="I45" s="117">
        <v>-6234</v>
      </c>
      <c r="J45" s="75" t="s">
        <v>223</v>
      </c>
      <c r="K45" s="64"/>
    </row>
    <row r="46" spans="1:11" x14ac:dyDescent="0.25">
      <c r="A46" s="69">
        <v>1</v>
      </c>
      <c r="B46" s="149" t="s">
        <v>232</v>
      </c>
      <c r="C46" s="71">
        <v>45014</v>
      </c>
      <c r="D46" s="98">
        <v>413422</v>
      </c>
      <c r="E46" s="73" t="s">
        <v>233</v>
      </c>
      <c r="F46" s="154"/>
      <c r="G46" s="155">
        <v>5242</v>
      </c>
      <c r="H46" s="117">
        <v>3000</v>
      </c>
      <c r="I46" s="117">
        <v>2242</v>
      </c>
      <c r="J46" s="75" t="s">
        <v>239</v>
      </c>
      <c r="K46" s="64"/>
    </row>
    <row r="47" spans="1:11" x14ac:dyDescent="0.25">
      <c r="A47" s="69">
        <v>1</v>
      </c>
      <c r="B47" s="149" t="s">
        <v>18</v>
      </c>
      <c r="C47" s="71">
        <v>45014</v>
      </c>
      <c r="D47" s="98">
        <v>415762</v>
      </c>
      <c r="E47" s="73" t="s">
        <v>234</v>
      </c>
      <c r="F47" s="154"/>
      <c r="G47" s="155">
        <v>5092</v>
      </c>
      <c r="H47" s="117">
        <v>900</v>
      </c>
      <c r="I47" s="117">
        <v>4192</v>
      </c>
      <c r="J47" s="75" t="s">
        <v>240</v>
      </c>
      <c r="K47" s="64"/>
    </row>
    <row r="48" spans="1:11" x14ac:dyDescent="0.25">
      <c r="A48" s="69">
        <v>1</v>
      </c>
      <c r="B48" s="149" t="s">
        <v>18</v>
      </c>
      <c r="C48" s="71">
        <v>45014</v>
      </c>
      <c r="D48" s="98">
        <v>415762</v>
      </c>
      <c r="E48" s="73" t="s">
        <v>218</v>
      </c>
      <c r="F48" s="154"/>
      <c r="G48" s="155">
        <v>820</v>
      </c>
      <c r="H48" s="117">
        <v>8</v>
      </c>
      <c r="I48" s="117">
        <v>812</v>
      </c>
      <c r="J48" s="75" t="s">
        <v>240</v>
      </c>
      <c r="K48" s="64" t="s">
        <v>224</v>
      </c>
    </row>
    <row r="49" spans="1:11" x14ac:dyDescent="0.25">
      <c r="A49" s="69">
        <v>3</v>
      </c>
      <c r="B49" s="149" t="s">
        <v>18</v>
      </c>
      <c r="C49" s="71">
        <v>45014</v>
      </c>
      <c r="D49" s="98">
        <v>419157</v>
      </c>
      <c r="E49" s="73" t="s">
        <v>200</v>
      </c>
      <c r="F49" s="154"/>
      <c r="G49" s="155">
        <v>44226</v>
      </c>
      <c r="H49" s="117">
        <v>35000</v>
      </c>
      <c r="I49" s="117">
        <v>9226</v>
      </c>
      <c r="J49" s="75" t="s">
        <v>201</v>
      </c>
      <c r="K49" s="64"/>
    </row>
    <row r="50" spans="1:11" x14ac:dyDescent="0.25">
      <c r="A50" s="69">
        <v>3</v>
      </c>
      <c r="B50" s="149" t="s">
        <v>18</v>
      </c>
      <c r="C50" s="71">
        <v>45014</v>
      </c>
      <c r="D50" s="98">
        <v>419157</v>
      </c>
      <c r="E50" s="73" t="s">
        <v>235</v>
      </c>
      <c r="F50" s="154"/>
      <c r="G50" s="155">
        <v>44991</v>
      </c>
      <c r="H50" s="117">
        <v>53520</v>
      </c>
      <c r="I50" s="117">
        <v>-8529</v>
      </c>
      <c r="J50" s="75" t="s">
        <v>215</v>
      </c>
      <c r="K50" s="64"/>
    </row>
    <row r="51" spans="1:11" x14ac:dyDescent="0.25">
      <c r="A51" s="69">
        <v>3</v>
      </c>
      <c r="B51" s="149" t="s">
        <v>18</v>
      </c>
      <c r="C51" s="71">
        <v>45014</v>
      </c>
      <c r="D51" s="98">
        <v>419157</v>
      </c>
      <c r="E51" s="73" t="s">
        <v>236</v>
      </c>
      <c r="F51" s="154"/>
      <c r="G51" s="155">
        <v>44991</v>
      </c>
      <c r="H51" s="117">
        <v>48400</v>
      </c>
      <c r="I51" s="117">
        <v>-3409</v>
      </c>
      <c r="J51" s="75" t="s">
        <v>215</v>
      </c>
      <c r="K51" s="64"/>
    </row>
    <row r="52" spans="1:11" x14ac:dyDescent="0.25">
      <c r="A52" s="69">
        <v>3</v>
      </c>
      <c r="B52" s="149" t="s">
        <v>18</v>
      </c>
      <c r="C52" s="71">
        <v>45014</v>
      </c>
      <c r="D52" s="98">
        <v>419157</v>
      </c>
      <c r="E52" s="73" t="s">
        <v>237</v>
      </c>
      <c r="F52" s="154"/>
      <c r="G52" s="155">
        <v>44991</v>
      </c>
      <c r="H52" s="117">
        <v>48410</v>
      </c>
      <c r="I52" s="117">
        <v>-3419</v>
      </c>
      <c r="J52" s="75" t="s">
        <v>215</v>
      </c>
      <c r="K52" s="64"/>
    </row>
    <row r="53" spans="1:11" x14ac:dyDescent="0.25">
      <c r="A53" s="69">
        <v>10</v>
      </c>
      <c r="B53" s="149" t="s">
        <v>232</v>
      </c>
      <c r="C53" s="71">
        <v>45014</v>
      </c>
      <c r="D53" s="98">
        <v>425332</v>
      </c>
      <c r="E53" s="73" t="s">
        <v>238</v>
      </c>
      <c r="F53" s="154"/>
      <c r="G53" s="155">
        <v>477</v>
      </c>
      <c r="H53" s="117">
        <v>1391</v>
      </c>
      <c r="I53" s="117">
        <v>-914</v>
      </c>
      <c r="J53" s="75" t="s">
        <v>241</v>
      </c>
      <c r="K53" s="64"/>
    </row>
    <row r="54" spans="1:11" x14ac:dyDescent="0.25">
      <c r="A54" s="69">
        <v>12</v>
      </c>
      <c r="B54" s="149" t="s">
        <v>18</v>
      </c>
      <c r="C54" s="71">
        <v>45014</v>
      </c>
      <c r="D54" s="98">
        <v>417611</v>
      </c>
      <c r="E54" s="73" t="s">
        <v>210</v>
      </c>
      <c r="F54" s="154"/>
      <c r="G54" s="155">
        <v>100686</v>
      </c>
      <c r="H54" s="117">
        <v>34615</v>
      </c>
      <c r="I54" s="117">
        <v>66071</v>
      </c>
      <c r="J54" s="75" t="s">
        <v>214</v>
      </c>
      <c r="K54" s="64"/>
    </row>
    <row r="55" spans="1:11" x14ac:dyDescent="0.25">
      <c r="A55" s="69"/>
      <c r="B55" s="149"/>
      <c r="C55" s="71"/>
      <c r="D55" s="98"/>
      <c r="E55" s="73"/>
      <c r="F55" s="154"/>
      <c r="G55" s="155"/>
      <c r="H55" s="117"/>
      <c r="I55" s="117"/>
      <c r="J55" s="75"/>
      <c r="K55" s="64"/>
    </row>
    <row r="56" spans="1:11" x14ac:dyDescent="0.25">
      <c r="A56" s="69"/>
      <c r="B56" s="149"/>
      <c r="C56" s="71"/>
      <c r="D56" s="98"/>
      <c r="E56" s="73"/>
      <c r="F56" s="154"/>
      <c r="G56" s="155"/>
      <c r="H56" s="117"/>
      <c r="I56" s="117"/>
      <c r="J56" s="75"/>
      <c r="K56" s="64"/>
    </row>
    <row r="57" spans="1:11" x14ac:dyDescent="0.25">
      <c r="A57" s="69"/>
      <c r="B57" s="149"/>
      <c r="C57" s="71"/>
      <c r="D57" s="98"/>
      <c r="E57" s="73"/>
      <c r="F57" s="154"/>
      <c r="G57" s="155"/>
      <c r="H57" s="117"/>
      <c r="I57" s="117"/>
      <c r="J57" s="75"/>
      <c r="K57" s="64"/>
    </row>
    <row r="58" spans="1:11" x14ac:dyDescent="0.25">
      <c r="A58" s="69"/>
      <c r="B58" s="149"/>
      <c r="C58" s="71"/>
      <c r="D58" s="98"/>
      <c r="E58" s="73"/>
      <c r="F58" s="154"/>
      <c r="G58" s="155"/>
      <c r="H58" s="117"/>
      <c r="I58" s="117"/>
      <c r="J58" s="75"/>
      <c r="K58" s="64"/>
    </row>
    <row r="59" spans="1:11" x14ac:dyDescent="0.25">
      <c r="A59" s="69"/>
      <c r="B59" s="149"/>
      <c r="C59" s="71"/>
      <c r="D59" s="98"/>
      <c r="E59" s="73"/>
      <c r="F59" s="154"/>
      <c r="G59" s="155"/>
      <c r="H59" s="117"/>
      <c r="I59" s="117"/>
      <c r="J59" s="75"/>
      <c r="K59" s="64"/>
    </row>
    <row r="60" spans="1:11" x14ac:dyDescent="0.25">
      <c r="A60" s="69"/>
      <c r="B60" s="149"/>
      <c r="C60" s="71"/>
      <c r="D60" s="98"/>
      <c r="E60" s="73"/>
      <c r="F60" s="154"/>
      <c r="G60" s="155"/>
      <c r="H60" s="117"/>
      <c r="I60" s="117"/>
      <c r="J60" s="75"/>
      <c r="K60" s="64"/>
    </row>
    <row r="61" spans="1:11" x14ac:dyDescent="0.25">
      <c r="A61" s="69"/>
      <c r="B61" s="149"/>
      <c r="C61" s="71"/>
      <c r="D61" s="98"/>
      <c r="E61" s="73"/>
      <c r="F61" s="154"/>
      <c r="G61" s="155"/>
      <c r="H61" s="117"/>
      <c r="I61" s="117"/>
      <c r="J61" s="75"/>
      <c r="K61" s="64"/>
    </row>
    <row r="62" spans="1:11" x14ac:dyDescent="0.25">
      <c r="A62" s="69"/>
      <c r="B62" s="149"/>
      <c r="C62" s="71"/>
      <c r="D62" s="98"/>
      <c r="E62" s="73"/>
      <c r="F62" s="154"/>
      <c r="G62" s="155"/>
      <c r="H62" s="117"/>
      <c r="I62" s="117"/>
      <c r="J62" s="75"/>
      <c r="K62" s="64"/>
    </row>
    <row r="63" spans="1:11" x14ac:dyDescent="0.25">
      <c r="A63" s="69"/>
      <c r="B63" s="149"/>
      <c r="C63" s="71"/>
      <c r="D63" s="98"/>
      <c r="E63" s="73"/>
      <c r="F63" s="154"/>
      <c r="G63" s="155"/>
      <c r="H63" s="117"/>
      <c r="I63" s="117"/>
      <c r="J63" s="75"/>
      <c r="K63" s="64"/>
    </row>
    <row r="64" spans="1:11" x14ac:dyDescent="0.25">
      <c r="A64" s="69"/>
      <c r="B64" s="149"/>
      <c r="C64" s="71"/>
      <c r="D64" s="98"/>
      <c r="E64" s="73"/>
      <c r="F64" s="154"/>
      <c r="G64" s="155"/>
      <c r="H64" s="117"/>
      <c r="I64" s="117"/>
      <c r="J64" s="75"/>
      <c r="K64" s="64"/>
    </row>
    <row r="65" spans="1:11" x14ac:dyDescent="0.25">
      <c r="A65" s="69"/>
      <c r="B65" s="149"/>
      <c r="C65" s="71"/>
      <c r="D65" s="98"/>
      <c r="E65" s="73"/>
      <c r="F65" s="154"/>
      <c r="G65" s="155"/>
      <c r="H65" s="117"/>
      <c r="I65" s="117"/>
      <c r="J65" s="75"/>
      <c r="K65" s="64"/>
    </row>
    <row r="66" spans="1:11" x14ac:dyDescent="0.25">
      <c r="A66" s="69"/>
      <c r="B66" s="149"/>
      <c r="C66" s="71"/>
      <c r="D66" s="98"/>
      <c r="E66" s="73"/>
      <c r="F66" s="154"/>
      <c r="G66" s="155"/>
      <c r="H66" s="117"/>
      <c r="I66" s="117"/>
      <c r="J66" s="75"/>
      <c r="K66" s="64"/>
    </row>
    <row r="67" spans="1:11" x14ac:dyDescent="0.25">
      <c r="A67" s="69"/>
      <c r="B67" s="149"/>
      <c r="C67" s="71"/>
      <c r="D67" s="98"/>
      <c r="E67" s="73"/>
      <c r="F67" s="154"/>
      <c r="G67" s="155"/>
      <c r="H67" s="117"/>
      <c r="I67" s="117"/>
      <c r="J67" s="75"/>
      <c r="K67" s="64"/>
    </row>
    <row r="68" spans="1:11" x14ac:dyDescent="0.25">
      <c r="A68" s="69"/>
      <c r="B68" s="149"/>
      <c r="C68" s="71"/>
      <c r="D68" s="98"/>
      <c r="E68" s="73"/>
      <c r="F68" s="154"/>
      <c r="G68" s="155"/>
      <c r="H68" s="117"/>
      <c r="I68" s="117"/>
      <c r="J68" s="75"/>
      <c r="K68" s="64"/>
    </row>
    <row r="69" spans="1:11" x14ac:dyDescent="0.25">
      <c r="A69" s="69"/>
      <c r="B69" s="149"/>
      <c r="C69" s="71"/>
      <c r="D69" s="98"/>
      <c r="E69" s="73"/>
      <c r="F69" s="154"/>
      <c r="G69" s="155"/>
      <c r="H69" s="117"/>
      <c r="I69" s="117"/>
      <c r="J69" s="75"/>
      <c r="K69" s="64"/>
    </row>
    <row r="70" spans="1:11" x14ac:dyDescent="0.25">
      <c r="A70" s="69"/>
      <c r="B70" s="149"/>
      <c r="C70" s="71"/>
      <c r="D70" s="98"/>
      <c r="E70" s="73"/>
      <c r="F70" s="154"/>
      <c r="G70" s="155"/>
      <c r="H70" s="117"/>
      <c r="I70" s="117"/>
      <c r="J70" s="75"/>
      <c r="K70" s="64"/>
    </row>
    <row r="71" spans="1:11" x14ac:dyDescent="0.25">
      <c r="A71" s="70"/>
      <c r="B71" s="99"/>
      <c r="C71" s="72"/>
      <c r="D71" s="99"/>
      <c r="E71" s="74"/>
      <c r="F71" s="156"/>
      <c r="G71" s="157"/>
      <c r="H71" s="118"/>
      <c r="I71" s="118"/>
      <c r="J71" s="76"/>
      <c r="K71" s="65"/>
    </row>
  </sheetData>
  <sortState xmlns:xlrd2="http://schemas.microsoft.com/office/spreadsheetml/2017/richdata2" ref="A45:J60">
    <sortCondition ref="A45:A60"/>
    <sortCondition ref="B45:B60"/>
    <sortCondition ref="C45:C60"/>
  </sortState>
  <mergeCells count="15">
    <mergeCell ref="A33:K33"/>
    <mergeCell ref="G23:J23"/>
    <mergeCell ref="H24:J24"/>
    <mergeCell ref="H25:J25"/>
    <mergeCell ref="H4:J4"/>
    <mergeCell ref="C1:D1"/>
    <mergeCell ref="C2:D2"/>
    <mergeCell ref="G2:J2"/>
    <mergeCell ref="C3:D3"/>
    <mergeCell ref="H3:J3"/>
    <mergeCell ref="A1:B1"/>
    <mergeCell ref="A2:B2"/>
    <mergeCell ref="A3:B3"/>
    <mergeCell ref="A5:B6"/>
    <mergeCell ref="A8:B9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BFA2-C02E-4DB3-91D4-919CCAADBADD}">
  <sheetPr codeName="Sheet1">
    <pageSetUpPr autoPageBreaks="0"/>
  </sheetPr>
  <dimension ref="A1:J62"/>
  <sheetViews>
    <sheetView showGridLines="0" zoomScale="110" zoomScaleNormal="110" workbookViewId="0">
      <selection activeCell="J16" sqref="J16"/>
    </sheetView>
  </sheetViews>
  <sheetFormatPr defaultColWidth="8.85546875" defaultRowHeight="15" x14ac:dyDescent="0.25"/>
  <cols>
    <col min="1" max="1" width="12.85546875" style="58" customWidth="1"/>
    <col min="2" max="4" width="11.140625" style="58" customWidth="1"/>
    <col min="5" max="5" width="2.28515625" style="58" customWidth="1"/>
    <col min="6" max="8" width="11.140625" style="58" customWidth="1"/>
    <col min="9" max="9" width="11" style="58" customWidth="1"/>
    <col min="10" max="10" width="25.7109375" style="58" customWidth="1"/>
    <col min="11" max="11" width="6.28515625" style="58" customWidth="1"/>
    <col min="12" max="16384" width="8.85546875" style="58"/>
  </cols>
  <sheetData>
    <row r="1" spans="1:10" x14ac:dyDescent="0.25">
      <c r="A1" s="160" t="s">
        <v>0</v>
      </c>
      <c r="B1" s="181" t="str">
        <f>Overall!C1</f>
        <v>3/19/23-3/25/23</v>
      </c>
      <c r="C1" s="181"/>
    </row>
    <row r="2" spans="1:10" x14ac:dyDescent="0.25">
      <c r="A2" s="160" t="s">
        <v>177</v>
      </c>
      <c r="B2" s="182">
        <f ca="1">TODAY()</f>
        <v>45015</v>
      </c>
      <c r="C2" s="182"/>
      <c r="F2" s="183" t="s">
        <v>182</v>
      </c>
      <c r="G2" s="184"/>
      <c r="H2" s="184"/>
      <c r="I2" s="185"/>
    </row>
    <row r="3" spans="1:10" x14ac:dyDescent="0.25">
      <c r="A3" s="160" t="s">
        <v>1</v>
      </c>
      <c r="B3" s="206" t="s">
        <v>19</v>
      </c>
      <c r="C3" s="206"/>
      <c r="F3" s="85">
        <f>IFERROR(VLOOKUP($B$3,Totals!$B$3:$C$11,2,0),0)</f>
        <v>10799</v>
      </c>
      <c r="G3" s="188" t="s">
        <v>4</v>
      </c>
      <c r="H3" s="188"/>
      <c r="I3" s="189"/>
    </row>
    <row r="4" spans="1:10" x14ac:dyDescent="0.25">
      <c r="F4" s="85">
        <f>VLOOKUP($B$3,Totals!$E$3:$F$12,2,0)</f>
        <v>33593</v>
      </c>
      <c r="G4" s="188" t="s">
        <v>5</v>
      </c>
      <c r="H4" s="188"/>
      <c r="I4" s="189"/>
    </row>
    <row r="5" spans="1:10" x14ac:dyDescent="0.25">
      <c r="A5" s="180" t="s">
        <v>13</v>
      </c>
      <c r="B5" s="89" t="s">
        <v>14</v>
      </c>
      <c r="C5" s="90" t="s">
        <v>15</v>
      </c>
      <c r="D5" s="91" t="s">
        <v>16</v>
      </c>
      <c r="F5" s="86">
        <f>IFERROR(VLOOKUP($B$3,Totals!$B$3:$F$11,3,0),0)</f>
        <v>34850</v>
      </c>
      <c r="G5" s="190" t="s">
        <v>181</v>
      </c>
      <c r="H5" s="190"/>
      <c r="I5" s="191"/>
    </row>
    <row r="6" spans="1:10" x14ac:dyDescent="0.25">
      <c r="A6" s="180"/>
      <c r="B6" s="87">
        <f>VLOOKUP($B$3,Totals!$V$48:$Y$57,2,0)</f>
        <v>3</v>
      </c>
      <c r="C6" s="82">
        <f>VLOOKUP($B$3,Totals!$V$48:$Y$57,3,0)</f>
        <v>3</v>
      </c>
      <c r="D6" s="88">
        <f>VLOOKUP($B$3,Totals!$V$48:$Y$57,4,0)</f>
        <v>3</v>
      </c>
    </row>
    <row r="7" spans="1:10" x14ac:dyDescent="0.25">
      <c r="G7" s="109" t="s">
        <v>6</v>
      </c>
      <c r="H7" s="110">
        <f>F3/F4</f>
        <v>0.32146578156163486</v>
      </c>
    </row>
    <row r="8" spans="1:10" x14ac:dyDescent="0.25">
      <c r="A8" s="180" t="s">
        <v>2</v>
      </c>
      <c r="B8" s="89" t="s">
        <v>180</v>
      </c>
      <c r="C8" s="95" t="s">
        <v>152</v>
      </c>
      <c r="D8" s="96" t="s">
        <v>28</v>
      </c>
      <c r="G8" s="68" t="s">
        <v>7</v>
      </c>
      <c r="H8" s="67">
        <v>1</v>
      </c>
    </row>
    <row r="9" spans="1:10" x14ac:dyDescent="0.25">
      <c r="A9" s="180"/>
      <c r="B9" s="92">
        <f>IFERROR(VLOOKUP($B$3,Totals!$L$3:$N$11,2,0),0)</f>
        <v>48.837944664031617</v>
      </c>
      <c r="C9" s="93">
        <f>IFERROR(VLOOKUP($B$3,Totals!$L$3:$N$11,3,0),0)</f>
        <v>30.987087517934004</v>
      </c>
      <c r="D9" s="94">
        <f>IFERROR(VLOOKUP('1'!$B$3,Totals!$P$4:$Y$12,10,0),0)</f>
        <v>27.94351397332624</v>
      </c>
      <c r="G9" s="60"/>
      <c r="H9" s="60"/>
    </row>
    <row r="14" spans="1:10" x14ac:dyDescent="0.25">
      <c r="J14" s="60"/>
    </row>
    <row r="15" spans="1:10" x14ac:dyDescent="0.25">
      <c r="J15" s="60"/>
    </row>
    <row r="16" spans="1:10" x14ac:dyDescent="0.25">
      <c r="H16" s="60"/>
      <c r="I16" s="60"/>
      <c r="J16" s="60"/>
    </row>
    <row r="17" spans="1:10" x14ac:dyDescent="0.25">
      <c r="H17" s="60"/>
      <c r="I17" s="60"/>
      <c r="J17" s="60"/>
    </row>
    <row r="18" spans="1:10" x14ac:dyDescent="0.25">
      <c r="H18" s="60"/>
      <c r="I18" s="60"/>
      <c r="J18" s="60"/>
    </row>
    <row r="21" spans="1:10" x14ac:dyDescent="0.25">
      <c r="A21" s="183" t="s">
        <v>8</v>
      </c>
      <c r="B21" s="184"/>
      <c r="C21" s="184"/>
      <c r="D21" s="185"/>
      <c r="F21" s="183" t="s">
        <v>9</v>
      </c>
      <c r="G21" s="184"/>
      <c r="H21" s="184"/>
      <c r="I21" s="185"/>
    </row>
    <row r="22" spans="1:10" x14ac:dyDescent="0.25">
      <c r="A22" s="77">
        <v>1</v>
      </c>
      <c r="B22" s="80">
        <f>VLOOKUP($B$3&amp;A22,Totals!$G$49:$K$73,4,0)</f>
        <v>119</v>
      </c>
      <c r="C22" s="188" t="str">
        <f>VLOOKUP($B$3&amp;A22,Totals!$G$49:$K$73,5,0)</f>
        <v>Case Packer</v>
      </c>
      <c r="D22" s="189"/>
      <c r="F22" s="77">
        <v>1</v>
      </c>
      <c r="G22" s="80">
        <f>VLOOKUP($B$3&amp;F22,Totals!$M$49:$Q$73,4,0)</f>
        <v>420</v>
      </c>
      <c r="H22" s="188" t="str">
        <f>VLOOKUP($B$3&amp;F22,Totals!$M$49:$Q$73,5,0)</f>
        <v>QA External</v>
      </c>
      <c r="I22" s="189"/>
    </row>
    <row r="23" spans="1:10" x14ac:dyDescent="0.25">
      <c r="A23" s="78">
        <v>2</v>
      </c>
      <c r="B23" s="81">
        <f>VLOOKUP($B$3&amp;A23,Totals!$G$49:$K$73,4,0)</f>
        <v>42</v>
      </c>
      <c r="C23" s="188" t="str">
        <f>VLOOKUP($B$3&amp;A23,Totals!$G$49:$K$73,5,0)</f>
        <v>Unloader</v>
      </c>
      <c r="D23" s="189"/>
      <c r="F23" s="78">
        <v>2</v>
      </c>
      <c r="G23" s="81">
        <f>VLOOKUP($B$3&amp;F23,Totals!$M$49:$Q$73,4,0)</f>
        <v>191</v>
      </c>
      <c r="H23" s="188" t="str">
        <f>VLOOKUP($B$3&amp;F23,Totals!$M$49:$Q$73,5,0)</f>
        <v>Labeler</v>
      </c>
      <c r="I23" s="189"/>
    </row>
    <row r="24" spans="1:10" x14ac:dyDescent="0.25">
      <c r="A24" s="79">
        <v>3</v>
      </c>
      <c r="B24" s="82">
        <f>VLOOKUP($B$3&amp;A24,Totals!$G$49:$K$73,4,0)</f>
        <v>36</v>
      </c>
      <c r="C24" s="190" t="str">
        <f>VLOOKUP($B$3&amp;A24,Totals!$G$49:$K$73,5,0)</f>
        <v>Manning/Supplies</v>
      </c>
      <c r="D24" s="191"/>
      <c r="F24" s="79">
        <v>3</v>
      </c>
      <c r="G24" s="82">
        <f>VLOOKUP($B$3&amp;F24,Totals!$M$49:$Q$73,4,0)</f>
        <v>151</v>
      </c>
      <c r="H24" s="190" t="str">
        <f>VLOOKUP($B$3&amp;F24,Totals!$M$49:$Q$73,5,0)</f>
        <v>Case Packer</v>
      </c>
      <c r="I24" s="191"/>
    </row>
    <row r="25" spans="1:10" x14ac:dyDescent="0.25">
      <c r="C25" s="21"/>
    </row>
    <row r="27" spans="1:10" x14ac:dyDescent="0.25">
      <c r="A27" s="181" t="s">
        <v>10</v>
      </c>
      <c r="B27" s="181"/>
      <c r="C27" s="181"/>
      <c r="D27" s="181"/>
      <c r="E27" s="181"/>
      <c r="F27" s="181"/>
      <c r="G27" s="181"/>
      <c r="H27" s="181"/>
      <c r="I27" s="181"/>
      <c r="J27" s="181"/>
    </row>
    <row r="28" spans="1:10" x14ac:dyDescent="0.25">
      <c r="A28" s="89" t="s">
        <v>46</v>
      </c>
      <c r="B28" s="90" t="s">
        <v>45</v>
      </c>
      <c r="C28" s="90" t="s">
        <v>155</v>
      </c>
      <c r="D28" s="90" t="s">
        <v>156</v>
      </c>
      <c r="E28" s="95"/>
      <c r="F28" s="97" t="s">
        <v>157</v>
      </c>
      <c r="G28" s="90" t="s">
        <v>183</v>
      </c>
      <c r="H28" s="90" t="s">
        <v>158</v>
      </c>
      <c r="I28" s="90" t="s">
        <v>178</v>
      </c>
      <c r="J28" s="102" t="s">
        <v>184</v>
      </c>
    </row>
    <row r="29" spans="1:10" x14ac:dyDescent="0.25">
      <c r="A29" s="149" t="str" cm="1">
        <f t="array" ref="A29">IFERROR(INDEX(Overall!B$35:B$71,_xlfn.AGGREGATE(15,3,((Overall!$A$35:$A$71=1)/(Overall!$A$35:$A$71=1)*ROW(Overall!$A$35:$A$71))-ROW(Overall!$A$34), ROWS(Overall!$L$35:L35))),"")</f>
        <v>C</v>
      </c>
      <c r="B29" s="71" cm="1">
        <f t="array" ref="B29">IFERROR(INDEX(Overall!C$35:C$71,_xlfn.AGGREGATE(15,3,((Overall!$A$35:$A$71=1)/(Overall!$A$35:$A$71=1)*ROW(Overall!$A$35:$A$71))-ROW(Overall!$A$34), ROWS(Overall!$L$35:M35))),"")</f>
        <v>45013</v>
      </c>
      <c r="C29" s="98" cm="1">
        <f t="array" ref="C29">IFERROR(INDEX(Overall!D$35:D$71,_xlfn.AGGREGATE(15,3,((Overall!$A$35:$A$71=1)/(Overall!$A$35:$A$71=1)*ROW(Overall!$A$35:$A$71))-ROW(Overall!$A$34), ROWS(Overall!$L$35:N35))),"")</f>
        <v>415762</v>
      </c>
      <c r="D29" s="73" t="str" cm="1">
        <f t="array" ref="D29">IFERROR(INDEX(Overall!E$35:E$71,_xlfn.AGGREGATE(15,3,((Overall!$A$35:$A$71=1)/(Overall!$A$35:$A$71=1)*ROW(Overall!$A$35:$A$71))-ROW(Overall!$A$34), ROWS(Overall!$L$35:O35))),"")</f>
        <v>BCC1500938-AUS</v>
      </c>
      <c r="E29" s="154" cm="1">
        <f t="array" ref="E29">IFERROR(INDEX(Overall!F$35:F$71,_xlfn.AGGREGATE(15,3,((Overall!$A$35:$A$71=1)/(Overall!$A$35:$A$71=1)*ROW(Overall!$A$35:$A$71))-ROW(Overall!$A$34), ROWS(Overall!$L$35:P35))),"")</f>
        <v>0</v>
      </c>
      <c r="F29" s="155" cm="1">
        <f t="array" ref="F29">IFERROR(INDEX(Overall!G$35:G$71,_xlfn.AGGREGATE(15,3,((Overall!$A$35:$A$71=1)/(Overall!$A$35:$A$71=1)*ROW(Overall!$A$35:$A$71))-ROW(Overall!$A$34), ROWS(Overall!$L$35:Q35))),"")</f>
        <v>2006</v>
      </c>
      <c r="G29" s="117" cm="1">
        <f t="array" ref="G29">IFERROR(INDEX(Overall!H$35:H$71,_xlfn.AGGREGATE(15,3,((Overall!$A$35:$A$71=1)/(Overall!$A$35:$A$71=1)*ROW(Overall!$A$35:$A$71))-ROW(Overall!$A$34), ROWS(Overall!$L$35:R35))),"")</f>
        <v>0</v>
      </c>
      <c r="H29" s="117" cm="1">
        <f t="array" ref="H29">IFERROR(INDEX(Overall!I$35:I$71,_xlfn.AGGREGATE(15,3,((Overall!$A$35:$A$71=1)/(Overall!$A$35:$A$71=1)*ROW(Overall!$A$35:$A$71))-ROW(Overall!$A$34), ROWS(Overall!$L$35:S35))),"")</f>
        <v>2006</v>
      </c>
      <c r="I29" s="73" cm="1">
        <f t="array" ref="I29">IFERROR(INDEX(Overall!J$35:J$71,_xlfn.AGGREGATE(15,3,((Overall!$A$35:$A$71=1)/(Overall!$A$35:$A$71=1)*ROW(Overall!$A$35:$A$71))-ROW(Overall!$A$34), ROWS(Overall!$L$35:T35))),"")</f>
        <v>0</v>
      </c>
      <c r="J29" s="64" cm="1">
        <f t="array" ref="J29">IFERROR(INDEX(Overall!K$35:K$71,_xlfn.AGGREGATE(15,3,((Overall!$A$35:$A$71=1)/(Overall!$A$35:$A$71=1)*ROW(Overall!$A$35:$A$71))-ROW(Overall!$A$34), ROWS(Overall!$L$35:U35))),"")</f>
        <v>0</v>
      </c>
    </row>
    <row r="30" spans="1:10" x14ac:dyDescent="0.25">
      <c r="A30" s="149" t="str" cm="1">
        <f t="array" ref="A30">IFERROR(INDEX(Overall!B$35:B$71,_xlfn.AGGREGATE(15,3,((Overall!$A$35:$A$71=1)/(Overall!$A$35:$A$71=1)*ROW(Overall!$A$35:$A$71))-ROW(Overall!$A$34), ROWS(Overall!$L$35:L36))),"")</f>
        <v>C</v>
      </c>
      <c r="B30" s="71" cm="1">
        <f t="array" ref="B30">IFERROR(INDEX(Overall!C$35:C$71,_xlfn.AGGREGATE(15,3,((Overall!$A$35:$A$71=1)/(Overall!$A$35:$A$71=1)*ROW(Overall!$A$35:$A$71))-ROW(Overall!$A$34), ROWS(Overall!$L$35:M36))),"")</f>
        <v>45013</v>
      </c>
      <c r="C30" s="98" cm="1">
        <f t="array" ref="C30">IFERROR(INDEX(Overall!D$35:D$71,_xlfn.AGGREGATE(15,3,((Overall!$A$35:$A$71=1)/(Overall!$A$35:$A$71=1)*ROW(Overall!$A$35:$A$71))-ROW(Overall!$A$34), ROWS(Overall!$L$35:N36))),"")</f>
        <v>415762</v>
      </c>
      <c r="D30" s="73" t="str" cm="1">
        <f t="array" ref="D30">IFERROR(INDEX(Overall!E$35:E$71,_xlfn.AGGREGATE(15,3,((Overall!$A$35:$A$71=1)/(Overall!$A$35:$A$71=1)*ROW(Overall!$A$35:$A$71))-ROW(Overall!$A$34), ROWS(Overall!$L$35:O36))),"")</f>
        <v>SPP1501262</v>
      </c>
      <c r="E30" s="154" cm="1">
        <f t="array" ref="E30">IFERROR(INDEX(Overall!F$35:F$71,_xlfn.AGGREGATE(15,3,((Overall!$A$35:$A$71=1)/(Overall!$A$35:$A$71=1)*ROW(Overall!$A$35:$A$71))-ROW(Overall!$A$34), ROWS(Overall!$L$35:P36))),"")</f>
        <v>0</v>
      </c>
      <c r="F30" s="155" cm="1">
        <f t="array" ref="F30">IFERROR(INDEX(Overall!G$35:G$71,_xlfn.AGGREGATE(15,3,((Overall!$A$35:$A$71=1)/(Overall!$A$35:$A$71=1)*ROW(Overall!$A$35:$A$71))-ROW(Overall!$A$34), ROWS(Overall!$L$35:Q36))),"")</f>
        <v>1981</v>
      </c>
      <c r="G30" s="117" cm="1">
        <f t="array" ref="G30">IFERROR(INDEX(Overall!H$35:H$71,_xlfn.AGGREGATE(15,3,((Overall!$A$35:$A$71=1)/(Overall!$A$35:$A$71=1)*ROW(Overall!$A$35:$A$71))-ROW(Overall!$A$34), ROWS(Overall!$L$35:R36))),"")</f>
        <v>0</v>
      </c>
      <c r="H30" s="117" cm="1">
        <f t="array" ref="H30">IFERROR(INDEX(Overall!I$35:I$71,_xlfn.AGGREGATE(15,3,((Overall!$A$35:$A$71=1)/(Overall!$A$35:$A$71=1)*ROW(Overall!$A$35:$A$71))-ROW(Overall!$A$34), ROWS(Overall!$L$35:S36))),"")</f>
        <v>1981</v>
      </c>
      <c r="I30" s="73" t="str" cm="1">
        <f t="array" ref="I30">IFERROR(INDEX(Overall!J$35:J$71,_xlfn.AGGREGATE(15,3,((Overall!$A$35:$A$71=1)/(Overall!$A$35:$A$71=1)*ROW(Overall!$A$35:$A$71))-ROW(Overall!$A$34), ROWS(Overall!$L$35:T36))),"")</f>
        <v>PR051982</v>
      </c>
      <c r="J30" s="64" t="str" cm="1">
        <f t="array" ref="J30">IFERROR(INDEX(Overall!K$35:K$71,_xlfn.AGGREGATE(15,3,((Overall!$A$35:$A$71=1)/(Overall!$A$35:$A$71=1)*ROW(Overall!$A$35:$A$71))-ROW(Overall!$A$34), ROWS(Overall!$L$35:U36))),"")</f>
        <v>FIXED</v>
      </c>
    </row>
    <row r="31" spans="1:10" x14ac:dyDescent="0.25">
      <c r="A31" s="149" t="str" cm="1">
        <f t="array" ref="A31">IFERROR(INDEX(Overall!B$35:B$71,_xlfn.AGGREGATE(15,3,((Overall!$A$35:$A$71=1)/(Overall!$A$35:$A$71=1)*ROW(Overall!$A$35:$A$71))-ROW(Overall!$A$34), ROWS(Overall!$L$35:L37))),"")</f>
        <v>B &amp; C</v>
      </c>
      <c r="B31" s="71" cm="1">
        <f t="array" ref="B31">IFERROR(INDEX(Overall!C$35:C$71,_xlfn.AGGREGATE(15,3,((Overall!$A$35:$A$71=1)/(Overall!$A$35:$A$71=1)*ROW(Overall!$A$35:$A$71))-ROW(Overall!$A$34), ROWS(Overall!$L$35:M37))),"")</f>
        <v>45014</v>
      </c>
      <c r="C31" s="98" cm="1">
        <f t="array" ref="C31">IFERROR(INDEX(Overall!D$35:D$71,_xlfn.AGGREGATE(15,3,((Overall!$A$35:$A$71=1)/(Overall!$A$35:$A$71=1)*ROW(Overall!$A$35:$A$71))-ROW(Overall!$A$34), ROWS(Overall!$L$35:N37))),"")</f>
        <v>413422</v>
      </c>
      <c r="D31" s="73" t="str" cm="1">
        <f t="array" ref="D31">IFERROR(INDEX(Overall!E$35:E$71,_xlfn.AGGREGATE(15,3,((Overall!$A$35:$A$71=1)/(Overall!$A$35:$A$71=1)*ROW(Overall!$A$35:$A$71))-ROW(Overall!$A$34), ROWS(Overall!$L$35:O37))),"")</f>
        <v>BCC1500938</v>
      </c>
      <c r="E31" s="154" cm="1">
        <f t="array" ref="E31">IFERROR(INDEX(Overall!F$35:F$71,_xlfn.AGGREGATE(15,3,((Overall!$A$35:$A$71=1)/(Overall!$A$35:$A$71=1)*ROW(Overall!$A$35:$A$71))-ROW(Overall!$A$34), ROWS(Overall!$L$35:P37))),"")</f>
        <v>0</v>
      </c>
      <c r="F31" s="155" cm="1">
        <f t="array" ref="F31">IFERROR(INDEX(Overall!G$35:G$71,_xlfn.AGGREGATE(15,3,((Overall!$A$35:$A$71=1)/(Overall!$A$35:$A$71=1)*ROW(Overall!$A$35:$A$71))-ROW(Overall!$A$34), ROWS(Overall!$L$35:Q37))),"")</f>
        <v>5242</v>
      </c>
      <c r="G31" s="117" cm="1">
        <f t="array" ref="G31">IFERROR(INDEX(Overall!H$35:H$71,_xlfn.AGGREGATE(15,3,((Overall!$A$35:$A$71=1)/(Overall!$A$35:$A$71=1)*ROW(Overall!$A$35:$A$71))-ROW(Overall!$A$34), ROWS(Overall!$L$35:R37))),"")</f>
        <v>3000</v>
      </c>
      <c r="H31" s="117" cm="1">
        <f t="array" ref="H31">IFERROR(INDEX(Overall!I$35:I$71,_xlfn.AGGREGATE(15,3,((Overall!$A$35:$A$71=1)/(Overall!$A$35:$A$71=1)*ROW(Overall!$A$35:$A$71))-ROW(Overall!$A$34), ROWS(Overall!$L$35:S37))),"")</f>
        <v>2242</v>
      </c>
      <c r="I31" s="73" t="str" cm="1">
        <f t="array" ref="I31">IFERROR(INDEX(Overall!J$35:J$71,_xlfn.AGGREGATE(15,3,((Overall!$A$35:$A$71=1)/(Overall!$A$35:$A$71=1)*ROW(Overall!$A$35:$A$71))-ROW(Overall!$A$34), ROWS(Overall!$L$35:T37))),"")</f>
        <v>PR053289</v>
      </c>
      <c r="J31" s="64" cm="1">
        <f t="array" ref="J31">IFERROR(INDEX(Overall!K$35:K$71,_xlfn.AGGREGATE(15,3,((Overall!$A$35:$A$71=1)/(Overall!$A$35:$A$71=1)*ROW(Overall!$A$35:$A$71))-ROW(Overall!$A$34), ROWS(Overall!$L$35:U37))),"")</f>
        <v>0</v>
      </c>
    </row>
    <row r="32" spans="1:10" x14ac:dyDescent="0.25">
      <c r="A32" s="149" t="str" cm="1">
        <f t="array" ref="A32">IFERROR(INDEX(Overall!B$35:B$71,_xlfn.AGGREGATE(15,3,((Overall!$A$35:$A$71=1)/(Overall!$A$35:$A$71=1)*ROW(Overall!$A$35:$A$71))-ROW(Overall!$A$34), ROWS(Overall!$L$35:L38))),"")</f>
        <v>B</v>
      </c>
      <c r="B32" s="71" cm="1">
        <f t="array" ref="B32">IFERROR(INDEX(Overall!C$35:C$71,_xlfn.AGGREGATE(15,3,((Overall!$A$35:$A$71=1)/(Overall!$A$35:$A$71=1)*ROW(Overall!$A$35:$A$71))-ROW(Overall!$A$34), ROWS(Overall!$L$35:M38))),"")</f>
        <v>45014</v>
      </c>
      <c r="C32" s="98" cm="1">
        <f t="array" ref="C32">IFERROR(INDEX(Overall!D$35:D$71,_xlfn.AGGREGATE(15,3,((Overall!$A$35:$A$71=1)/(Overall!$A$35:$A$71=1)*ROW(Overall!$A$35:$A$71))-ROW(Overall!$A$34), ROWS(Overall!$L$35:N38))),"")</f>
        <v>415762</v>
      </c>
      <c r="D32" s="73" t="str" cm="1">
        <f t="array" ref="D32">IFERROR(INDEX(Overall!E$35:E$71,_xlfn.AGGREGATE(15,3,((Overall!$A$35:$A$71=1)/(Overall!$A$35:$A$71=1)*ROW(Overall!$A$35:$A$71))-ROW(Overall!$A$34), ROWS(Overall!$L$35:O38))),"")</f>
        <v>CLO1501333</v>
      </c>
      <c r="E32" s="154" cm="1">
        <f t="array" ref="E32">IFERROR(INDEX(Overall!F$35:F$71,_xlfn.AGGREGATE(15,3,((Overall!$A$35:$A$71=1)/(Overall!$A$35:$A$71=1)*ROW(Overall!$A$35:$A$71))-ROW(Overall!$A$34), ROWS(Overall!$L$35:P38))),"")</f>
        <v>0</v>
      </c>
      <c r="F32" s="155" cm="1">
        <f t="array" ref="F32">IFERROR(INDEX(Overall!G$35:G$71,_xlfn.AGGREGATE(15,3,((Overall!$A$35:$A$71=1)/(Overall!$A$35:$A$71=1)*ROW(Overall!$A$35:$A$71))-ROW(Overall!$A$34), ROWS(Overall!$L$35:Q38))),"")</f>
        <v>5092</v>
      </c>
      <c r="G32" s="117" cm="1">
        <f t="array" ref="G32">IFERROR(INDEX(Overall!H$35:H$71,_xlfn.AGGREGATE(15,3,((Overall!$A$35:$A$71=1)/(Overall!$A$35:$A$71=1)*ROW(Overall!$A$35:$A$71))-ROW(Overall!$A$34), ROWS(Overall!$L$35:R38))),"")</f>
        <v>900</v>
      </c>
      <c r="H32" s="117" cm="1">
        <f t="array" ref="H32">IFERROR(INDEX(Overall!I$35:I$71,_xlfn.AGGREGATE(15,3,((Overall!$A$35:$A$71=1)/(Overall!$A$35:$A$71=1)*ROW(Overall!$A$35:$A$71))-ROW(Overall!$A$34), ROWS(Overall!$L$35:S38))),"")</f>
        <v>4192</v>
      </c>
      <c r="I32" s="73" t="str" cm="1">
        <f t="array" ref="I32">IFERROR(INDEX(Overall!J$35:J$71,_xlfn.AGGREGATE(15,3,((Overall!$A$35:$A$71=1)/(Overall!$A$35:$A$71=1)*ROW(Overall!$A$35:$A$71))-ROW(Overall!$A$34), ROWS(Overall!$L$35:T38))),"")</f>
        <v>PR043760</v>
      </c>
      <c r="J32" s="64" cm="1">
        <f t="array" ref="J32">IFERROR(INDEX(Overall!K$35:K$71,_xlfn.AGGREGATE(15,3,((Overall!$A$35:$A$71=1)/(Overall!$A$35:$A$71=1)*ROW(Overall!$A$35:$A$71))-ROW(Overall!$A$34), ROWS(Overall!$L$35:U38))),"")</f>
        <v>0</v>
      </c>
    </row>
    <row r="33" spans="1:10" x14ac:dyDescent="0.25">
      <c r="A33" s="149" t="str" cm="1">
        <f t="array" ref="A33">IFERROR(INDEX(Overall!B$35:B$71,_xlfn.AGGREGATE(15,3,((Overall!$A$35:$A$71=1)/(Overall!$A$35:$A$71=1)*ROW(Overall!$A$35:$A$71))-ROW(Overall!$A$34), ROWS(Overall!$L$35:L39))),"")</f>
        <v>B</v>
      </c>
      <c r="B33" s="71" cm="1">
        <f t="array" ref="B33">IFERROR(INDEX(Overall!C$35:C$71,_xlfn.AGGREGATE(15,3,((Overall!$A$35:$A$71=1)/(Overall!$A$35:$A$71=1)*ROW(Overall!$A$35:$A$71))-ROW(Overall!$A$34), ROWS(Overall!$L$35:M39))),"")</f>
        <v>45014</v>
      </c>
      <c r="C33" s="98" cm="1">
        <f t="array" ref="C33">IFERROR(INDEX(Overall!D$35:D$71,_xlfn.AGGREGATE(15,3,((Overall!$A$35:$A$71=1)/(Overall!$A$35:$A$71=1)*ROW(Overall!$A$35:$A$71))-ROW(Overall!$A$34), ROWS(Overall!$L$35:N39))),"")</f>
        <v>415762</v>
      </c>
      <c r="D33" s="73" t="str" cm="1">
        <f t="array" ref="D33">IFERROR(INDEX(Overall!E$35:E$71,_xlfn.AGGREGATE(15,3,((Overall!$A$35:$A$71=1)/(Overall!$A$35:$A$71=1)*ROW(Overall!$A$35:$A$71))-ROW(Overall!$A$34), ROWS(Overall!$L$35:O39))),"")</f>
        <v>SPP1501262</v>
      </c>
      <c r="E33" s="154" cm="1">
        <f t="array" ref="E33">IFERROR(INDEX(Overall!F$35:F$71,_xlfn.AGGREGATE(15,3,((Overall!$A$35:$A$71=1)/(Overall!$A$35:$A$71=1)*ROW(Overall!$A$35:$A$71))-ROW(Overall!$A$34), ROWS(Overall!$L$35:P39))),"")</f>
        <v>0</v>
      </c>
      <c r="F33" s="155" cm="1">
        <f t="array" ref="F33">IFERROR(INDEX(Overall!G$35:G$71,_xlfn.AGGREGATE(15,3,((Overall!$A$35:$A$71=1)/(Overall!$A$35:$A$71=1)*ROW(Overall!$A$35:$A$71))-ROW(Overall!$A$34), ROWS(Overall!$L$35:Q39))),"")</f>
        <v>820</v>
      </c>
      <c r="G33" s="117" cm="1">
        <f t="array" ref="G33">IFERROR(INDEX(Overall!H$35:H$71,_xlfn.AGGREGATE(15,3,((Overall!$A$35:$A$71=1)/(Overall!$A$35:$A$71=1)*ROW(Overall!$A$35:$A$71))-ROW(Overall!$A$34), ROWS(Overall!$L$35:R39))),"")</f>
        <v>8</v>
      </c>
      <c r="H33" s="117" cm="1">
        <f t="array" ref="H33">IFERROR(INDEX(Overall!I$35:I$71,_xlfn.AGGREGATE(15,3,((Overall!$A$35:$A$71=1)/(Overall!$A$35:$A$71=1)*ROW(Overall!$A$35:$A$71))-ROW(Overall!$A$34), ROWS(Overall!$L$35:S39))),"")</f>
        <v>812</v>
      </c>
      <c r="I33" s="73" t="str" cm="1">
        <f t="array" ref="I33">IFERROR(INDEX(Overall!J$35:J$71,_xlfn.AGGREGATE(15,3,((Overall!$A$35:$A$71=1)/(Overall!$A$35:$A$71=1)*ROW(Overall!$A$35:$A$71))-ROW(Overall!$A$34), ROWS(Overall!$L$35:T39))),"")</f>
        <v>PR043760</v>
      </c>
      <c r="J33" s="64" t="str" cm="1">
        <f t="array" ref="J33">IFERROR(INDEX(Overall!K$35:K$71,_xlfn.AGGREGATE(15,3,((Overall!$A$35:$A$71=1)/(Overall!$A$35:$A$71=1)*ROW(Overall!$A$35:$A$71))-ROW(Overall!$A$34), ROWS(Overall!$L$35:U39))),"")</f>
        <v>FIXED</v>
      </c>
    </row>
    <row r="34" spans="1:10" x14ac:dyDescent="0.25">
      <c r="A34" s="149" t="str" cm="1">
        <f t="array" ref="A34">IFERROR(INDEX(Overall!B$35:B$71,_xlfn.AGGREGATE(15,3,((Overall!$A$35:$A$71=1)/(Overall!$A$35:$A$71=1)*ROW(Overall!$A$35:$A$71))-ROW(Overall!$A$34), ROWS(Overall!$L$35:L40))),"")</f>
        <v/>
      </c>
      <c r="B34" s="71" t="str" cm="1">
        <f t="array" ref="B34">IFERROR(INDEX(Overall!C$35:C$71,_xlfn.AGGREGATE(15,3,((Overall!$A$35:$A$71=1)/(Overall!$A$35:$A$71=1)*ROW(Overall!$A$35:$A$71))-ROW(Overall!$A$34), ROWS(Overall!$L$35:M40))),"")</f>
        <v/>
      </c>
      <c r="C34" s="98" t="str" cm="1">
        <f t="array" ref="C34">IFERROR(INDEX(Overall!D$35:D$71,_xlfn.AGGREGATE(15,3,((Overall!$A$35:$A$71=1)/(Overall!$A$35:$A$71=1)*ROW(Overall!$A$35:$A$71))-ROW(Overall!$A$34), ROWS(Overall!$L$35:N40))),"")</f>
        <v/>
      </c>
      <c r="D34" s="73" t="str" cm="1">
        <f t="array" ref="D34">IFERROR(INDEX(Overall!E$35:E$71,_xlfn.AGGREGATE(15,3,((Overall!$A$35:$A$71=1)/(Overall!$A$35:$A$71=1)*ROW(Overall!$A$35:$A$71))-ROW(Overall!$A$34), ROWS(Overall!$L$35:O40))),"")</f>
        <v/>
      </c>
      <c r="E34" s="154" t="str" cm="1">
        <f t="array" ref="E34">IFERROR(INDEX(Overall!F$35:F$71,_xlfn.AGGREGATE(15,3,((Overall!$A$35:$A$71=1)/(Overall!$A$35:$A$71=1)*ROW(Overall!$A$35:$A$71))-ROW(Overall!$A$34), ROWS(Overall!$L$35:P40))),"")</f>
        <v/>
      </c>
      <c r="F34" s="155" t="str" cm="1">
        <f t="array" ref="F34">IFERROR(INDEX(Overall!G$35:G$71,_xlfn.AGGREGATE(15,3,((Overall!$A$35:$A$71=1)/(Overall!$A$35:$A$71=1)*ROW(Overall!$A$35:$A$71))-ROW(Overall!$A$34), ROWS(Overall!$L$35:Q40))),"")</f>
        <v/>
      </c>
      <c r="G34" s="117" t="str" cm="1">
        <f t="array" ref="G34">IFERROR(INDEX(Overall!H$35:H$71,_xlfn.AGGREGATE(15,3,((Overall!$A$35:$A$71=1)/(Overall!$A$35:$A$71=1)*ROW(Overall!$A$35:$A$71))-ROW(Overall!$A$34), ROWS(Overall!$L$35:R40))),"")</f>
        <v/>
      </c>
      <c r="H34" s="117" t="str" cm="1">
        <f t="array" ref="H34">IFERROR(INDEX(Overall!I$35:I$71,_xlfn.AGGREGATE(15,3,((Overall!$A$35:$A$71=1)/(Overall!$A$35:$A$71=1)*ROW(Overall!$A$35:$A$71))-ROW(Overall!$A$34), ROWS(Overall!$L$35:S40))),"")</f>
        <v/>
      </c>
      <c r="I34" s="73" t="str" cm="1">
        <f t="array" ref="I34">IFERROR(INDEX(Overall!J$35:J$71,_xlfn.AGGREGATE(15,3,((Overall!$A$35:$A$71=1)/(Overall!$A$35:$A$71=1)*ROW(Overall!$A$35:$A$71))-ROW(Overall!$A$34), ROWS(Overall!$L$35:T40))),"")</f>
        <v/>
      </c>
      <c r="J34" s="64" t="str" cm="1">
        <f t="array" ref="J34">IFERROR(INDEX(Overall!K$35:K$71,_xlfn.AGGREGATE(15,3,((Overall!$A$35:$A$71=1)/(Overall!$A$35:$A$71=1)*ROW(Overall!$A$35:$A$71))-ROW(Overall!$A$34), ROWS(Overall!$L$35:U40))),"")</f>
        <v/>
      </c>
    </row>
    <row r="35" spans="1:10" x14ac:dyDescent="0.25">
      <c r="A35" s="149" t="str" cm="1">
        <f t="array" ref="A35">IFERROR(INDEX(Overall!B$35:B$71,_xlfn.AGGREGATE(15,3,((Overall!$A$35:$A$71=1)/(Overall!$A$35:$A$71=1)*ROW(Overall!$A$35:$A$71))-ROW(Overall!$A$34), ROWS(Overall!$L$35:L41))),"")</f>
        <v/>
      </c>
      <c r="B35" s="71" t="str" cm="1">
        <f t="array" ref="B35">IFERROR(INDEX(Overall!C$35:C$71,_xlfn.AGGREGATE(15,3,((Overall!$A$35:$A$71=1)/(Overall!$A$35:$A$71=1)*ROW(Overall!$A$35:$A$71))-ROW(Overall!$A$34), ROWS(Overall!$L$35:M41))),"")</f>
        <v/>
      </c>
      <c r="C35" s="98" t="str" cm="1">
        <f t="array" ref="C35">IFERROR(INDEX(Overall!D$35:D$71,_xlfn.AGGREGATE(15,3,((Overall!$A$35:$A$71=1)/(Overall!$A$35:$A$71=1)*ROW(Overall!$A$35:$A$71))-ROW(Overall!$A$34), ROWS(Overall!$L$35:N41))),"")</f>
        <v/>
      </c>
      <c r="D35" s="73" t="str" cm="1">
        <f t="array" ref="D35">IFERROR(INDEX(Overall!E$35:E$71,_xlfn.AGGREGATE(15,3,((Overall!$A$35:$A$71=1)/(Overall!$A$35:$A$71=1)*ROW(Overall!$A$35:$A$71))-ROW(Overall!$A$34), ROWS(Overall!$L$35:O41))),"")</f>
        <v/>
      </c>
      <c r="E35" s="154" t="str" cm="1">
        <f t="array" ref="E35">IFERROR(INDEX(Overall!F$35:F$71,_xlfn.AGGREGATE(15,3,((Overall!$A$35:$A$71=1)/(Overall!$A$35:$A$71=1)*ROW(Overall!$A$35:$A$71))-ROW(Overall!$A$34), ROWS(Overall!$L$35:P41))),"")</f>
        <v/>
      </c>
      <c r="F35" s="155" t="str" cm="1">
        <f t="array" ref="F35">IFERROR(INDEX(Overall!G$35:G$71,_xlfn.AGGREGATE(15,3,((Overall!$A$35:$A$71=1)/(Overall!$A$35:$A$71=1)*ROW(Overall!$A$35:$A$71))-ROW(Overall!$A$34), ROWS(Overall!$L$35:Q41))),"")</f>
        <v/>
      </c>
      <c r="G35" s="117" t="str" cm="1">
        <f t="array" ref="G35">IFERROR(INDEX(Overall!H$35:H$71,_xlfn.AGGREGATE(15,3,((Overall!$A$35:$A$71=1)/(Overall!$A$35:$A$71=1)*ROW(Overall!$A$35:$A$71))-ROW(Overall!$A$34), ROWS(Overall!$L$35:R41))),"")</f>
        <v/>
      </c>
      <c r="H35" s="117" t="str" cm="1">
        <f t="array" ref="H35">IFERROR(INDEX(Overall!I$35:I$71,_xlfn.AGGREGATE(15,3,((Overall!$A$35:$A$71=1)/(Overall!$A$35:$A$71=1)*ROW(Overall!$A$35:$A$71))-ROW(Overall!$A$34), ROWS(Overall!$L$35:S41))),"")</f>
        <v/>
      </c>
      <c r="I35" s="73" t="str" cm="1">
        <f t="array" ref="I35">IFERROR(INDEX(Overall!J$35:J$71,_xlfn.AGGREGATE(15,3,((Overall!$A$35:$A$71=1)/(Overall!$A$35:$A$71=1)*ROW(Overall!$A$35:$A$71))-ROW(Overall!$A$34), ROWS(Overall!$L$35:T41))),"")</f>
        <v/>
      </c>
      <c r="J35" s="64" t="str" cm="1">
        <f t="array" ref="J35">IFERROR(INDEX(Overall!K$35:K$71,_xlfn.AGGREGATE(15,3,((Overall!$A$35:$A$71=1)/(Overall!$A$35:$A$71=1)*ROW(Overall!$A$35:$A$71))-ROW(Overall!$A$34), ROWS(Overall!$L$35:U41))),"")</f>
        <v/>
      </c>
    </row>
    <row r="36" spans="1:10" x14ac:dyDescent="0.25">
      <c r="A36" s="149" t="str" cm="1">
        <f t="array" ref="A36">IFERROR(INDEX(Overall!B$35:B$71,_xlfn.AGGREGATE(15,3,((Overall!$A$35:$A$71=1)/(Overall!$A$35:$A$71=1)*ROW(Overall!$A$35:$A$71))-ROW(Overall!$A$34), ROWS(Overall!$L$35:L42))),"")</f>
        <v/>
      </c>
      <c r="B36" s="71" t="str" cm="1">
        <f t="array" ref="B36">IFERROR(INDEX(Overall!C$35:C$71,_xlfn.AGGREGATE(15,3,((Overall!$A$35:$A$71=1)/(Overall!$A$35:$A$71=1)*ROW(Overall!$A$35:$A$71))-ROW(Overall!$A$34), ROWS(Overall!$L$35:M42))),"")</f>
        <v/>
      </c>
      <c r="C36" s="98" t="str" cm="1">
        <f t="array" ref="C36">IFERROR(INDEX(Overall!D$35:D$71,_xlfn.AGGREGATE(15,3,((Overall!$A$35:$A$71=1)/(Overall!$A$35:$A$71=1)*ROW(Overall!$A$35:$A$71))-ROW(Overall!$A$34), ROWS(Overall!$L$35:N42))),"")</f>
        <v/>
      </c>
      <c r="D36" s="73" t="str" cm="1">
        <f t="array" ref="D36">IFERROR(INDEX(Overall!E$35:E$71,_xlfn.AGGREGATE(15,3,((Overall!$A$35:$A$71=1)/(Overall!$A$35:$A$71=1)*ROW(Overall!$A$35:$A$71))-ROW(Overall!$A$34), ROWS(Overall!$L$35:O42))),"")</f>
        <v/>
      </c>
      <c r="E36" s="154" t="str" cm="1">
        <f t="array" ref="E36">IFERROR(INDEX(Overall!F$35:F$71,_xlfn.AGGREGATE(15,3,((Overall!$A$35:$A$71=1)/(Overall!$A$35:$A$71=1)*ROW(Overall!$A$35:$A$71))-ROW(Overall!$A$34), ROWS(Overall!$L$35:P42))),"")</f>
        <v/>
      </c>
      <c r="F36" s="155" t="str" cm="1">
        <f t="array" ref="F36">IFERROR(INDEX(Overall!G$35:G$71,_xlfn.AGGREGATE(15,3,((Overall!$A$35:$A$71=1)/(Overall!$A$35:$A$71=1)*ROW(Overall!$A$35:$A$71))-ROW(Overall!$A$34), ROWS(Overall!$L$35:Q42))),"")</f>
        <v/>
      </c>
      <c r="G36" s="117" t="str" cm="1">
        <f t="array" ref="G36">IFERROR(INDEX(Overall!H$35:H$71,_xlfn.AGGREGATE(15,3,((Overall!$A$35:$A$71=1)/(Overall!$A$35:$A$71=1)*ROW(Overall!$A$35:$A$71))-ROW(Overall!$A$34), ROWS(Overall!$L$35:R42))),"")</f>
        <v/>
      </c>
      <c r="H36" s="117" t="str" cm="1">
        <f t="array" ref="H36">IFERROR(INDEX(Overall!I$35:I$71,_xlfn.AGGREGATE(15,3,((Overall!$A$35:$A$71=1)/(Overall!$A$35:$A$71=1)*ROW(Overall!$A$35:$A$71))-ROW(Overall!$A$34), ROWS(Overall!$L$35:S42))),"")</f>
        <v/>
      </c>
      <c r="I36" s="73" t="str" cm="1">
        <f t="array" ref="I36">IFERROR(INDEX(Overall!J$35:J$71,_xlfn.AGGREGATE(15,3,((Overall!$A$35:$A$71=1)/(Overall!$A$35:$A$71=1)*ROW(Overall!$A$35:$A$71))-ROW(Overall!$A$34), ROWS(Overall!$L$35:T42))),"")</f>
        <v/>
      </c>
      <c r="J36" s="64" t="str" cm="1">
        <f t="array" ref="J36">IFERROR(INDEX(Overall!K$35:K$71,_xlfn.AGGREGATE(15,3,((Overall!$A$35:$A$71=1)/(Overall!$A$35:$A$71=1)*ROW(Overall!$A$35:$A$71))-ROW(Overall!$A$34), ROWS(Overall!$L$35:U42))),"")</f>
        <v/>
      </c>
    </row>
    <row r="37" spans="1:10" x14ac:dyDescent="0.25">
      <c r="A37" s="149" t="str" cm="1">
        <f t="array" ref="A37">IFERROR(INDEX(Overall!B$35:B$71,_xlfn.AGGREGATE(15,3,((Overall!$A$35:$A$71=1)/(Overall!$A$35:$A$71=1)*ROW(Overall!$A$35:$A$71))-ROW(Overall!$A$34), ROWS(Overall!$L$35:L43))),"")</f>
        <v/>
      </c>
      <c r="B37" s="71" t="str" cm="1">
        <f t="array" ref="B37">IFERROR(INDEX(Overall!C$35:C$71,_xlfn.AGGREGATE(15,3,((Overall!$A$35:$A$71=1)/(Overall!$A$35:$A$71=1)*ROW(Overall!$A$35:$A$71))-ROW(Overall!$A$34), ROWS(Overall!$L$35:M43))),"")</f>
        <v/>
      </c>
      <c r="C37" s="98" t="str" cm="1">
        <f t="array" ref="C37">IFERROR(INDEX(Overall!D$35:D$71,_xlfn.AGGREGATE(15,3,((Overall!$A$35:$A$71=1)/(Overall!$A$35:$A$71=1)*ROW(Overall!$A$35:$A$71))-ROW(Overall!$A$34), ROWS(Overall!$L$35:N43))),"")</f>
        <v/>
      </c>
      <c r="D37" s="73" t="str" cm="1">
        <f t="array" ref="D37">IFERROR(INDEX(Overall!E$35:E$71,_xlfn.AGGREGATE(15,3,((Overall!$A$35:$A$71=1)/(Overall!$A$35:$A$71=1)*ROW(Overall!$A$35:$A$71))-ROW(Overall!$A$34), ROWS(Overall!$L$35:O43))),"")</f>
        <v/>
      </c>
      <c r="E37" s="154" t="str" cm="1">
        <f t="array" ref="E37">IFERROR(INDEX(Overall!F$35:F$71,_xlfn.AGGREGATE(15,3,((Overall!$A$35:$A$71=1)/(Overall!$A$35:$A$71=1)*ROW(Overall!$A$35:$A$71))-ROW(Overall!$A$34), ROWS(Overall!$L$35:P43))),"")</f>
        <v/>
      </c>
      <c r="F37" s="155" t="str" cm="1">
        <f t="array" ref="F37">IFERROR(INDEX(Overall!G$35:G$71,_xlfn.AGGREGATE(15,3,((Overall!$A$35:$A$71=1)/(Overall!$A$35:$A$71=1)*ROW(Overall!$A$35:$A$71))-ROW(Overall!$A$34), ROWS(Overall!$L$35:Q43))),"")</f>
        <v/>
      </c>
      <c r="G37" s="117" t="str" cm="1">
        <f t="array" ref="G37">IFERROR(INDEX(Overall!H$35:H$71,_xlfn.AGGREGATE(15,3,((Overall!$A$35:$A$71=1)/(Overall!$A$35:$A$71=1)*ROW(Overall!$A$35:$A$71))-ROW(Overall!$A$34), ROWS(Overall!$L$35:R43))),"")</f>
        <v/>
      </c>
      <c r="H37" s="117" t="str" cm="1">
        <f t="array" ref="H37">IFERROR(INDEX(Overall!I$35:I$71,_xlfn.AGGREGATE(15,3,((Overall!$A$35:$A$71=1)/(Overall!$A$35:$A$71=1)*ROW(Overall!$A$35:$A$71))-ROW(Overall!$A$34), ROWS(Overall!$L$35:S43))),"")</f>
        <v/>
      </c>
      <c r="I37" s="73" t="str" cm="1">
        <f t="array" ref="I37">IFERROR(INDEX(Overall!J$35:J$71,_xlfn.AGGREGATE(15,3,((Overall!$A$35:$A$71=1)/(Overall!$A$35:$A$71=1)*ROW(Overall!$A$35:$A$71))-ROW(Overall!$A$34), ROWS(Overall!$L$35:T43))),"")</f>
        <v/>
      </c>
      <c r="J37" s="64" t="str" cm="1">
        <f t="array" ref="J37">IFERROR(INDEX(Overall!K$35:K$71,_xlfn.AGGREGATE(15,3,((Overall!$A$35:$A$71=1)/(Overall!$A$35:$A$71=1)*ROW(Overall!$A$35:$A$71))-ROW(Overall!$A$34), ROWS(Overall!$L$35:U43))),"")</f>
        <v/>
      </c>
    </row>
    <row r="38" spans="1:10" x14ac:dyDescent="0.25">
      <c r="A38" s="149" t="str" cm="1">
        <f t="array" ref="A38">IFERROR(INDEX(Overall!B$35:B$71,_xlfn.AGGREGATE(15,3,((Overall!$A$35:$A$71=1)/(Overall!$A$35:$A$71=1)*ROW(Overall!$A$35:$A$71))-ROW(Overall!$A$34), ROWS(Overall!$L$35:L44))),"")</f>
        <v/>
      </c>
      <c r="B38" s="71" t="str" cm="1">
        <f t="array" ref="B38">IFERROR(INDEX(Overall!C$35:C$71,_xlfn.AGGREGATE(15,3,((Overall!$A$35:$A$71=1)/(Overall!$A$35:$A$71=1)*ROW(Overall!$A$35:$A$71))-ROW(Overall!$A$34), ROWS(Overall!$L$35:M44))),"")</f>
        <v/>
      </c>
      <c r="C38" s="98" t="str" cm="1">
        <f t="array" ref="C38">IFERROR(INDEX(Overall!D$35:D$71,_xlfn.AGGREGATE(15,3,((Overall!$A$35:$A$71=1)/(Overall!$A$35:$A$71=1)*ROW(Overall!$A$35:$A$71))-ROW(Overall!$A$34), ROWS(Overall!$L$35:N44))),"")</f>
        <v/>
      </c>
      <c r="D38" s="73" t="str" cm="1">
        <f t="array" ref="D38">IFERROR(INDEX(Overall!E$35:E$71,_xlfn.AGGREGATE(15,3,((Overall!$A$35:$A$71=1)/(Overall!$A$35:$A$71=1)*ROW(Overall!$A$35:$A$71))-ROW(Overall!$A$34), ROWS(Overall!$L$35:O44))),"")</f>
        <v/>
      </c>
      <c r="E38" s="154" t="str" cm="1">
        <f t="array" ref="E38">IFERROR(INDEX(Overall!F$35:F$71,_xlfn.AGGREGATE(15,3,((Overall!$A$35:$A$71=1)/(Overall!$A$35:$A$71=1)*ROW(Overall!$A$35:$A$71))-ROW(Overall!$A$34), ROWS(Overall!$L$35:P44))),"")</f>
        <v/>
      </c>
      <c r="F38" s="155" t="str" cm="1">
        <f t="array" ref="F38">IFERROR(INDEX(Overall!G$35:G$71,_xlfn.AGGREGATE(15,3,((Overall!$A$35:$A$71=1)/(Overall!$A$35:$A$71=1)*ROW(Overall!$A$35:$A$71))-ROW(Overall!$A$34), ROWS(Overall!$L$35:Q44))),"")</f>
        <v/>
      </c>
      <c r="G38" s="117" t="str" cm="1">
        <f t="array" ref="G38">IFERROR(INDEX(Overall!H$35:H$71,_xlfn.AGGREGATE(15,3,((Overall!$A$35:$A$71=1)/(Overall!$A$35:$A$71=1)*ROW(Overall!$A$35:$A$71))-ROW(Overall!$A$34), ROWS(Overall!$L$35:R44))),"")</f>
        <v/>
      </c>
      <c r="H38" s="117" t="str" cm="1">
        <f t="array" ref="H38">IFERROR(INDEX(Overall!I$35:I$71,_xlfn.AGGREGATE(15,3,((Overall!$A$35:$A$71=1)/(Overall!$A$35:$A$71=1)*ROW(Overall!$A$35:$A$71))-ROW(Overall!$A$34), ROWS(Overall!$L$35:S44))),"")</f>
        <v/>
      </c>
      <c r="I38" s="73" t="str" cm="1">
        <f t="array" ref="I38">IFERROR(INDEX(Overall!J$35:J$71,_xlfn.AGGREGATE(15,3,((Overall!$A$35:$A$71=1)/(Overall!$A$35:$A$71=1)*ROW(Overall!$A$35:$A$71))-ROW(Overall!$A$34), ROWS(Overall!$L$35:T44))),"")</f>
        <v/>
      </c>
      <c r="J38" s="64" t="str" cm="1">
        <f t="array" ref="J38">IFERROR(INDEX(Overall!K$35:K$71,_xlfn.AGGREGATE(15,3,((Overall!$A$35:$A$71=1)/(Overall!$A$35:$A$71=1)*ROW(Overall!$A$35:$A$71))-ROW(Overall!$A$34), ROWS(Overall!$L$35:U44))),"")</f>
        <v/>
      </c>
    </row>
    <row r="39" spans="1:10" x14ac:dyDescent="0.25">
      <c r="A39" s="149" t="str" cm="1">
        <f t="array" ref="A39">IFERROR(INDEX(Overall!B$35:B$71,_xlfn.AGGREGATE(15,3,((Overall!$A$35:$A$71=1)/(Overall!$A$35:$A$71=1)*ROW(Overall!$A$35:$A$71))-ROW(Overall!$A$34), ROWS(Overall!$L$35:L45))),"")</f>
        <v/>
      </c>
      <c r="B39" s="71" t="str" cm="1">
        <f t="array" ref="B39">IFERROR(INDEX(Overall!C$35:C$71,_xlfn.AGGREGATE(15,3,((Overall!$A$35:$A$71=1)/(Overall!$A$35:$A$71=1)*ROW(Overall!$A$35:$A$71))-ROW(Overall!$A$34), ROWS(Overall!$L$35:M45))),"")</f>
        <v/>
      </c>
      <c r="C39" s="98" t="str" cm="1">
        <f t="array" ref="C39">IFERROR(INDEX(Overall!D$35:D$71,_xlfn.AGGREGATE(15,3,((Overall!$A$35:$A$71=1)/(Overall!$A$35:$A$71=1)*ROW(Overall!$A$35:$A$71))-ROW(Overall!$A$34), ROWS(Overall!$L$35:N45))),"")</f>
        <v/>
      </c>
      <c r="D39" s="73" t="str" cm="1">
        <f t="array" ref="D39">IFERROR(INDEX(Overall!E$35:E$71,_xlfn.AGGREGATE(15,3,((Overall!$A$35:$A$71=1)/(Overall!$A$35:$A$71=1)*ROW(Overall!$A$35:$A$71))-ROW(Overall!$A$34), ROWS(Overall!$L$35:O45))),"")</f>
        <v/>
      </c>
      <c r="E39" s="154" t="str" cm="1">
        <f t="array" ref="E39">IFERROR(INDEX(Overall!F$35:F$71,_xlfn.AGGREGATE(15,3,((Overall!$A$35:$A$71=1)/(Overall!$A$35:$A$71=1)*ROW(Overall!$A$35:$A$71))-ROW(Overall!$A$34), ROWS(Overall!$L$35:P45))),"")</f>
        <v/>
      </c>
      <c r="F39" s="155" t="str" cm="1">
        <f t="array" ref="F39">IFERROR(INDEX(Overall!G$35:G$71,_xlfn.AGGREGATE(15,3,((Overall!$A$35:$A$71=1)/(Overall!$A$35:$A$71=1)*ROW(Overall!$A$35:$A$71))-ROW(Overall!$A$34), ROWS(Overall!$L$35:Q45))),"")</f>
        <v/>
      </c>
      <c r="G39" s="117" t="str" cm="1">
        <f t="array" ref="G39">IFERROR(INDEX(Overall!H$35:H$71,_xlfn.AGGREGATE(15,3,((Overall!$A$35:$A$71=1)/(Overall!$A$35:$A$71=1)*ROW(Overall!$A$35:$A$71))-ROW(Overall!$A$34), ROWS(Overall!$L$35:R45))),"")</f>
        <v/>
      </c>
      <c r="H39" s="117" t="str" cm="1">
        <f t="array" ref="H39">IFERROR(INDEX(Overall!I$35:I$71,_xlfn.AGGREGATE(15,3,((Overall!$A$35:$A$71=1)/(Overall!$A$35:$A$71=1)*ROW(Overall!$A$35:$A$71))-ROW(Overall!$A$34), ROWS(Overall!$L$35:S45))),"")</f>
        <v/>
      </c>
      <c r="I39" s="73" t="str" cm="1">
        <f t="array" ref="I39">IFERROR(INDEX(Overall!J$35:J$71,_xlfn.AGGREGATE(15,3,((Overall!$A$35:$A$71=1)/(Overall!$A$35:$A$71=1)*ROW(Overall!$A$35:$A$71))-ROW(Overall!$A$34), ROWS(Overall!$L$35:T45))),"")</f>
        <v/>
      </c>
      <c r="J39" s="64" t="str" cm="1">
        <f t="array" ref="J39">IFERROR(INDEX(Overall!K$35:K$71,_xlfn.AGGREGATE(15,3,((Overall!$A$35:$A$71=1)/(Overall!$A$35:$A$71=1)*ROW(Overall!$A$35:$A$71))-ROW(Overall!$A$34), ROWS(Overall!$L$35:U45))),"")</f>
        <v/>
      </c>
    </row>
    <row r="40" spans="1:10" x14ac:dyDescent="0.25">
      <c r="A40" s="149" t="str" cm="1">
        <f t="array" ref="A40">IFERROR(INDEX(Overall!B$35:B$71,_xlfn.AGGREGATE(15,3,((Overall!$A$35:$A$71=1)/(Overall!$A$35:$A$71=1)*ROW(Overall!$A$35:$A$71))-ROW(Overall!$A$34), ROWS(Overall!$L$35:L46))),"")</f>
        <v/>
      </c>
      <c r="B40" s="71" t="str" cm="1">
        <f t="array" ref="B40">IFERROR(INDEX(Overall!C$35:C$71,_xlfn.AGGREGATE(15,3,((Overall!$A$35:$A$71=1)/(Overall!$A$35:$A$71=1)*ROW(Overall!$A$35:$A$71))-ROW(Overall!$A$34), ROWS(Overall!$L$35:M46))),"")</f>
        <v/>
      </c>
      <c r="C40" s="98" t="str" cm="1">
        <f t="array" ref="C40">IFERROR(INDEX(Overall!D$35:D$71,_xlfn.AGGREGATE(15,3,((Overall!$A$35:$A$71=1)/(Overall!$A$35:$A$71=1)*ROW(Overall!$A$35:$A$71))-ROW(Overall!$A$34), ROWS(Overall!$L$35:N46))),"")</f>
        <v/>
      </c>
      <c r="D40" s="73" t="str" cm="1">
        <f t="array" ref="D40">IFERROR(INDEX(Overall!E$35:E$71,_xlfn.AGGREGATE(15,3,((Overall!$A$35:$A$71=1)/(Overall!$A$35:$A$71=1)*ROW(Overall!$A$35:$A$71))-ROW(Overall!$A$34), ROWS(Overall!$L$35:O46))),"")</f>
        <v/>
      </c>
      <c r="E40" s="154" t="str" cm="1">
        <f t="array" ref="E40">IFERROR(INDEX(Overall!F$35:F$71,_xlfn.AGGREGATE(15,3,((Overall!$A$35:$A$71=1)/(Overall!$A$35:$A$71=1)*ROW(Overall!$A$35:$A$71))-ROW(Overall!$A$34), ROWS(Overall!$L$35:P46))),"")</f>
        <v/>
      </c>
      <c r="F40" s="155" t="str" cm="1">
        <f t="array" ref="F40">IFERROR(INDEX(Overall!G$35:G$71,_xlfn.AGGREGATE(15,3,((Overall!$A$35:$A$71=1)/(Overall!$A$35:$A$71=1)*ROW(Overall!$A$35:$A$71))-ROW(Overall!$A$34), ROWS(Overall!$L$35:Q46))),"")</f>
        <v/>
      </c>
      <c r="G40" s="117" t="str" cm="1">
        <f t="array" ref="G40">IFERROR(INDEX(Overall!H$35:H$71,_xlfn.AGGREGATE(15,3,((Overall!$A$35:$A$71=1)/(Overall!$A$35:$A$71=1)*ROW(Overall!$A$35:$A$71))-ROW(Overall!$A$34), ROWS(Overall!$L$35:R46))),"")</f>
        <v/>
      </c>
      <c r="H40" s="117" t="str" cm="1">
        <f t="array" ref="H40">IFERROR(INDEX(Overall!I$35:I$71,_xlfn.AGGREGATE(15,3,((Overall!$A$35:$A$71=1)/(Overall!$A$35:$A$71=1)*ROW(Overall!$A$35:$A$71))-ROW(Overall!$A$34), ROWS(Overall!$L$35:S46))),"")</f>
        <v/>
      </c>
      <c r="I40" s="73" t="str" cm="1">
        <f t="array" ref="I40">IFERROR(INDEX(Overall!J$35:J$71,_xlfn.AGGREGATE(15,3,((Overall!$A$35:$A$71=1)/(Overall!$A$35:$A$71=1)*ROW(Overall!$A$35:$A$71))-ROW(Overall!$A$34), ROWS(Overall!$L$35:T46))),"")</f>
        <v/>
      </c>
      <c r="J40" s="64" t="str" cm="1">
        <f t="array" ref="J40">IFERROR(INDEX(Overall!K$35:K$71,_xlfn.AGGREGATE(15,3,((Overall!$A$35:$A$71=1)/(Overall!$A$35:$A$71=1)*ROW(Overall!$A$35:$A$71))-ROW(Overall!$A$34), ROWS(Overall!$L$35:U46))),"")</f>
        <v/>
      </c>
    </row>
    <row r="41" spans="1:10" x14ac:dyDescent="0.25">
      <c r="A41" s="149" t="str" cm="1">
        <f t="array" ref="A41">IFERROR(INDEX(Overall!B$35:B$71,_xlfn.AGGREGATE(15,3,((Overall!$A$35:$A$71=1)/(Overall!$A$35:$A$71=1)*ROW(Overall!$A$35:$A$71))-ROW(Overall!$A$34), ROWS(Overall!$L$35:L47))),"")</f>
        <v/>
      </c>
      <c r="B41" s="71" t="str" cm="1">
        <f t="array" ref="B41">IFERROR(INDEX(Overall!C$35:C$71,_xlfn.AGGREGATE(15,3,((Overall!$A$35:$A$71=1)/(Overall!$A$35:$A$71=1)*ROW(Overall!$A$35:$A$71))-ROW(Overall!$A$34), ROWS(Overall!$L$35:M47))),"")</f>
        <v/>
      </c>
      <c r="C41" s="98" t="str" cm="1">
        <f t="array" ref="C41">IFERROR(INDEX(Overall!D$35:D$71,_xlfn.AGGREGATE(15,3,((Overall!$A$35:$A$71=1)/(Overall!$A$35:$A$71=1)*ROW(Overall!$A$35:$A$71))-ROW(Overall!$A$34), ROWS(Overall!$L$35:N47))),"")</f>
        <v/>
      </c>
      <c r="D41" s="73" t="str" cm="1">
        <f t="array" ref="D41">IFERROR(INDEX(Overall!E$35:E$71,_xlfn.AGGREGATE(15,3,((Overall!$A$35:$A$71=1)/(Overall!$A$35:$A$71=1)*ROW(Overall!$A$35:$A$71))-ROW(Overall!$A$34), ROWS(Overall!$L$35:O47))),"")</f>
        <v/>
      </c>
      <c r="E41" s="154" t="str" cm="1">
        <f t="array" ref="E41">IFERROR(INDEX(Overall!F$35:F$71,_xlfn.AGGREGATE(15,3,((Overall!$A$35:$A$71=1)/(Overall!$A$35:$A$71=1)*ROW(Overall!$A$35:$A$71))-ROW(Overall!$A$34), ROWS(Overall!$L$35:P47))),"")</f>
        <v/>
      </c>
      <c r="F41" s="155" t="str" cm="1">
        <f t="array" ref="F41">IFERROR(INDEX(Overall!G$35:G$71,_xlfn.AGGREGATE(15,3,((Overall!$A$35:$A$71=1)/(Overall!$A$35:$A$71=1)*ROW(Overall!$A$35:$A$71))-ROW(Overall!$A$34), ROWS(Overall!$L$35:Q47))),"")</f>
        <v/>
      </c>
      <c r="G41" s="117" t="str" cm="1">
        <f t="array" ref="G41">IFERROR(INDEX(Overall!H$35:H$71,_xlfn.AGGREGATE(15,3,((Overall!$A$35:$A$71=1)/(Overall!$A$35:$A$71=1)*ROW(Overall!$A$35:$A$71))-ROW(Overall!$A$34), ROWS(Overall!$L$35:R47))),"")</f>
        <v/>
      </c>
      <c r="H41" s="117" t="str" cm="1">
        <f t="array" ref="H41">IFERROR(INDEX(Overall!I$35:I$71,_xlfn.AGGREGATE(15,3,((Overall!$A$35:$A$71=1)/(Overall!$A$35:$A$71=1)*ROW(Overall!$A$35:$A$71))-ROW(Overall!$A$34), ROWS(Overall!$L$35:S47))),"")</f>
        <v/>
      </c>
      <c r="I41" s="73" t="str" cm="1">
        <f t="array" ref="I41">IFERROR(INDEX(Overall!J$35:J$71,_xlfn.AGGREGATE(15,3,((Overall!$A$35:$A$71=1)/(Overall!$A$35:$A$71=1)*ROW(Overall!$A$35:$A$71))-ROW(Overall!$A$34), ROWS(Overall!$L$35:T47))),"")</f>
        <v/>
      </c>
      <c r="J41" s="64" t="str" cm="1">
        <f t="array" ref="J41">IFERROR(INDEX(Overall!K$35:K$71,_xlfn.AGGREGATE(15,3,((Overall!$A$35:$A$71=1)/(Overall!$A$35:$A$71=1)*ROW(Overall!$A$35:$A$71))-ROW(Overall!$A$34), ROWS(Overall!$L$35:U47))),"")</f>
        <v/>
      </c>
    </row>
    <row r="42" spans="1:10" x14ac:dyDescent="0.25">
      <c r="A42" s="149" t="str" cm="1">
        <f t="array" ref="A42">IFERROR(INDEX(Overall!B$35:B$71,_xlfn.AGGREGATE(15,3,((Overall!$A$35:$A$71=1)/(Overall!$A$35:$A$71=1)*ROW(Overall!$A$35:$A$71))-ROW(Overall!$A$34), ROWS(Overall!$L$35:L48))),"")</f>
        <v/>
      </c>
      <c r="B42" s="71" t="str" cm="1">
        <f t="array" ref="B42">IFERROR(INDEX(Overall!C$35:C$71,_xlfn.AGGREGATE(15,3,((Overall!$A$35:$A$71=1)/(Overall!$A$35:$A$71=1)*ROW(Overall!$A$35:$A$71))-ROW(Overall!$A$34), ROWS(Overall!$L$35:M48))),"")</f>
        <v/>
      </c>
      <c r="C42" s="98" t="str" cm="1">
        <f t="array" ref="C42">IFERROR(INDEX(Overall!D$35:D$71,_xlfn.AGGREGATE(15,3,((Overall!$A$35:$A$71=1)/(Overall!$A$35:$A$71=1)*ROW(Overall!$A$35:$A$71))-ROW(Overall!$A$34), ROWS(Overall!$L$35:N48))),"")</f>
        <v/>
      </c>
      <c r="D42" s="73" t="str" cm="1">
        <f t="array" ref="D42">IFERROR(INDEX(Overall!E$35:E$71,_xlfn.AGGREGATE(15,3,((Overall!$A$35:$A$71=1)/(Overall!$A$35:$A$71=1)*ROW(Overall!$A$35:$A$71))-ROW(Overall!$A$34), ROWS(Overall!$L$35:O48))),"")</f>
        <v/>
      </c>
      <c r="E42" s="154" t="str" cm="1">
        <f t="array" ref="E42">IFERROR(INDEX(Overall!F$35:F$71,_xlfn.AGGREGATE(15,3,((Overall!$A$35:$A$71=1)/(Overall!$A$35:$A$71=1)*ROW(Overall!$A$35:$A$71))-ROW(Overall!$A$34), ROWS(Overall!$L$35:P48))),"")</f>
        <v/>
      </c>
      <c r="F42" s="155" t="str" cm="1">
        <f t="array" ref="F42">IFERROR(INDEX(Overall!G$35:G$71,_xlfn.AGGREGATE(15,3,((Overall!$A$35:$A$71=1)/(Overall!$A$35:$A$71=1)*ROW(Overall!$A$35:$A$71))-ROW(Overall!$A$34), ROWS(Overall!$L$35:Q48))),"")</f>
        <v/>
      </c>
      <c r="G42" s="117" t="str" cm="1">
        <f t="array" ref="G42">IFERROR(INDEX(Overall!H$35:H$71,_xlfn.AGGREGATE(15,3,((Overall!$A$35:$A$71=1)/(Overall!$A$35:$A$71=1)*ROW(Overall!$A$35:$A$71))-ROW(Overall!$A$34), ROWS(Overall!$L$35:R48))),"")</f>
        <v/>
      </c>
      <c r="H42" s="117" t="str" cm="1">
        <f t="array" ref="H42">IFERROR(INDEX(Overall!I$35:I$71,_xlfn.AGGREGATE(15,3,((Overall!$A$35:$A$71=1)/(Overall!$A$35:$A$71=1)*ROW(Overall!$A$35:$A$71))-ROW(Overall!$A$34), ROWS(Overall!$L$35:S48))),"")</f>
        <v/>
      </c>
      <c r="I42" s="73" t="str" cm="1">
        <f t="array" ref="I42">IFERROR(INDEX(Overall!J$35:J$71,_xlfn.AGGREGATE(15,3,((Overall!$A$35:$A$71=1)/(Overall!$A$35:$A$71=1)*ROW(Overall!$A$35:$A$71))-ROW(Overall!$A$34), ROWS(Overall!$L$35:T48))),"")</f>
        <v/>
      </c>
      <c r="J42" s="64" t="str" cm="1">
        <f t="array" ref="J42">IFERROR(INDEX(Overall!K$35:K$71,_xlfn.AGGREGATE(15,3,((Overall!$A$35:$A$71=1)/(Overall!$A$35:$A$71=1)*ROW(Overall!$A$35:$A$71))-ROW(Overall!$A$34), ROWS(Overall!$L$35:U48))),"")</f>
        <v/>
      </c>
    </row>
    <row r="43" spans="1:10" x14ac:dyDescent="0.25">
      <c r="A43" s="149" t="str" cm="1">
        <f t="array" ref="A43">IFERROR(INDEX(Overall!B$35:B$71,_xlfn.AGGREGATE(15,3,((Overall!$A$35:$A$71=1)/(Overall!$A$35:$A$71=1)*ROW(Overall!$A$35:$A$71))-ROW(Overall!$A$34), ROWS(Overall!$L$35:L49))),"")</f>
        <v/>
      </c>
      <c r="B43" s="71" t="str" cm="1">
        <f t="array" ref="B43">IFERROR(INDEX(Overall!C$35:C$71,_xlfn.AGGREGATE(15,3,((Overall!$A$35:$A$71=1)/(Overall!$A$35:$A$71=1)*ROW(Overall!$A$35:$A$71))-ROW(Overall!$A$34), ROWS(Overall!$L$35:M49))),"")</f>
        <v/>
      </c>
      <c r="C43" s="98" t="str" cm="1">
        <f t="array" ref="C43">IFERROR(INDEX(Overall!D$35:D$71,_xlfn.AGGREGATE(15,3,((Overall!$A$35:$A$71=1)/(Overall!$A$35:$A$71=1)*ROW(Overall!$A$35:$A$71))-ROW(Overall!$A$34), ROWS(Overall!$L$35:N49))),"")</f>
        <v/>
      </c>
      <c r="D43" s="73" t="str" cm="1">
        <f t="array" ref="D43">IFERROR(INDEX(Overall!E$35:E$71,_xlfn.AGGREGATE(15,3,((Overall!$A$35:$A$71=1)/(Overall!$A$35:$A$71=1)*ROW(Overall!$A$35:$A$71))-ROW(Overall!$A$34), ROWS(Overall!$L$35:O49))),"")</f>
        <v/>
      </c>
      <c r="E43" s="154" t="str" cm="1">
        <f t="array" ref="E43">IFERROR(INDEX(Overall!F$35:F$71,_xlfn.AGGREGATE(15,3,((Overall!$A$35:$A$71=1)/(Overall!$A$35:$A$71=1)*ROW(Overall!$A$35:$A$71))-ROW(Overall!$A$34), ROWS(Overall!$L$35:P49))),"")</f>
        <v/>
      </c>
      <c r="F43" s="155" t="str" cm="1">
        <f t="array" ref="F43">IFERROR(INDEX(Overall!G$35:G$71,_xlfn.AGGREGATE(15,3,((Overall!$A$35:$A$71=1)/(Overall!$A$35:$A$71=1)*ROW(Overall!$A$35:$A$71))-ROW(Overall!$A$34), ROWS(Overall!$L$35:Q49))),"")</f>
        <v/>
      </c>
      <c r="G43" s="117" t="str" cm="1">
        <f t="array" ref="G43">IFERROR(INDEX(Overall!H$35:H$71,_xlfn.AGGREGATE(15,3,((Overall!$A$35:$A$71=1)/(Overall!$A$35:$A$71=1)*ROW(Overall!$A$35:$A$71))-ROW(Overall!$A$34), ROWS(Overall!$L$35:R49))),"")</f>
        <v/>
      </c>
      <c r="H43" s="117" t="str" cm="1">
        <f t="array" ref="H43">IFERROR(INDEX(Overall!I$35:I$71,_xlfn.AGGREGATE(15,3,((Overall!$A$35:$A$71=1)/(Overall!$A$35:$A$71=1)*ROW(Overall!$A$35:$A$71))-ROW(Overall!$A$34), ROWS(Overall!$L$35:S49))),"")</f>
        <v/>
      </c>
      <c r="I43" s="73" t="str" cm="1">
        <f t="array" ref="I43">IFERROR(INDEX(Overall!J$35:J$71,_xlfn.AGGREGATE(15,3,((Overall!$A$35:$A$71=1)/(Overall!$A$35:$A$71=1)*ROW(Overall!$A$35:$A$71))-ROW(Overall!$A$34), ROWS(Overall!$L$35:T49))),"")</f>
        <v/>
      </c>
      <c r="J43" s="64" t="str" cm="1">
        <f t="array" ref="J43">IFERROR(INDEX(Overall!K$35:K$71,_xlfn.AGGREGATE(15,3,((Overall!$A$35:$A$71=1)/(Overall!$A$35:$A$71=1)*ROW(Overall!$A$35:$A$71))-ROW(Overall!$A$34), ROWS(Overall!$L$35:U49))),"")</f>
        <v/>
      </c>
    </row>
    <row r="44" spans="1:10" x14ac:dyDescent="0.25">
      <c r="A44" s="99" t="str" cm="1">
        <f t="array" ref="A44">IFERROR(INDEX(Overall!B$35:B$71,_xlfn.AGGREGATE(15,3,((Overall!$A$35:$A$71=1)/(Overall!$A$35:$A$71=1)*ROW(Overall!$A$35:$A$71))-ROW(Overall!$A$34), ROWS(Overall!$L$35:L50))),"")</f>
        <v/>
      </c>
      <c r="B44" s="72" t="str" cm="1">
        <f t="array" ref="B44">IFERROR(INDEX(Overall!C$35:C$71,_xlfn.AGGREGATE(15,3,((Overall!$A$35:$A$71=1)/(Overall!$A$35:$A$71=1)*ROW(Overall!$A$35:$A$71))-ROW(Overall!$A$34), ROWS(Overall!$L$35:M50))),"")</f>
        <v/>
      </c>
      <c r="C44" s="99" t="str" cm="1">
        <f t="array" ref="C44">IFERROR(INDEX(Overall!D$35:D$71,_xlfn.AGGREGATE(15,3,((Overall!$A$35:$A$71=1)/(Overall!$A$35:$A$71=1)*ROW(Overall!$A$35:$A$71))-ROW(Overall!$A$34), ROWS(Overall!$L$35:N50))),"")</f>
        <v/>
      </c>
      <c r="D44" s="74" t="str" cm="1">
        <f t="array" ref="D44">IFERROR(INDEX(Overall!E$35:E$71,_xlfn.AGGREGATE(15,3,((Overall!$A$35:$A$71=1)/(Overall!$A$35:$A$71=1)*ROW(Overall!$A$35:$A$71))-ROW(Overall!$A$34), ROWS(Overall!$L$35:O50))),"")</f>
        <v/>
      </c>
      <c r="E44" s="156" t="str" cm="1">
        <f t="array" ref="E44">IFERROR(INDEX(Overall!F$35:F$71,_xlfn.AGGREGATE(15,3,((Overall!$A$35:$A$71=1)/(Overall!$A$35:$A$71=1)*ROW(Overall!$A$35:$A$71))-ROW(Overall!$A$34), ROWS(Overall!$L$35:P50))),"")</f>
        <v/>
      </c>
      <c r="F44" s="157" t="str" cm="1">
        <f t="array" ref="F44">IFERROR(INDEX(Overall!G$35:G$71,_xlfn.AGGREGATE(15,3,((Overall!$A$35:$A$71=1)/(Overall!$A$35:$A$71=1)*ROW(Overall!$A$35:$A$71))-ROW(Overall!$A$34), ROWS(Overall!$L$35:Q50))),"")</f>
        <v/>
      </c>
      <c r="G44" s="118" t="str" cm="1">
        <f t="array" ref="G44">IFERROR(INDEX(Overall!H$35:H$71,_xlfn.AGGREGATE(15,3,((Overall!$A$35:$A$71=1)/(Overall!$A$35:$A$71=1)*ROW(Overall!$A$35:$A$71))-ROW(Overall!$A$34), ROWS(Overall!$L$35:R50))),"")</f>
        <v/>
      </c>
      <c r="H44" s="118" t="str" cm="1">
        <f t="array" ref="H44">IFERROR(INDEX(Overall!I$35:I$71,_xlfn.AGGREGATE(15,3,((Overall!$A$35:$A$71=1)/(Overall!$A$35:$A$71=1)*ROW(Overall!$A$35:$A$71))-ROW(Overall!$A$34), ROWS(Overall!$L$35:S50))),"")</f>
        <v/>
      </c>
      <c r="I44" s="76" t="str" cm="1">
        <f t="array" ref="I44">IFERROR(INDEX(Overall!J$35:J$71,_xlfn.AGGREGATE(15,3,((Overall!$A$35:$A$71=1)/(Overall!$A$35:$A$71=1)*ROW(Overall!$A$35:$A$71))-ROW(Overall!$A$34), ROWS(Overall!$L$35:T50))),"")</f>
        <v/>
      </c>
      <c r="J44" s="65" t="str" cm="1">
        <f t="array" ref="J44">IFERROR(INDEX(Overall!K$35:K$71,_xlfn.AGGREGATE(15,3,((Overall!$A$35:$A$71=1)/(Overall!$A$35:$A$71=1)*ROW(Overall!$A$35:$A$71))-ROW(Overall!$A$34), ROWS(Overall!$L$35:U50))),"")</f>
        <v/>
      </c>
    </row>
    <row r="46" spans="1:10" x14ac:dyDescent="0.25">
      <c r="A46" s="181" t="s">
        <v>11</v>
      </c>
      <c r="B46" s="181"/>
      <c r="C46" s="181"/>
      <c r="D46" s="181"/>
      <c r="E46" s="181"/>
      <c r="F46" s="181"/>
      <c r="G46" s="181"/>
      <c r="H46" s="181"/>
      <c r="I46" s="183" t="s">
        <v>12</v>
      </c>
      <c r="J46" s="185"/>
    </row>
    <row r="47" spans="1:10" x14ac:dyDescent="0.25">
      <c r="A47" s="123" t="s">
        <v>159</v>
      </c>
      <c r="B47" s="124" t="s">
        <v>46</v>
      </c>
      <c r="C47" s="200" t="s">
        <v>45</v>
      </c>
      <c r="D47" s="201"/>
      <c r="E47" s="192" t="s">
        <v>160</v>
      </c>
      <c r="F47" s="193"/>
      <c r="G47" s="193"/>
      <c r="H47" s="193"/>
      <c r="I47" s="61"/>
      <c r="J47" s="63"/>
    </row>
    <row r="48" spans="1:10" x14ac:dyDescent="0.25">
      <c r="A48" s="78"/>
      <c r="B48" s="83"/>
      <c r="C48" s="202"/>
      <c r="D48" s="203"/>
      <c r="E48" s="112"/>
      <c r="F48" s="112"/>
      <c r="G48" s="112"/>
      <c r="H48" s="113"/>
      <c r="I48" s="61"/>
      <c r="J48" s="63"/>
    </row>
    <row r="49" spans="1:10" x14ac:dyDescent="0.25">
      <c r="A49" s="78"/>
      <c r="B49" s="83"/>
      <c r="C49" s="204"/>
      <c r="D49" s="205"/>
      <c r="F49" s="112"/>
      <c r="G49" s="112"/>
      <c r="H49" s="113"/>
      <c r="I49" s="61"/>
      <c r="J49" s="63"/>
    </row>
    <row r="50" spans="1:10" x14ac:dyDescent="0.25">
      <c r="A50" s="78"/>
      <c r="B50" s="83"/>
      <c r="C50" s="204"/>
      <c r="D50" s="205"/>
      <c r="F50" s="112"/>
      <c r="G50" s="112"/>
      <c r="H50" s="126"/>
      <c r="I50" s="61"/>
      <c r="J50" s="63"/>
    </row>
    <row r="51" spans="1:10" x14ac:dyDescent="0.25">
      <c r="A51" s="78"/>
      <c r="B51" s="83"/>
      <c r="C51" s="194"/>
      <c r="D51" s="195"/>
      <c r="F51" s="188"/>
      <c r="G51" s="188"/>
      <c r="H51"/>
      <c r="I51" s="61"/>
      <c r="J51" s="63"/>
    </row>
    <row r="52" spans="1:10" x14ac:dyDescent="0.25">
      <c r="A52" s="78"/>
      <c r="B52" s="83"/>
      <c r="C52" s="194"/>
      <c r="D52" s="195"/>
      <c r="F52" s="188"/>
      <c r="G52" s="188"/>
      <c r="H52"/>
      <c r="I52" s="61"/>
      <c r="J52" s="63"/>
    </row>
    <row r="53" spans="1:10" x14ac:dyDescent="0.25">
      <c r="A53" s="78"/>
      <c r="B53" s="83"/>
      <c r="C53" s="194"/>
      <c r="D53" s="195"/>
      <c r="F53" s="188"/>
      <c r="G53" s="188"/>
      <c r="H53"/>
      <c r="I53" s="61"/>
      <c r="J53" s="63"/>
    </row>
    <row r="54" spans="1:10" x14ac:dyDescent="0.25">
      <c r="A54" s="78"/>
      <c r="B54" s="83"/>
      <c r="C54" s="194"/>
      <c r="D54" s="195"/>
      <c r="F54" s="188"/>
      <c r="G54" s="188"/>
      <c r="H54"/>
      <c r="I54" s="61"/>
      <c r="J54" s="63"/>
    </row>
    <row r="55" spans="1:10" x14ac:dyDescent="0.25">
      <c r="A55" s="78"/>
      <c r="B55" s="83"/>
      <c r="C55" s="194"/>
      <c r="D55" s="195"/>
      <c r="F55" s="188"/>
      <c r="G55" s="188"/>
      <c r="H55"/>
      <c r="I55" s="61"/>
      <c r="J55" s="63"/>
    </row>
    <row r="56" spans="1:10" x14ac:dyDescent="0.25">
      <c r="A56" s="78"/>
      <c r="B56" s="83"/>
      <c r="C56" s="194"/>
      <c r="D56" s="195"/>
      <c r="F56" s="188"/>
      <c r="G56" s="188"/>
      <c r="H56"/>
      <c r="I56" s="61"/>
      <c r="J56" s="63"/>
    </row>
    <row r="57" spans="1:10" x14ac:dyDescent="0.25">
      <c r="A57" s="78"/>
      <c r="B57" s="83"/>
      <c r="C57" s="194"/>
      <c r="D57" s="195"/>
      <c r="F57" s="188"/>
      <c r="G57" s="188"/>
      <c r="H57"/>
      <c r="I57" s="61"/>
      <c r="J57" s="63"/>
    </row>
    <row r="58" spans="1:10" x14ac:dyDescent="0.25">
      <c r="A58" s="78"/>
      <c r="B58" s="83"/>
      <c r="C58" s="194"/>
      <c r="D58" s="195"/>
      <c r="F58" s="188"/>
      <c r="G58" s="188"/>
      <c r="H58"/>
      <c r="I58" s="61"/>
      <c r="J58" s="63"/>
    </row>
    <row r="59" spans="1:10" x14ac:dyDescent="0.25">
      <c r="A59" s="78"/>
      <c r="B59" s="83"/>
      <c r="C59" s="196"/>
      <c r="D59" s="197"/>
      <c r="F59" s="208"/>
      <c r="G59" s="208"/>
      <c r="H59"/>
      <c r="I59" s="61"/>
      <c r="J59" s="63"/>
    </row>
    <row r="60" spans="1:10" x14ac:dyDescent="0.25">
      <c r="A60" s="78"/>
      <c r="B60" s="83"/>
      <c r="C60" s="196"/>
      <c r="D60" s="197"/>
      <c r="F60" s="208"/>
      <c r="G60" s="208"/>
      <c r="H60"/>
      <c r="I60" s="61"/>
      <c r="J60" s="63"/>
    </row>
    <row r="61" spans="1:10" x14ac:dyDescent="0.25">
      <c r="A61" s="79"/>
      <c r="B61" s="84"/>
      <c r="C61" s="198"/>
      <c r="D61" s="199"/>
      <c r="E61" s="120"/>
      <c r="F61" s="207"/>
      <c r="G61" s="207"/>
      <c r="H61" s="125"/>
      <c r="I61" s="62"/>
      <c r="J61" s="66"/>
    </row>
    <row r="62" spans="1:10" x14ac:dyDescent="0.25">
      <c r="A62" s="61"/>
      <c r="B62" s="21"/>
      <c r="C62" s="21"/>
      <c r="D62" s="21"/>
      <c r="E62" s="21"/>
    </row>
  </sheetData>
  <mergeCells count="47">
    <mergeCell ref="F61:G61"/>
    <mergeCell ref="F56:G56"/>
    <mergeCell ref="F57:G57"/>
    <mergeCell ref="F58:G58"/>
    <mergeCell ref="F59:G59"/>
    <mergeCell ref="F60:G60"/>
    <mergeCell ref="F53:G53"/>
    <mergeCell ref="F54:G54"/>
    <mergeCell ref="F55:G55"/>
    <mergeCell ref="A5:A6"/>
    <mergeCell ref="A8:A9"/>
    <mergeCell ref="B1:C1"/>
    <mergeCell ref="B2:C2"/>
    <mergeCell ref="B3:C3"/>
    <mergeCell ref="H22:I22"/>
    <mergeCell ref="H23:I23"/>
    <mergeCell ref="H24:I24"/>
    <mergeCell ref="A27:J27"/>
    <mergeCell ref="A21:D21"/>
    <mergeCell ref="C22:D22"/>
    <mergeCell ref="F2:I2"/>
    <mergeCell ref="C52:D52"/>
    <mergeCell ref="C54:D54"/>
    <mergeCell ref="C53:D53"/>
    <mergeCell ref="C55:D55"/>
    <mergeCell ref="C47:D47"/>
    <mergeCell ref="C48:D48"/>
    <mergeCell ref="C49:D49"/>
    <mergeCell ref="C50:D50"/>
    <mergeCell ref="C51:D51"/>
    <mergeCell ref="G3:I3"/>
    <mergeCell ref="G4:I4"/>
    <mergeCell ref="G5:I5"/>
    <mergeCell ref="F21:I21"/>
    <mergeCell ref="C23:D23"/>
    <mergeCell ref="C24:D24"/>
    <mergeCell ref="C58:D58"/>
    <mergeCell ref="C59:D59"/>
    <mergeCell ref="C60:D60"/>
    <mergeCell ref="C61:D61"/>
    <mergeCell ref="C56:D56"/>
    <mergeCell ref="C57:D57"/>
    <mergeCell ref="I46:J46"/>
    <mergeCell ref="F51:G51"/>
    <mergeCell ref="F52:G52"/>
    <mergeCell ref="A46:H46"/>
    <mergeCell ref="E47:H47"/>
  </mergeCells>
  <phoneticPr fontId="6" type="noConversion"/>
  <conditionalFormatting sqref="A29:J43">
    <cfRule type="cellIs" dxfId="16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CE5E-BEA4-47F3-93C4-481E563C14C9}">
  <sheetPr codeName="Sheet5">
    <pageSetUpPr autoPageBreaks="0"/>
  </sheetPr>
  <dimension ref="A1:J61"/>
  <sheetViews>
    <sheetView showGridLines="0" zoomScale="110" zoomScaleNormal="110" workbookViewId="0">
      <selection activeCell="M18" sqref="M18"/>
    </sheetView>
  </sheetViews>
  <sheetFormatPr defaultColWidth="8.85546875" defaultRowHeight="15" x14ac:dyDescent="0.25"/>
  <cols>
    <col min="1" max="1" width="12.85546875" style="58" customWidth="1"/>
    <col min="2" max="4" width="11.140625" style="58" customWidth="1"/>
    <col min="5" max="5" width="2.28515625" style="58" customWidth="1"/>
    <col min="6" max="8" width="11.140625" style="58" customWidth="1"/>
    <col min="9" max="9" width="11" style="58" customWidth="1"/>
    <col min="10" max="10" width="25.7109375" style="58" customWidth="1"/>
    <col min="11" max="11" width="6.28515625" style="58" customWidth="1"/>
    <col min="12" max="16384" width="8.85546875" style="58"/>
  </cols>
  <sheetData>
    <row r="1" spans="1:10" x14ac:dyDescent="0.25">
      <c r="A1" s="160" t="s">
        <v>0</v>
      </c>
      <c r="B1" s="181" t="str">
        <f>Overall!C1</f>
        <v>3/19/23-3/25/23</v>
      </c>
      <c r="C1" s="181"/>
    </row>
    <row r="2" spans="1:10" x14ac:dyDescent="0.25">
      <c r="A2" s="160" t="s">
        <v>177</v>
      </c>
      <c r="B2" s="182">
        <f ca="1">TODAY()</f>
        <v>45015</v>
      </c>
      <c r="C2" s="182"/>
      <c r="F2" s="183" t="s">
        <v>182</v>
      </c>
      <c r="G2" s="184"/>
      <c r="H2" s="184"/>
      <c r="I2" s="185"/>
    </row>
    <row r="3" spans="1:10" x14ac:dyDescent="0.25">
      <c r="A3" s="160" t="s">
        <v>1</v>
      </c>
      <c r="B3" s="206" t="s">
        <v>20</v>
      </c>
      <c r="C3" s="206"/>
      <c r="F3" s="85">
        <f>IFERROR(VLOOKUP($B$3,Totals!$B$3:$C$11,2,0),0)</f>
        <v>5187</v>
      </c>
      <c r="G3" s="188" t="s">
        <v>4</v>
      </c>
      <c r="H3" s="188"/>
      <c r="I3" s="189"/>
    </row>
    <row r="4" spans="1:10" x14ac:dyDescent="0.25">
      <c r="F4" s="85">
        <f>VLOOKUP($B$3,Totals!$E$3:$F$12,2,0)</f>
        <v>11560</v>
      </c>
      <c r="G4" s="188" t="s">
        <v>5</v>
      </c>
      <c r="H4" s="188"/>
      <c r="I4" s="189"/>
    </row>
    <row r="5" spans="1:10" x14ac:dyDescent="0.25">
      <c r="A5" s="180" t="s">
        <v>13</v>
      </c>
      <c r="B5" s="89" t="s">
        <v>14</v>
      </c>
      <c r="C5" s="90" t="s">
        <v>15</v>
      </c>
      <c r="D5" s="102" t="s">
        <v>16</v>
      </c>
      <c r="F5" s="86">
        <f>IFERROR(VLOOKUP($B$3,Totals!$B$3:$F$11,3,0),0)</f>
        <v>14250</v>
      </c>
      <c r="G5" s="190" t="s">
        <v>181</v>
      </c>
      <c r="H5" s="190"/>
      <c r="I5" s="191"/>
    </row>
    <row r="6" spans="1:10" x14ac:dyDescent="0.25">
      <c r="A6" s="180"/>
      <c r="B6" s="87">
        <f>VLOOKUP($B$3,Totals!$V$48:$Y$57,2,0)</f>
        <v>4</v>
      </c>
      <c r="C6" s="82">
        <f>VLOOKUP($B$3,Totals!$V$48:$Y$57,3,0)</f>
        <v>4</v>
      </c>
      <c r="D6" s="100">
        <f>VLOOKUP($B$3,Totals!$V$48:$Y$57,4,0)</f>
        <v>3</v>
      </c>
    </row>
    <row r="7" spans="1:10" x14ac:dyDescent="0.25">
      <c r="G7" s="109" t="s">
        <v>6</v>
      </c>
      <c r="H7" s="110">
        <f>F3/F4</f>
        <v>0.44870242214532874</v>
      </c>
    </row>
    <row r="8" spans="1:10" x14ac:dyDescent="0.25">
      <c r="A8" s="180" t="s">
        <v>2</v>
      </c>
      <c r="B8" s="89" t="s">
        <v>180</v>
      </c>
      <c r="C8" s="101" t="s">
        <v>152</v>
      </c>
      <c r="D8" s="96" t="s">
        <v>28</v>
      </c>
      <c r="G8" s="68" t="s">
        <v>7</v>
      </c>
      <c r="H8" s="67">
        <v>1</v>
      </c>
    </row>
    <row r="9" spans="1:10" x14ac:dyDescent="0.25">
      <c r="A9" s="180"/>
      <c r="B9" s="92">
        <f>IFERROR(VLOOKUP($B$3,Totals!$L$3:$N$11,2,0),0)</f>
        <v>17.684210526315788</v>
      </c>
      <c r="C9" s="93">
        <f>IFERROR(VLOOKUP($B$3,Totals!$L$3:$N$11,3,0),0)</f>
        <v>36.4</v>
      </c>
      <c r="D9" s="94">
        <f>IFERROR(VLOOKUP('3'!$B$3,Totals!$P$4:$Y$12,10,0),0)</f>
        <v>31.868015959899438</v>
      </c>
      <c r="G9" s="60"/>
      <c r="H9" s="60"/>
    </row>
    <row r="14" spans="1:10" x14ac:dyDescent="0.25">
      <c r="J14" s="60"/>
    </row>
    <row r="15" spans="1:10" x14ac:dyDescent="0.25">
      <c r="J15" s="60"/>
    </row>
    <row r="16" spans="1:10" x14ac:dyDescent="0.25">
      <c r="H16" s="60"/>
      <c r="I16" s="60"/>
      <c r="J16" s="60"/>
    </row>
    <row r="17" spans="1:10" x14ac:dyDescent="0.25">
      <c r="H17" s="60"/>
      <c r="I17" s="60"/>
      <c r="J17" s="60"/>
    </row>
    <row r="18" spans="1:10" x14ac:dyDescent="0.25">
      <c r="H18" s="60"/>
      <c r="I18" s="60"/>
      <c r="J18" s="60"/>
    </row>
    <row r="21" spans="1:10" x14ac:dyDescent="0.25">
      <c r="A21" s="183" t="s">
        <v>8</v>
      </c>
      <c r="B21" s="184"/>
      <c r="C21" s="184"/>
      <c r="D21" s="185"/>
      <c r="F21" s="183" t="s">
        <v>9</v>
      </c>
      <c r="G21" s="184"/>
      <c r="H21" s="184"/>
      <c r="I21" s="185"/>
    </row>
    <row r="22" spans="1:10" x14ac:dyDescent="0.25">
      <c r="A22" s="77">
        <v>1</v>
      </c>
      <c r="B22" s="80">
        <f>VLOOKUP($B$3&amp;A22,Totals!$G$49:$K$73,4,0)</f>
        <v>206</v>
      </c>
      <c r="C22" s="188" t="str">
        <f>VLOOKUP($B$3&amp;A22,Totals!$G$49:$K$73,5,0)</f>
        <v>Filler</v>
      </c>
      <c r="D22" s="189"/>
      <c r="F22" s="77">
        <v>1</v>
      </c>
      <c r="G22" s="80">
        <f>VLOOKUP($B$3&amp;F22,Totals!$M$49:$Q$73,4,0)</f>
        <v>602</v>
      </c>
      <c r="H22" s="188" t="str">
        <f>VLOOKUP($B$3&amp;F22,Totals!$M$49:$Q$73,5,0)</f>
        <v>Filler</v>
      </c>
      <c r="I22" s="189"/>
    </row>
    <row r="23" spans="1:10" x14ac:dyDescent="0.25">
      <c r="A23" s="78">
        <v>2</v>
      </c>
      <c r="B23" s="81">
        <f>VLOOKUP($B$3&amp;A23,Totals!$G$49:$K$73,4,0)</f>
        <v>131</v>
      </c>
      <c r="C23" s="188" t="str">
        <f>VLOOKUP($B$3&amp;A23,Totals!$G$49:$K$73,5,0)</f>
        <v>Bulk Unloader</v>
      </c>
      <c r="D23" s="189"/>
      <c r="F23" s="78">
        <v>2</v>
      </c>
      <c r="G23" s="81">
        <f>VLOOKUP($B$3&amp;F23,Totals!$M$49:$Q$73,4,0)</f>
        <v>244</v>
      </c>
      <c r="H23" s="188" t="str">
        <f>VLOOKUP($B$3&amp;F23,Totals!$M$49:$Q$73,5,0)</f>
        <v>APM</v>
      </c>
      <c r="I23" s="189"/>
    </row>
    <row r="24" spans="1:10" x14ac:dyDescent="0.25">
      <c r="A24" s="79">
        <v>3</v>
      </c>
      <c r="B24" s="82">
        <f>VLOOKUP($B$3&amp;A24,Totals!$G$49:$K$73,4,0)</f>
        <v>127</v>
      </c>
      <c r="C24" s="190" t="str">
        <f>VLOOKUP($B$3&amp;A24,Totals!$G$49:$K$73,5,0)</f>
        <v>APM</v>
      </c>
      <c r="D24" s="191"/>
      <c r="F24" s="79">
        <v>3</v>
      </c>
      <c r="G24" s="82">
        <f>VLOOKUP($B$3&amp;F24,Totals!$M$49:$Q$73,4,0)</f>
        <v>210</v>
      </c>
      <c r="H24" s="190" t="str">
        <f>VLOOKUP($B$3&amp;F24,Totals!$M$49:$Q$73,5,0)</f>
        <v>Capper</v>
      </c>
      <c r="I24" s="191"/>
    </row>
    <row r="25" spans="1:10" x14ac:dyDescent="0.25">
      <c r="C25" s="21"/>
    </row>
    <row r="27" spans="1:10" x14ac:dyDescent="0.25">
      <c r="A27" s="181" t="s">
        <v>10</v>
      </c>
      <c r="B27" s="181"/>
      <c r="C27" s="181"/>
      <c r="D27" s="181"/>
      <c r="E27" s="181"/>
      <c r="F27" s="181"/>
      <c r="G27" s="181"/>
      <c r="H27" s="181"/>
      <c r="I27" s="181"/>
      <c r="J27" s="181"/>
    </row>
    <row r="28" spans="1:10" x14ac:dyDescent="0.25">
      <c r="A28" s="89" t="s">
        <v>46</v>
      </c>
      <c r="B28" s="90" t="s">
        <v>45</v>
      </c>
      <c r="C28" s="90" t="s">
        <v>155</v>
      </c>
      <c r="D28" s="90" t="s">
        <v>156</v>
      </c>
      <c r="E28" s="209" t="s">
        <v>157</v>
      </c>
      <c r="F28" s="210"/>
      <c r="G28" s="90" t="s">
        <v>183</v>
      </c>
      <c r="H28" s="90" t="s">
        <v>158</v>
      </c>
      <c r="I28" s="90" t="s">
        <v>178</v>
      </c>
      <c r="J28" s="102" t="s">
        <v>184</v>
      </c>
    </row>
    <row r="29" spans="1:10" x14ac:dyDescent="0.25">
      <c r="A29" s="149" t="str" cm="1">
        <f t="array" ref="A29">IFERROR(INDEX(Overall!B$35:B$71,_xlfn.AGGREGATE(15,3,((Overall!$A$35:$A$71=3)/(Overall!$A$35:$A$71=3)*ROW(Overall!$A$35:$A$71))-ROW(Overall!$A$34), ROWS(Overall!$L$35:L35))),"")</f>
        <v>B</v>
      </c>
      <c r="B29" s="71" cm="1">
        <f t="array" ref="B29">IFERROR(INDEX(Overall!C$35:C$71,_xlfn.AGGREGATE(15,3,((Overall!$A$35:$A$71=3)/(Overall!$A$35:$A$71=3)*ROW(Overall!$A$35:$A$71))-ROW(Overall!$A$34), ROWS(Overall!$L$35:M35))),"")</f>
        <v>45011</v>
      </c>
      <c r="C29" s="98" cm="1">
        <f t="array" ref="C29">IFERROR(INDEX(Overall!D$35:D$71,_xlfn.AGGREGATE(15,3,((Overall!$A$35:$A$71=3)/(Overall!$A$35:$A$71=3)*ROW(Overall!$A$35:$A$71))-ROW(Overall!$A$34), ROWS(Overall!$L$35:N35))),"")</f>
        <v>419160</v>
      </c>
      <c r="D29" s="73" t="str" cm="1">
        <f t="array" ref="D29">IFERROR(INDEX(Overall!E$35:E$71,_xlfn.AGGREGATE(15,3,((Overall!$A$35:$A$71=3)/(Overall!$A$35:$A$71=3)*ROW(Overall!$A$35:$A$71))-ROW(Overall!$A$34), ROWS(Overall!$L$35:O35))),"")</f>
        <v>BTL1500814</v>
      </c>
      <c r="E29" s="154" cm="1">
        <f t="array" ref="E29">IFERROR(INDEX(Overall!F$35:F$71,_xlfn.AGGREGATE(15,3,((Overall!$A$35:$A$71=3)/(Overall!$A$35:$A$71=3)*ROW(Overall!$A$35:$A$71))-ROW(Overall!$A$34), ROWS(Overall!$L$35:P35))),"")</f>
        <v>0</v>
      </c>
      <c r="F29" s="155" cm="1">
        <f t="array" ref="F29">IFERROR(INDEX(Overall!G$35:G$71,_xlfn.AGGREGATE(15,3,((Overall!$A$35:$A$71=3)/(Overall!$A$35:$A$71=3)*ROW(Overall!$A$35:$A$71))-ROW(Overall!$A$34), ROWS(Overall!$L$35:Q35))),"")</f>
        <v>163840</v>
      </c>
      <c r="G29" s="117" cm="1">
        <f t="array" ref="G29">IFERROR(INDEX(Overall!H$35:H$71,_xlfn.AGGREGATE(15,3,((Overall!$A$35:$A$71=3)/(Overall!$A$35:$A$71=3)*ROW(Overall!$A$35:$A$71))-ROW(Overall!$A$34), ROWS(Overall!$L$35:R35))),"")</f>
        <v>130000</v>
      </c>
      <c r="H29" s="117" cm="1">
        <f t="array" ref="H29">IFERROR(INDEX(Overall!I$35:I$71,_xlfn.AGGREGATE(15,3,((Overall!$A$35:$A$71=3)/(Overall!$A$35:$A$71=3)*ROW(Overall!$A$35:$A$71))-ROW(Overall!$A$34), ROWS(Overall!$L$35:S35))),"")</f>
        <v>33840</v>
      </c>
      <c r="I29" s="73" t="str" cm="1">
        <f t="array" ref="I29">IFERROR(INDEX(Overall!J$35:J$71,_xlfn.AGGREGATE(15,3,((Overall!$A$35:$A$71=3)/(Overall!$A$35:$A$71=3)*ROW(Overall!$A$35:$A$71))-ROW(Overall!$A$34), ROWS(Overall!$L$35:T35))),"")</f>
        <v>SWILLI03</v>
      </c>
      <c r="J29" s="64" cm="1">
        <f t="array" ref="J29">IFERROR(INDEX(Overall!K$35:K$71,_xlfn.AGGREGATE(15,3,((Overall!$A$35:$A$71=3)/(Overall!$A$35:$A$71=3)*ROW(Overall!$A$35:$A$71))-ROW(Overall!$A$34), ROWS(Overall!$L$35:U35))),"")</f>
        <v>0</v>
      </c>
    </row>
    <row r="30" spans="1:10" x14ac:dyDescent="0.25">
      <c r="A30" s="149" t="str" cm="1">
        <f t="array" ref="A30">IFERROR(INDEX(Overall!B$35:B$71,_xlfn.AGGREGATE(15,3,((Overall!$A$35:$A$71=3)/(Overall!$A$35:$A$71=3)*ROW(Overall!$A$35:$A$71))-ROW(Overall!$A$34), ROWS(Overall!$L$35:L36))),"")</f>
        <v>B</v>
      </c>
      <c r="B30" s="71" cm="1">
        <f t="array" ref="B30">IFERROR(INDEX(Overall!C$35:C$71,_xlfn.AGGREGATE(15,3,((Overall!$A$35:$A$71=3)/(Overall!$A$35:$A$71=3)*ROW(Overall!$A$35:$A$71))-ROW(Overall!$A$34), ROWS(Overall!$L$35:M36))),"")</f>
        <v>45012</v>
      </c>
      <c r="C30" s="98" cm="1">
        <f t="array" ref="C30">IFERROR(INDEX(Overall!D$35:D$71,_xlfn.AGGREGATE(15,3,((Overall!$A$35:$A$71=3)/(Overall!$A$35:$A$71=3)*ROW(Overall!$A$35:$A$71))-ROW(Overall!$A$34), ROWS(Overall!$L$35:N36))),"")</f>
        <v>419153</v>
      </c>
      <c r="D30" s="73" t="str" cm="1">
        <f t="array" ref="D30">IFERROR(INDEX(Overall!E$35:E$71,_xlfn.AGGREGATE(15,3,((Overall!$A$35:$A$71=3)/(Overall!$A$35:$A$71=3)*ROW(Overall!$A$35:$A$71))-ROW(Overall!$A$34), ROWS(Overall!$L$35:O36))),"")</f>
        <v>BTL1500814</v>
      </c>
      <c r="E30" s="154" cm="1">
        <f t="array" ref="E30">IFERROR(INDEX(Overall!F$35:F$71,_xlfn.AGGREGATE(15,3,((Overall!$A$35:$A$71=3)/(Overall!$A$35:$A$71=3)*ROW(Overall!$A$35:$A$71))-ROW(Overall!$A$34), ROWS(Overall!$L$35:P36))),"")</f>
        <v>0</v>
      </c>
      <c r="F30" s="155" cm="1">
        <f t="array" ref="F30">IFERROR(INDEX(Overall!G$35:G$71,_xlfn.AGGREGATE(15,3,((Overall!$A$35:$A$71=3)/(Overall!$A$35:$A$71=3)*ROW(Overall!$A$35:$A$71))-ROW(Overall!$A$34), ROWS(Overall!$L$35:Q36))),"")</f>
        <v>108257</v>
      </c>
      <c r="G30" s="117" cm="1">
        <f t="array" ref="G30">IFERROR(INDEX(Overall!H$35:H$71,_xlfn.AGGREGATE(15,3,((Overall!$A$35:$A$71=3)/(Overall!$A$35:$A$71=3)*ROW(Overall!$A$35:$A$71))-ROW(Overall!$A$34), ROWS(Overall!$L$35:R36))),"")</f>
        <v>100000</v>
      </c>
      <c r="H30" s="117" cm="1">
        <f t="array" ref="H30">IFERROR(INDEX(Overall!I$35:I$71,_xlfn.AGGREGATE(15,3,((Overall!$A$35:$A$71=3)/(Overall!$A$35:$A$71=3)*ROW(Overall!$A$35:$A$71))-ROW(Overall!$A$34), ROWS(Overall!$L$35:S36))),"")</f>
        <v>8257</v>
      </c>
      <c r="I30" s="73" t="str" cm="1">
        <f t="array" ref="I30">IFERROR(INDEX(Overall!J$35:J$71,_xlfn.AGGREGATE(15,3,((Overall!$A$35:$A$71=3)/(Overall!$A$35:$A$71=3)*ROW(Overall!$A$35:$A$71))-ROW(Overall!$A$34), ROWS(Overall!$L$35:T36))),"")</f>
        <v>SWILLI03</v>
      </c>
      <c r="J30" s="64" cm="1">
        <f t="array" ref="J30">IFERROR(INDEX(Overall!K$35:K$71,_xlfn.AGGREGATE(15,3,((Overall!$A$35:$A$71=3)/(Overall!$A$35:$A$71=3)*ROW(Overall!$A$35:$A$71))-ROW(Overall!$A$34), ROWS(Overall!$L$35:U36))),"")</f>
        <v>0</v>
      </c>
    </row>
    <row r="31" spans="1:10" x14ac:dyDescent="0.25">
      <c r="A31" s="149" t="str" cm="1">
        <f t="array" ref="A31">IFERROR(INDEX(Overall!B$35:B$71,_xlfn.AGGREGATE(15,3,((Overall!$A$35:$A$71=3)/(Overall!$A$35:$A$71=3)*ROW(Overall!$A$35:$A$71))-ROW(Overall!$A$34), ROWS(Overall!$L$35:L37))),"")</f>
        <v>C</v>
      </c>
      <c r="B31" s="71" cm="1">
        <f t="array" ref="B31">IFERROR(INDEX(Overall!C$35:C$71,_xlfn.AGGREGATE(15,3,((Overall!$A$35:$A$71=3)/(Overall!$A$35:$A$71=3)*ROW(Overall!$A$35:$A$71))-ROW(Overall!$A$34), ROWS(Overall!$L$35:M37))),"")</f>
        <v>45012</v>
      </c>
      <c r="C31" s="98" cm="1">
        <f t="array" ref="C31">IFERROR(INDEX(Overall!D$35:D$71,_xlfn.AGGREGATE(15,3,((Overall!$A$35:$A$71=3)/(Overall!$A$35:$A$71=3)*ROW(Overall!$A$35:$A$71))-ROW(Overall!$A$34), ROWS(Overall!$L$35:N37))),"")</f>
        <v>419154</v>
      </c>
      <c r="D31" s="73" t="str" cm="1">
        <f t="array" ref="D31">IFERROR(INDEX(Overall!E$35:E$71,_xlfn.AGGREGATE(15,3,((Overall!$A$35:$A$71=3)/(Overall!$A$35:$A$71=3)*ROW(Overall!$A$35:$A$71))-ROW(Overall!$A$34), ROWS(Overall!$L$35:O37))),"")</f>
        <v>BTL1500814</v>
      </c>
      <c r="E31" s="154" cm="1">
        <f t="array" ref="E31">IFERROR(INDEX(Overall!F$35:F$71,_xlfn.AGGREGATE(15,3,((Overall!$A$35:$A$71=3)/(Overall!$A$35:$A$71=3)*ROW(Overall!$A$35:$A$71))-ROW(Overall!$A$34), ROWS(Overall!$L$35:P37))),"")</f>
        <v>0</v>
      </c>
      <c r="F31" s="155" cm="1">
        <f t="array" ref="F31">IFERROR(INDEX(Overall!G$35:G$71,_xlfn.AGGREGATE(15,3,((Overall!$A$35:$A$71=3)/(Overall!$A$35:$A$71=3)*ROW(Overall!$A$35:$A$71))-ROW(Overall!$A$34), ROWS(Overall!$L$35:Q37))),"")</f>
        <v>103883</v>
      </c>
      <c r="G31" s="117" cm="1">
        <f t="array" ref="G31">IFERROR(INDEX(Overall!H$35:H$71,_xlfn.AGGREGATE(15,3,((Overall!$A$35:$A$71=3)/(Overall!$A$35:$A$71=3)*ROW(Overall!$A$35:$A$71))-ROW(Overall!$A$34), ROWS(Overall!$L$35:R37))),"")</f>
        <v>62500</v>
      </c>
      <c r="H31" s="117" cm="1">
        <f t="array" ref="H31">IFERROR(INDEX(Overall!I$35:I$71,_xlfn.AGGREGATE(15,3,((Overall!$A$35:$A$71=3)/(Overall!$A$35:$A$71=3)*ROW(Overall!$A$35:$A$71))-ROW(Overall!$A$34), ROWS(Overall!$L$35:S37))),"")</f>
        <v>41383</v>
      </c>
      <c r="I31" s="73" t="str" cm="1">
        <f t="array" ref="I31">IFERROR(INDEX(Overall!J$35:J$71,_xlfn.AGGREGATE(15,3,((Overall!$A$35:$A$71=3)/(Overall!$A$35:$A$71=3)*ROW(Overall!$A$35:$A$71))-ROW(Overall!$A$34), ROWS(Overall!$L$35:T37))),"")</f>
        <v>CDN481RS</v>
      </c>
      <c r="J31" s="64" cm="1">
        <f t="array" ref="J31">IFERROR(INDEX(Overall!K$35:K$71,_xlfn.AGGREGATE(15,3,((Overall!$A$35:$A$71=3)/(Overall!$A$35:$A$71=3)*ROW(Overall!$A$35:$A$71))-ROW(Overall!$A$34), ROWS(Overall!$L$35:U37))),"")</f>
        <v>0</v>
      </c>
    </row>
    <row r="32" spans="1:10" x14ac:dyDescent="0.25">
      <c r="A32" s="149" t="str" cm="1">
        <f t="array" ref="A32">IFERROR(INDEX(Overall!B$35:B$71,_xlfn.AGGREGATE(15,3,((Overall!$A$35:$A$71=3)/(Overall!$A$35:$A$71=3)*ROW(Overall!$A$35:$A$71))-ROW(Overall!$A$34), ROWS(Overall!$L$35:L38))),"")</f>
        <v>C</v>
      </c>
      <c r="B32" s="71" cm="1">
        <f t="array" ref="B32">IFERROR(INDEX(Overall!C$35:C$71,_xlfn.AGGREGATE(15,3,((Overall!$A$35:$A$71=3)/(Overall!$A$35:$A$71=3)*ROW(Overall!$A$35:$A$71))-ROW(Overall!$A$34), ROWS(Overall!$L$35:M38))),"")</f>
        <v>45013</v>
      </c>
      <c r="C32" s="98" cm="1">
        <f t="array" ref="C32">IFERROR(INDEX(Overall!D$35:D$71,_xlfn.AGGREGATE(15,3,((Overall!$A$35:$A$71=3)/(Overall!$A$35:$A$71=3)*ROW(Overall!$A$35:$A$71))-ROW(Overall!$A$34), ROWS(Overall!$L$35:N38))),"")</f>
        <v>419155</v>
      </c>
      <c r="D32" s="73" t="str" cm="1">
        <f t="array" ref="D32">IFERROR(INDEX(Overall!E$35:E$71,_xlfn.AGGREGATE(15,3,((Overall!$A$35:$A$71=3)/(Overall!$A$35:$A$71=3)*ROW(Overall!$A$35:$A$71))-ROW(Overall!$A$34), ROWS(Overall!$L$35:O38))),"")</f>
        <v>BTL1500814</v>
      </c>
      <c r="E32" s="154" cm="1">
        <f t="array" ref="E32">IFERROR(INDEX(Overall!F$35:F$71,_xlfn.AGGREGATE(15,3,((Overall!$A$35:$A$71=3)/(Overall!$A$35:$A$71=3)*ROW(Overall!$A$35:$A$71))-ROW(Overall!$A$34), ROWS(Overall!$L$35:P38))),"")</f>
        <v>0</v>
      </c>
      <c r="F32" s="155" cm="1">
        <f t="array" ref="F32">IFERROR(INDEX(Overall!G$35:G$71,_xlfn.AGGREGATE(15,3,((Overall!$A$35:$A$71=3)/(Overall!$A$35:$A$71=3)*ROW(Overall!$A$35:$A$71))-ROW(Overall!$A$34), ROWS(Overall!$L$35:Q38))),"")</f>
        <v>101043</v>
      </c>
      <c r="G32" s="117" cm="1">
        <f t="array" ref="G32">IFERROR(INDEX(Overall!H$35:H$71,_xlfn.AGGREGATE(15,3,((Overall!$A$35:$A$71=3)/(Overall!$A$35:$A$71=3)*ROW(Overall!$A$35:$A$71))-ROW(Overall!$A$34), ROWS(Overall!$L$35:R38))),"")</f>
        <v>110000</v>
      </c>
      <c r="H32" s="117" cm="1">
        <f t="array" ref="H32">IFERROR(INDEX(Overall!I$35:I$71,_xlfn.AGGREGATE(15,3,((Overall!$A$35:$A$71=3)/(Overall!$A$35:$A$71=3)*ROW(Overall!$A$35:$A$71))-ROW(Overall!$A$34), ROWS(Overall!$L$35:S38))),"")</f>
        <v>-8957</v>
      </c>
      <c r="I32" s="73" t="str" cm="1">
        <f t="array" ref="I32">IFERROR(INDEX(Overall!J$35:J$71,_xlfn.AGGREGATE(15,3,((Overall!$A$35:$A$71=3)/(Overall!$A$35:$A$71=3)*ROW(Overall!$A$35:$A$71))-ROW(Overall!$A$34), ROWS(Overall!$L$35:T38))),"")</f>
        <v>PR044664</v>
      </c>
      <c r="J32" s="64" cm="1">
        <f t="array" ref="J32">IFERROR(INDEX(Overall!K$35:K$71,_xlfn.AGGREGATE(15,3,((Overall!$A$35:$A$71=3)/(Overall!$A$35:$A$71=3)*ROW(Overall!$A$35:$A$71))-ROW(Overall!$A$34), ROWS(Overall!$L$35:U38))),"")</f>
        <v>0</v>
      </c>
    </row>
    <row r="33" spans="1:10" x14ac:dyDescent="0.25">
      <c r="A33" s="149" t="str" cm="1">
        <f t="array" ref="A33">IFERROR(INDEX(Overall!B$35:B$71,_xlfn.AGGREGATE(15,3,((Overall!$A$35:$A$71=3)/(Overall!$A$35:$A$71=3)*ROW(Overall!$A$35:$A$71))-ROW(Overall!$A$34), ROWS(Overall!$L$35:L39))),"")</f>
        <v>B</v>
      </c>
      <c r="B33" s="71" cm="1">
        <f t="array" ref="B33">IFERROR(INDEX(Overall!C$35:C$71,_xlfn.AGGREGATE(15,3,((Overall!$A$35:$A$71=3)/(Overall!$A$35:$A$71=3)*ROW(Overall!$A$35:$A$71))-ROW(Overall!$A$34), ROWS(Overall!$L$35:M39))),"")</f>
        <v>45013</v>
      </c>
      <c r="C33" s="98" cm="1">
        <f t="array" ref="C33">IFERROR(INDEX(Overall!D$35:D$71,_xlfn.AGGREGATE(15,3,((Overall!$A$35:$A$71=3)/(Overall!$A$35:$A$71=3)*ROW(Overall!$A$35:$A$71))-ROW(Overall!$A$34), ROWS(Overall!$L$35:N39))),"")</f>
        <v>419156</v>
      </c>
      <c r="D33" s="73" t="str" cm="1">
        <f t="array" ref="D33">IFERROR(INDEX(Overall!E$35:E$71,_xlfn.AGGREGATE(15,3,((Overall!$A$35:$A$71=3)/(Overall!$A$35:$A$71=3)*ROW(Overall!$A$35:$A$71))-ROW(Overall!$A$34), ROWS(Overall!$L$35:O39))),"")</f>
        <v>BTL1500814</v>
      </c>
      <c r="E33" s="154" cm="1">
        <f t="array" ref="E33">IFERROR(INDEX(Overall!F$35:F$71,_xlfn.AGGREGATE(15,3,((Overall!$A$35:$A$71=3)/(Overall!$A$35:$A$71=3)*ROW(Overall!$A$35:$A$71))-ROW(Overall!$A$34), ROWS(Overall!$L$35:P39))),"")</f>
        <v>0</v>
      </c>
      <c r="F33" s="155" cm="1">
        <f t="array" ref="F33">IFERROR(INDEX(Overall!G$35:G$71,_xlfn.AGGREGATE(15,3,((Overall!$A$35:$A$71=3)/(Overall!$A$35:$A$71=3)*ROW(Overall!$A$35:$A$71))-ROW(Overall!$A$34), ROWS(Overall!$L$35:Q39))),"")</f>
        <v>139761</v>
      </c>
      <c r="G33" s="117" cm="1">
        <f t="array" ref="G33">IFERROR(INDEX(Overall!H$35:H$71,_xlfn.AGGREGATE(15,3,((Overall!$A$35:$A$71=3)/(Overall!$A$35:$A$71=3)*ROW(Overall!$A$35:$A$71))-ROW(Overall!$A$34), ROWS(Overall!$L$35:R39))),"")</f>
        <v>90000</v>
      </c>
      <c r="H33" s="117" cm="1">
        <f t="array" ref="H33">IFERROR(INDEX(Overall!I$35:I$71,_xlfn.AGGREGATE(15,3,((Overall!$A$35:$A$71=3)/(Overall!$A$35:$A$71=3)*ROW(Overall!$A$35:$A$71))-ROW(Overall!$A$34), ROWS(Overall!$L$35:S39))),"")</f>
        <v>49761</v>
      </c>
      <c r="I33" s="73" t="str" cm="1">
        <f t="array" ref="I33">IFERROR(INDEX(Overall!J$35:J$71,_xlfn.AGGREGATE(15,3,((Overall!$A$35:$A$71=3)/(Overall!$A$35:$A$71=3)*ROW(Overall!$A$35:$A$71))-ROW(Overall!$A$34), ROWS(Overall!$L$35:T39))),"")</f>
        <v>CMCDAN01</v>
      </c>
      <c r="J33" s="64" cm="1">
        <f t="array" ref="J33">IFERROR(INDEX(Overall!K$35:K$71,_xlfn.AGGREGATE(15,3,((Overall!$A$35:$A$71=3)/(Overall!$A$35:$A$71=3)*ROW(Overall!$A$35:$A$71))-ROW(Overall!$A$34), ROWS(Overall!$L$35:U39))),"")</f>
        <v>0</v>
      </c>
    </row>
    <row r="34" spans="1:10" x14ac:dyDescent="0.25">
      <c r="A34" s="149" t="str" cm="1">
        <f t="array" ref="A34">IFERROR(INDEX(Overall!B$35:B$71,_xlfn.AGGREGATE(15,3,((Overall!$A$35:$A$71=3)/(Overall!$A$35:$A$71=3)*ROW(Overall!$A$35:$A$71))-ROW(Overall!$A$34), ROWS(Overall!$L$35:L40))),"")</f>
        <v>B</v>
      </c>
      <c r="B34" s="71" cm="1">
        <f t="array" ref="B34">IFERROR(INDEX(Overall!C$35:C$71,_xlfn.AGGREGATE(15,3,((Overall!$A$35:$A$71=3)/(Overall!$A$35:$A$71=3)*ROW(Overall!$A$35:$A$71))-ROW(Overall!$A$34), ROWS(Overall!$L$35:M40))),"")</f>
        <v>45014</v>
      </c>
      <c r="C34" s="98" cm="1">
        <f t="array" ref="C34">IFERROR(INDEX(Overall!D$35:D$71,_xlfn.AGGREGATE(15,3,((Overall!$A$35:$A$71=3)/(Overall!$A$35:$A$71=3)*ROW(Overall!$A$35:$A$71))-ROW(Overall!$A$34), ROWS(Overall!$L$35:N40))),"")</f>
        <v>419157</v>
      </c>
      <c r="D34" s="73" t="str" cm="1">
        <f t="array" ref="D34">IFERROR(INDEX(Overall!E$35:E$71,_xlfn.AGGREGATE(15,3,((Overall!$A$35:$A$71=3)/(Overall!$A$35:$A$71=3)*ROW(Overall!$A$35:$A$71))-ROW(Overall!$A$34), ROWS(Overall!$L$35:O40))),"")</f>
        <v>BTL1500814</v>
      </c>
      <c r="E34" s="154" cm="1">
        <f t="array" ref="E34">IFERROR(INDEX(Overall!F$35:F$71,_xlfn.AGGREGATE(15,3,((Overall!$A$35:$A$71=3)/(Overall!$A$35:$A$71=3)*ROW(Overall!$A$35:$A$71))-ROW(Overall!$A$34), ROWS(Overall!$L$35:P40))),"")</f>
        <v>0</v>
      </c>
      <c r="F34" s="155" cm="1">
        <f t="array" ref="F34">IFERROR(INDEX(Overall!G$35:G$71,_xlfn.AGGREGATE(15,3,((Overall!$A$35:$A$71=3)/(Overall!$A$35:$A$71=3)*ROW(Overall!$A$35:$A$71))-ROW(Overall!$A$34), ROWS(Overall!$L$35:Q40))),"")</f>
        <v>44226</v>
      </c>
      <c r="G34" s="117" cm="1">
        <f t="array" ref="G34">IFERROR(INDEX(Overall!H$35:H$71,_xlfn.AGGREGATE(15,3,((Overall!$A$35:$A$71=3)/(Overall!$A$35:$A$71=3)*ROW(Overall!$A$35:$A$71))-ROW(Overall!$A$34), ROWS(Overall!$L$35:R40))),"")</f>
        <v>35000</v>
      </c>
      <c r="H34" s="117" cm="1">
        <f t="array" ref="H34">IFERROR(INDEX(Overall!I$35:I$71,_xlfn.AGGREGATE(15,3,((Overall!$A$35:$A$71=3)/(Overall!$A$35:$A$71=3)*ROW(Overall!$A$35:$A$71))-ROW(Overall!$A$34), ROWS(Overall!$L$35:S40))),"")</f>
        <v>9226</v>
      </c>
      <c r="I34" s="73" t="str" cm="1">
        <f t="array" ref="I34">IFERROR(INDEX(Overall!J$35:J$71,_xlfn.AGGREGATE(15,3,((Overall!$A$35:$A$71=3)/(Overall!$A$35:$A$71=3)*ROW(Overall!$A$35:$A$71))-ROW(Overall!$A$34), ROWS(Overall!$L$35:T40))),"")</f>
        <v>SWILLI03</v>
      </c>
      <c r="J34" s="64" cm="1">
        <f t="array" ref="J34">IFERROR(INDEX(Overall!K$35:K$71,_xlfn.AGGREGATE(15,3,((Overall!$A$35:$A$71=3)/(Overall!$A$35:$A$71=3)*ROW(Overall!$A$35:$A$71))-ROW(Overall!$A$34), ROWS(Overall!$L$35:U40))),"")</f>
        <v>0</v>
      </c>
    </row>
    <row r="35" spans="1:10" x14ac:dyDescent="0.25">
      <c r="A35" s="149" t="str" cm="1">
        <f t="array" ref="A35">IFERROR(INDEX(Overall!B$35:B$71,_xlfn.AGGREGATE(15,3,((Overall!$A$35:$A$71=3)/(Overall!$A$35:$A$71=3)*ROW(Overall!$A$35:$A$71))-ROW(Overall!$A$34), ROWS(Overall!$L$35:L41))),"")</f>
        <v>B</v>
      </c>
      <c r="B35" s="71" cm="1">
        <f t="array" ref="B35">IFERROR(INDEX(Overall!C$35:C$71,_xlfn.AGGREGATE(15,3,((Overall!$A$35:$A$71=3)/(Overall!$A$35:$A$71=3)*ROW(Overall!$A$35:$A$71))-ROW(Overall!$A$34), ROWS(Overall!$L$35:M41))),"")</f>
        <v>45014</v>
      </c>
      <c r="C35" s="98" cm="1">
        <f t="array" ref="C35">IFERROR(INDEX(Overall!D$35:D$71,_xlfn.AGGREGATE(15,3,((Overall!$A$35:$A$71=3)/(Overall!$A$35:$A$71=3)*ROW(Overall!$A$35:$A$71))-ROW(Overall!$A$34), ROWS(Overall!$L$35:N41))),"")</f>
        <v>419157</v>
      </c>
      <c r="D35" s="73" t="str" cm="1">
        <f t="array" ref="D35">IFERROR(INDEX(Overall!E$35:E$71,_xlfn.AGGREGATE(15,3,((Overall!$A$35:$A$71=3)/(Overall!$A$35:$A$71=3)*ROW(Overall!$A$35:$A$71))-ROW(Overall!$A$34), ROWS(Overall!$L$35:O41))),"")</f>
        <v>CLO198645</v>
      </c>
      <c r="E35" s="154" cm="1">
        <f t="array" ref="E35">IFERROR(INDEX(Overall!F$35:F$71,_xlfn.AGGREGATE(15,3,((Overall!$A$35:$A$71=3)/(Overall!$A$35:$A$71=3)*ROW(Overall!$A$35:$A$71))-ROW(Overall!$A$34), ROWS(Overall!$L$35:P41))),"")</f>
        <v>0</v>
      </c>
      <c r="F35" s="155" cm="1">
        <f t="array" ref="F35">IFERROR(INDEX(Overall!G$35:G$71,_xlfn.AGGREGATE(15,3,((Overall!$A$35:$A$71=3)/(Overall!$A$35:$A$71=3)*ROW(Overall!$A$35:$A$71))-ROW(Overall!$A$34), ROWS(Overall!$L$35:Q41))),"")</f>
        <v>44991</v>
      </c>
      <c r="G35" s="117" cm="1">
        <f t="array" ref="G35">IFERROR(INDEX(Overall!H$35:H$71,_xlfn.AGGREGATE(15,3,((Overall!$A$35:$A$71=3)/(Overall!$A$35:$A$71=3)*ROW(Overall!$A$35:$A$71))-ROW(Overall!$A$34), ROWS(Overall!$L$35:R41))),"")</f>
        <v>53520</v>
      </c>
      <c r="H35" s="117" cm="1">
        <f t="array" ref="H35">IFERROR(INDEX(Overall!I$35:I$71,_xlfn.AGGREGATE(15,3,((Overall!$A$35:$A$71=3)/(Overall!$A$35:$A$71=3)*ROW(Overall!$A$35:$A$71))-ROW(Overall!$A$34), ROWS(Overall!$L$35:S41))),"")</f>
        <v>-8529</v>
      </c>
      <c r="I35" s="73" t="str" cm="1">
        <f t="array" ref="I35">IFERROR(INDEX(Overall!J$35:J$71,_xlfn.AGGREGATE(15,3,((Overall!$A$35:$A$71=3)/(Overall!$A$35:$A$71=3)*ROW(Overall!$A$35:$A$71))-ROW(Overall!$A$34), ROWS(Overall!$L$35:T41))),"")</f>
        <v>PR048208</v>
      </c>
      <c r="J35" s="64" cm="1">
        <f t="array" ref="J35">IFERROR(INDEX(Overall!K$35:K$71,_xlfn.AGGREGATE(15,3,((Overall!$A$35:$A$71=3)/(Overall!$A$35:$A$71=3)*ROW(Overall!$A$35:$A$71))-ROW(Overall!$A$34), ROWS(Overall!$L$35:U41))),"")</f>
        <v>0</v>
      </c>
    </row>
    <row r="36" spans="1:10" x14ac:dyDescent="0.25">
      <c r="A36" s="149" t="str" cm="1">
        <f t="array" ref="A36">IFERROR(INDEX(Overall!B$35:B$71,_xlfn.AGGREGATE(15,3,((Overall!$A$35:$A$71=3)/(Overall!$A$35:$A$71=3)*ROW(Overall!$A$35:$A$71))-ROW(Overall!$A$34), ROWS(Overall!$L$35:L42))),"")</f>
        <v>B</v>
      </c>
      <c r="B36" s="71" cm="1">
        <f t="array" ref="B36">IFERROR(INDEX(Overall!C$35:C$71,_xlfn.AGGREGATE(15,3,((Overall!$A$35:$A$71=3)/(Overall!$A$35:$A$71=3)*ROW(Overall!$A$35:$A$71))-ROW(Overall!$A$34), ROWS(Overall!$L$35:M42))),"")</f>
        <v>45014</v>
      </c>
      <c r="C36" s="98" cm="1">
        <f t="array" ref="C36">IFERROR(INDEX(Overall!D$35:D$71,_xlfn.AGGREGATE(15,3,((Overall!$A$35:$A$71=3)/(Overall!$A$35:$A$71=3)*ROW(Overall!$A$35:$A$71))-ROW(Overall!$A$34), ROWS(Overall!$L$35:N42))),"")</f>
        <v>419157</v>
      </c>
      <c r="D36" s="73" t="str" cm="1">
        <f t="array" ref="D36">IFERROR(INDEX(Overall!E$35:E$71,_xlfn.AGGREGATE(15,3,((Overall!$A$35:$A$71=3)/(Overall!$A$35:$A$71=3)*ROW(Overall!$A$35:$A$71))-ROW(Overall!$A$34), ROWS(Overall!$L$35:O42))),"")</f>
        <v>LBL1501512</v>
      </c>
      <c r="E36" s="154" cm="1">
        <f t="array" ref="E36">IFERROR(INDEX(Overall!F$35:F$71,_xlfn.AGGREGATE(15,3,((Overall!$A$35:$A$71=3)/(Overall!$A$35:$A$71=3)*ROW(Overall!$A$35:$A$71))-ROW(Overall!$A$34), ROWS(Overall!$L$35:P42))),"")</f>
        <v>0</v>
      </c>
      <c r="F36" s="155" cm="1">
        <f t="array" ref="F36">IFERROR(INDEX(Overall!G$35:G$71,_xlfn.AGGREGATE(15,3,((Overall!$A$35:$A$71=3)/(Overall!$A$35:$A$71=3)*ROW(Overall!$A$35:$A$71))-ROW(Overall!$A$34), ROWS(Overall!$L$35:Q42))),"")</f>
        <v>44991</v>
      </c>
      <c r="G36" s="117" cm="1">
        <f t="array" ref="G36">IFERROR(INDEX(Overall!H$35:H$71,_xlfn.AGGREGATE(15,3,((Overall!$A$35:$A$71=3)/(Overall!$A$35:$A$71=3)*ROW(Overall!$A$35:$A$71))-ROW(Overall!$A$34), ROWS(Overall!$L$35:R42))),"")</f>
        <v>48400</v>
      </c>
      <c r="H36" s="117" cm="1">
        <f t="array" ref="H36">IFERROR(INDEX(Overall!I$35:I$71,_xlfn.AGGREGATE(15,3,((Overall!$A$35:$A$71=3)/(Overall!$A$35:$A$71=3)*ROW(Overall!$A$35:$A$71))-ROW(Overall!$A$34), ROWS(Overall!$L$35:S42))),"")</f>
        <v>-3409</v>
      </c>
      <c r="I36" s="73" t="str" cm="1">
        <f t="array" ref="I36">IFERROR(INDEX(Overall!J$35:J$71,_xlfn.AGGREGATE(15,3,((Overall!$A$35:$A$71=3)/(Overall!$A$35:$A$71=3)*ROW(Overall!$A$35:$A$71))-ROW(Overall!$A$34), ROWS(Overall!$L$35:T42))),"")</f>
        <v>PR048208</v>
      </c>
      <c r="J36" s="64" cm="1">
        <f t="array" ref="J36">IFERROR(INDEX(Overall!K$35:K$71,_xlfn.AGGREGATE(15,3,((Overall!$A$35:$A$71=3)/(Overall!$A$35:$A$71=3)*ROW(Overall!$A$35:$A$71))-ROW(Overall!$A$34), ROWS(Overall!$L$35:U42))),"")</f>
        <v>0</v>
      </c>
    </row>
    <row r="37" spans="1:10" x14ac:dyDescent="0.25">
      <c r="A37" s="149" t="str" cm="1">
        <f t="array" ref="A37">IFERROR(INDEX(Overall!B$35:B$71,_xlfn.AGGREGATE(15,3,((Overall!$A$35:$A$71=3)/(Overall!$A$35:$A$71=3)*ROW(Overall!$A$35:$A$71))-ROW(Overall!$A$34), ROWS(Overall!$L$35:L43))),"")</f>
        <v>B</v>
      </c>
      <c r="B37" s="71" cm="1">
        <f t="array" ref="B37">IFERROR(INDEX(Overall!C$35:C$71,_xlfn.AGGREGATE(15,3,((Overall!$A$35:$A$71=3)/(Overall!$A$35:$A$71=3)*ROW(Overall!$A$35:$A$71))-ROW(Overall!$A$34), ROWS(Overall!$L$35:M43))),"")</f>
        <v>45014</v>
      </c>
      <c r="C37" s="98" cm="1">
        <f t="array" ref="C37">IFERROR(INDEX(Overall!D$35:D$71,_xlfn.AGGREGATE(15,3,((Overall!$A$35:$A$71=3)/(Overall!$A$35:$A$71=3)*ROW(Overall!$A$35:$A$71))-ROW(Overall!$A$34), ROWS(Overall!$L$35:N43))),"")</f>
        <v>419157</v>
      </c>
      <c r="D37" s="73" t="str" cm="1">
        <f t="array" ref="D37">IFERROR(INDEX(Overall!E$35:E$71,_xlfn.AGGREGATE(15,3,((Overall!$A$35:$A$71=3)/(Overall!$A$35:$A$71=3)*ROW(Overall!$A$35:$A$71))-ROW(Overall!$A$34), ROWS(Overall!$L$35:O43))),"")</f>
        <v>LBL1502126</v>
      </c>
      <c r="E37" s="154" cm="1">
        <f t="array" ref="E37">IFERROR(INDEX(Overall!F$35:F$71,_xlfn.AGGREGATE(15,3,((Overall!$A$35:$A$71=3)/(Overall!$A$35:$A$71=3)*ROW(Overall!$A$35:$A$71))-ROW(Overall!$A$34), ROWS(Overall!$L$35:P43))),"")</f>
        <v>0</v>
      </c>
      <c r="F37" s="155" cm="1">
        <f t="array" ref="F37">IFERROR(INDEX(Overall!G$35:G$71,_xlfn.AGGREGATE(15,3,((Overall!$A$35:$A$71=3)/(Overall!$A$35:$A$71=3)*ROW(Overall!$A$35:$A$71))-ROW(Overall!$A$34), ROWS(Overall!$L$35:Q43))),"")</f>
        <v>44991</v>
      </c>
      <c r="G37" s="117" cm="1">
        <f t="array" ref="G37">IFERROR(INDEX(Overall!H$35:H$71,_xlfn.AGGREGATE(15,3,((Overall!$A$35:$A$71=3)/(Overall!$A$35:$A$71=3)*ROW(Overall!$A$35:$A$71))-ROW(Overall!$A$34), ROWS(Overall!$L$35:R43))),"")</f>
        <v>48410</v>
      </c>
      <c r="H37" s="117" cm="1">
        <f t="array" ref="H37">IFERROR(INDEX(Overall!I$35:I$71,_xlfn.AGGREGATE(15,3,((Overall!$A$35:$A$71=3)/(Overall!$A$35:$A$71=3)*ROW(Overall!$A$35:$A$71))-ROW(Overall!$A$34), ROWS(Overall!$L$35:S43))),"")</f>
        <v>-3419</v>
      </c>
      <c r="I37" s="73" t="str" cm="1">
        <f t="array" ref="I37">IFERROR(INDEX(Overall!J$35:J$71,_xlfn.AGGREGATE(15,3,((Overall!$A$35:$A$71=3)/(Overall!$A$35:$A$71=3)*ROW(Overall!$A$35:$A$71))-ROW(Overall!$A$34), ROWS(Overall!$L$35:T43))),"")</f>
        <v>PR048208</v>
      </c>
      <c r="J37" s="64" cm="1">
        <f t="array" ref="J37">IFERROR(INDEX(Overall!K$35:K$71,_xlfn.AGGREGATE(15,3,((Overall!$A$35:$A$71=3)/(Overall!$A$35:$A$71=3)*ROW(Overall!$A$35:$A$71))-ROW(Overall!$A$34), ROWS(Overall!$L$35:U43))),"")</f>
        <v>0</v>
      </c>
    </row>
    <row r="38" spans="1:10" x14ac:dyDescent="0.25">
      <c r="A38" s="149" t="str" cm="1">
        <f t="array" ref="A38">IFERROR(INDEX(Overall!B$35:B$71,_xlfn.AGGREGATE(15,3,((Overall!$A$35:$A$71=3)/(Overall!$A$35:$A$71=3)*ROW(Overall!$A$35:$A$71))-ROW(Overall!$A$34), ROWS(Overall!$L$35:L44))),"")</f>
        <v/>
      </c>
      <c r="B38" s="71" t="str" cm="1">
        <f t="array" ref="B38">IFERROR(INDEX(Overall!C$35:C$71,_xlfn.AGGREGATE(15,3,((Overall!$A$35:$A$71=3)/(Overall!$A$35:$A$71=3)*ROW(Overall!$A$35:$A$71))-ROW(Overall!$A$34), ROWS(Overall!$L$35:M44))),"")</f>
        <v/>
      </c>
      <c r="C38" s="98" t="str" cm="1">
        <f t="array" ref="C38">IFERROR(INDEX(Overall!D$35:D$71,_xlfn.AGGREGATE(15,3,((Overall!$A$35:$A$71=3)/(Overall!$A$35:$A$71=3)*ROW(Overall!$A$35:$A$71))-ROW(Overall!$A$34), ROWS(Overall!$L$35:N44))),"")</f>
        <v/>
      </c>
      <c r="D38" s="73" t="str" cm="1">
        <f t="array" ref="D38">IFERROR(INDEX(Overall!E$35:E$71,_xlfn.AGGREGATE(15,3,((Overall!$A$35:$A$71=3)/(Overall!$A$35:$A$71=3)*ROW(Overall!$A$35:$A$71))-ROW(Overall!$A$34), ROWS(Overall!$L$35:O44))),"")</f>
        <v/>
      </c>
      <c r="E38" s="154" t="str" cm="1">
        <f t="array" ref="E38">IFERROR(INDEX(Overall!F$35:F$71,_xlfn.AGGREGATE(15,3,((Overall!$A$35:$A$71=3)/(Overall!$A$35:$A$71=3)*ROW(Overall!$A$35:$A$71))-ROW(Overall!$A$34), ROWS(Overall!$L$35:P44))),"")</f>
        <v/>
      </c>
      <c r="F38" s="155" t="str" cm="1">
        <f t="array" ref="F38">IFERROR(INDEX(Overall!G$35:G$71,_xlfn.AGGREGATE(15,3,((Overall!$A$35:$A$71=3)/(Overall!$A$35:$A$71=3)*ROW(Overall!$A$35:$A$71))-ROW(Overall!$A$34), ROWS(Overall!$L$35:Q44))),"")</f>
        <v/>
      </c>
      <c r="G38" s="117" t="str" cm="1">
        <f t="array" ref="G38">IFERROR(INDEX(Overall!H$35:H$71,_xlfn.AGGREGATE(15,3,((Overall!$A$35:$A$71=3)/(Overall!$A$35:$A$71=3)*ROW(Overall!$A$35:$A$71))-ROW(Overall!$A$34), ROWS(Overall!$L$35:R44))),"")</f>
        <v/>
      </c>
      <c r="H38" s="117" t="str" cm="1">
        <f t="array" ref="H38">IFERROR(INDEX(Overall!I$35:I$71,_xlfn.AGGREGATE(15,3,((Overall!$A$35:$A$71=3)/(Overall!$A$35:$A$71=3)*ROW(Overall!$A$35:$A$71))-ROW(Overall!$A$34), ROWS(Overall!$L$35:S44))),"")</f>
        <v/>
      </c>
      <c r="I38" s="73" t="str" cm="1">
        <f t="array" ref="I38">IFERROR(INDEX(Overall!J$35:J$71,_xlfn.AGGREGATE(15,3,((Overall!$A$35:$A$71=3)/(Overall!$A$35:$A$71=3)*ROW(Overall!$A$35:$A$71))-ROW(Overall!$A$34), ROWS(Overall!$L$35:T44))),"")</f>
        <v/>
      </c>
      <c r="J38" s="64" t="str" cm="1">
        <f t="array" ref="J38">IFERROR(INDEX(Overall!K$35:K$71,_xlfn.AGGREGATE(15,3,((Overall!$A$35:$A$71=3)/(Overall!$A$35:$A$71=3)*ROW(Overall!$A$35:$A$71))-ROW(Overall!$A$34), ROWS(Overall!$L$35:U44))),"")</f>
        <v/>
      </c>
    </row>
    <row r="39" spans="1:10" x14ac:dyDescent="0.25">
      <c r="A39" s="149" t="str" cm="1">
        <f t="array" ref="A39">IFERROR(INDEX(Overall!B$35:B$71,_xlfn.AGGREGATE(15,3,((Overall!$A$35:$A$71=3)/(Overall!$A$35:$A$71=3)*ROW(Overall!$A$35:$A$71))-ROW(Overall!$A$34), ROWS(Overall!$L$35:L45))),"")</f>
        <v/>
      </c>
      <c r="B39" s="71" t="str" cm="1">
        <f t="array" ref="B39">IFERROR(INDEX(Overall!C$35:C$71,_xlfn.AGGREGATE(15,3,((Overall!$A$35:$A$71=3)/(Overall!$A$35:$A$71=3)*ROW(Overall!$A$35:$A$71))-ROW(Overall!$A$34), ROWS(Overall!$L$35:M45))),"")</f>
        <v/>
      </c>
      <c r="C39" s="98" t="str" cm="1">
        <f t="array" ref="C39">IFERROR(INDEX(Overall!D$35:D$71,_xlfn.AGGREGATE(15,3,((Overall!$A$35:$A$71=3)/(Overall!$A$35:$A$71=3)*ROW(Overall!$A$35:$A$71))-ROW(Overall!$A$34), ROWS(Overall!$L$35:N45))),"")</f>
        <v/>
      </c>
      <c r="D39" s="73" t="str" cm="1">
        <f t="array" ref="D39">IFERROR(INDEX(Overall!E$35:E$71,_xlfn.AGGREGATE(15,3,((Overall!$A$35:$A$71=3)/(Overall!$A$35:$A$71=3)*ROW(Overall!$A$35:$A$71))-ROW(Overall!$A$34), ROWS(Overall!$L$35:O45))),"")</f>
        <v/>
      </c>
      <c r="E39" s="154" t="str" cm="1">
        <f t="array" ref="E39">IFERROR(INDEX(Overall!F$35:F$71,_xlfn.AGGREGATE(15,3,((Overall!$A$35:$A$71=3)/(Overall!$A$35:$A$71=3)*ROW(Overall!$A$35:$A$71))-ROW(Overall!$A$34), ROWS(Overall!$L$35:P45))),"")</f>
        <v/>
      </c>
      <c r="F39" s="155" t="str" cm="1">
        <f t="array" ref="F39">IFERROR(INDEX(Overall!G$35:G$71,_xlfn.AGGREGATE(15,3,((Overall!$A$35:$A$71=3)/(Overall!$A$35:$A$71=3)*ROW(Overall!$A$35:$A$71))-ROW(Overall!$A$34), ROWS(Overall!$L$35:Q45))),"")</f>
        <v/>
      </c>
      <c r="G39" s="117" t="str" cm="1">
        <f t="array" ref="G39">IFERROR(INDEX(Overall!H$35:H$71,_xlfn.AGGREGATE(15,3,((Overall!$A$35:$A$71=3)/(Overall!$A$35:$A$71=3)*ROW(Overall!$A$35:$A$71))-ROW(Overall!$A$34), ROWS(Overall!$L$35:R45))),"")</f>
        <v/>
      </c>
      <c r="H39" s="117" t="str" cm="1">
        <f t="array" ref="H39">IFERROR(INDEX(Overall!I$35:I$71,_xlfn.AGGREGATE(15,3,((Overall!$A$35:$A$71=3)/(Overall!$A$35:$A$71=3)*ROW(Overall!$A$35:$A$71))-ROW(Overall!$A$34), ROWS(Overall!$L$35:S45))),"")</f>
        <v/>
      </c>
      <c r="I39" s="73" t="str" cm="1">
        <f t="array" ref="I39">IFERROR(INDEX(Overall!J$35:J$71,_xlfn.AGGREGATE(15,3,((Overall!$A$35:$A$71=3)/(Overall!$A$35:$A$71=3)*ROW(Overall!$A$35:$A$71))-ROW(Overall!$A$34), ROWS(Overall!$L$35:T45))),"")</f>
        <v/>
      </c>
      <c r="J39" s="64" t="str" cm="1">
        <f t="array" ref="J39">IFERROR(INDEX(Overall!K$35:K$71,_xlfn.AGGREGATE(15,3,((Overall!$A$35:$A$71=3)/(Overall!$A$35:$A$71=3)*ROW(Overall!$A$35:$A$71))-ROW(Overall!$A$34), ROWS(Overall!$L$35:U45))),"")</f>
        <v/>
      </c>
    </row>
    <row r="40" spans="1:10" x14ac:dyDescent="0.25">
      <c r="A40" s="149" t="str" cm="1">
        <f t="array" ref="A40">IFERROR(INDEX(Overall!B$35:B$71,_xlfn.AGGREGATE(15,3,((Overall!$A$35:$A$71=3)/(Overall!$A$35:$A$71=3)*ROW(Overall!$A$35:$A$71))-ROW(Overall!$A$34), ROWS(Overall!$L$35:L46))),"")</f>
        <v/>
      </c>
      <c r="B40" s="71" t="str" cm="1">
        <f t="array" ref="B40">IFERROR(INDEX(Overall!C$35:C$71,_xlfn.AGGREGATE(15,3,((Overall!$A$35:$A$71=3)/(Overall!$A$35:$A$71=3)*ROW(Overall!$A$35:$A$71))-ROW(Overall!$A$34), ROWS(Overall!$L$35:M46))),"")</f>
        <v/>
      </c>
      <c r="C40" s="98" t="str" cm="1">
        <f t="array" ref="C40">IFERROR(INDEX(Overall!D$35:D$71,_xlfn.AGGREGATE(15,3,((Overall!$A$35:$A$71=3)/(Overall!$A$35:$A$71=3)*ROW(Overall!$A$35:$A$71))-ROW(Overall!$A$34), ROWS(Overall!$L$35:N46))),"")</f>
        <v/>
      </c>
      <c r="D40" s="73" t="str" cm="1">
        <f t="array" ref="D40">IFERROR(INDEX(Overall!E$35:E$71,_xlfn.AGGREGATE(15,3,((Overall!$A$35:$A$71=3)/(Overall!$A$35:$A$71=3)*ROW(Overall!$A$35:$A$71))-ROW(Overall!$A$34), ROWS(Overall!$L$35:O46))),"")</f>
        <v/>
      </c>
      <c r="E40" s="154" t="str" cm="1">
        <f t="array" ref="E40">IFERROR(INDEX(Overall!F$35:F$71,_xlfn.AGGREGATE(15,3,((Overall!$A$35:$A$71=3)/(Overall!$A$35:$A$71=3)*ROW(Overall!$A$35:$A$71))-ROW(Overall!$A$34), ROWS(Overall!$L$35:P46))),"")</f>
        <v/>
      </c>
      <c r="F40" s="155" t="str" cm="1">
        <f t="array" ref="F40">IFERROR(INDEX(Overall!G$35:G$71,_xlfn.AGGREGATE(15,3,((Overall!$A$35:$A$71=3)/(Overall!$A$35:$A$71=3)*ROW(Overall!$A$35:$A$71))-ROW(Overall!$A$34), ROWS(Overall!$L$35:Q46))),"")</f>
        <v/>
      </c>
      <c r="G40" s="117" t="str" cm="1">
        <f t="array" ref="G40">IFERROR(INDEX(Overall!H$35:H$71,_xlfn.AGGREGATE(15,3,((Overall!$A$35:$A$71=3)/(Overall!$A$35:$A$71=3)*ROW(Overall!$A$35:$A$71))-ROW(Overall!$A$34), ROWS(Overall!$L$35:R46))),"")</f>
        <v/>
      </c>
      <c r="H40" s="117" t="str" cm="1">
        <f t="array" ref="H40">IFERROR(INDEX(Overall!I$35:I$71,_xlfn.AGGREGATE(15,3,((Overall!$A$35:$A$71=3)/(Overall!$A$35:$A$71=3)*ROW(Overall!$A$35:$A$71))-ROW(Overall!$A$34), ROWS(Overall!$L$35:S46))),"")</f>
        <v/>
      </c>
      <c r="I40" s="73" t="str" cm="1">
        <f t="array" ref="I40">IFERROR(INDEX(Overall!J$35:J$71,_xlfn.AGGREGATE(15,3,((Overall!$A$35:$A$71=3)/(Overall!$A$35:$A$71=3)*ROW(Overall!$A$35:$A$71))-ROW(Overall!$A$34), ROWS(Overall!$L$35:T46))),"")</f>
        <v/>
      </c>
      <c r="J40" s="64" t="str" cm="1">
        <f t="array" ref="J40">IFERROR(INDEX(Overall!K$35:K$71,_xlfn.AGGREGATE(15,3,((Overall!$A$35:$A$71=3)/(Overall!$A$35:$A$71=3)*ROW(Overall!$A$35:$A$71))-ROW(Overall!$A$34), ROWS(Overall!$L$35:U46))),"")</f>
        <v/>
      </c>
    </row>
    <row r="41" spans="1:10" x14ac:dyDescent="0.25">
      <c r="A41" s="149" t="str" cm="1">
        <f t="array" ref="A41">IFERROR(INDEX(Overall!B$35:B$71,_xlfn.AGGREGATE(15,3,((Overall!$A$35:$A$71=3)/(Overall!$A$35:$A$71=3)*ROW(Overall!$A$35:$A$71))-ROW(Overall!$A$34), ROWS(Overall!$L$35:L47))),"")</f>
        <v/>
      </c>
      <c r="B41" s="71" t="str" cm="1">
        <f t="array" ref="B41">IFERROR(INDEX(Overall!C$35:C$71,_xlfn.AGGREGATE(15,3,((Overall!$A$35:$A$71=3)/(Overall!$A$35:$A$71=3)*ROW(Overall!$A$35:$A$71))-ROW(Overall!$A$34), ROWS(Overall!$L$35:M47))),"")</f>
        <v/>
      </c>
      <c r="C41" s="98" t="str" cm="1">
        <f t="array" ref="C41">IFERROR(INDEX(Overall!D$35:D$71,_xlfn.AGGREGATE(15,3,((Overall!$A$35:$A$71=3)/(Overall!$A$35:$A$71=3)*ROW(Overall!$A$35:$A$71))-ROW(Overall!$A$34), ROWS(Overall!$L$35:N47))),"")</f>
        <v/>
      </c>
      <c r="D41" s="73" t="str" cm="1">
        <f t="array" ref="D41">IFERROR(INDEX(Overall!E$35:E$71,_xlfn.AGGREGATE(15,3,((Overall!$A$35:$A$71=3)/(Overall!$A$35:$A$71=3)*ROW(Overall!$A$35:$A$71))-ROW(Overall!$A$34), ROWS(Overall!$L$35:O47))),"")</f>
        <v/>
      </c>
      <c r="E41" s="154" t="str" cm="1">
        <f t="array" ref="E41">IFERROR(INDEX(Overall!F$35:F$71,_xlfn.AGGREGATE(15,3,((Overall!$A$35:$A$71=3)/(Overall!$A$35:$A$71=3)*ROW(Overall!$A$35:$A$71))-ROW(Overall!$A$34), ROWS(Overall!$L$35:P47))),"")</f>
        <v/>
      </c>
      <c r="F41" s="155" t="str" cm="1">
        <f t="array" ref="F41">IFERROR(INDEX(Overall!G$35:G$71,_xlfn.AGGREGATE(15,3,((Overall!$A$35:$A$71=3)/(Overall!$A$35:$A$71=3)*ROW(Overall!$A$35:$A$71))-ROW(Overall!$A$34), ROWS(Overall!$L$35:Q47))),"")</f>
        <v/>
      </c>
      <c r="G41" s="117" t="str" cm="1">
        <f t="array" ref="G41">IFERROR(INDEX(Overall!H$35:H$71,_xlfn.AGGREGATE(15,3,((Overall!$A$35:$A$71=3)/(Overall!$A$35:$A$71=3)*ROW(Overall!$A$35:$A$71))-ROW(Overall!$A$34), ROWS(Overall!$L$35:R47))),"")</f>
        <v/>
      </c>
      <c r="H41" s="117" t="str" cm="1">
        <f t="array" ref="H41">IFERROR(INDEX(Overall!I$35:I$71,_xlfn.AGGREGATE(15,3,((Overall!$A$35:$A$71=3)/(Overall!$A$35:$A$71=3)*ROW(Overall!$A$35:$A$71))-ROW(Overall!$A$34), ROWS(Overall!$L$35:S47))),"")</f>
        <v/>
      </c>
      <c r="I41" s="73" t="str" cm="1">
        <f t="array" ref="I41">IFERROR(INDEX(Overall!J$35:J$71,_xlfn.AGGREGATE(15,3,((Overall!$A$35:$A$71=3)/(Overall!$A$35:$A$71=3)*ROW(Overall!$A$35:$A$71))-ROW(Overall!$A$34), ROWS(Overall!$L$35:T47))),"")</f>
        <v/>
      </c>
      <c r="J41" s="64" t="str" cm="1">
        <f t="array" ref="J41">IFERROR(INDEX(Overall!K$35:K$71,_xlfn.AGGREGATE(15,3,((Overall!$A$35:$A$71=3)/(Overall!$A$35:$A$71=3)*ROW(Overall!$A$35:$A$71))-ROW(Overall!$A$34), ROWS(Overall!$L$35:U47))),"")</f>
        <v/>
      </c>
    </row>
    <row r="42" spans="1:10" x14ac:dyDescent="0.25">
      <c r="A42" s="149" t="str" cm="1">
        <f t="array" ref="A42">IFERROR(INDEX(Overall!B$35:B$71,_xlfn.AGGREGATE(15,3,((Overall!$A$35:$A$71=3)/(Overall!$A$35:$A$71=3)*ROW(Overall!$A$35:$A$71))-ROW(Overall!$A$34), ROWS(Overall!$L$35:L48))),"")</f>
        <v/>
      </c>
      <c r="B42" s="71" t="str" cm="1">
        <f t="array" ref="B42">IFERROR(INDEX(Overall!C$35:C$71,_xlfn.AGGREGATE(15,3,((Overall!$A$35:$A$71=3)/(Overall!$A$35:$A$71=3)*ROW(Overall!$A$35:$A$71))-ROW(Overall!$A$34), ROWS(Overall!$L$35:M48))),"")</f>
        <v/>
      </c>
      <c r="C42" s="98" t="str" cm="1">
        <f t="array" ref="C42">IFERROR(INDEX(Overall!D$35:D$71,_xlfn.AGGREGATE(15,3,((Overall!$A$35:$A$71=3)/(Overall!$A$35:$A$71=3)*ROW(Overall!$A$35:$A$71))-ROW(Overall!$A$34), ROWS(Overall!$L$35:N48))),"")</f>
        <v/>
      </c>
      <c r="D42" s="73" t="str" cm="1">
        <f t="array" ref="D42">IFERROR(INDEX(Overall!E$35:E$71,_xlfn.AGGREGATE(15,3,((Overall!$A$35:$A$71=3)/(Overall!$A$35:$A$71=3)*ROW(Overall!$A$35:$A$71))-ROW(Overall!$A$34), ROWS(Overall!$L$35:O48))),"")</f>
        <v/>
      </c>
      <c r="E42" s="154" t="str" cm="1">
        <f t="array" ref="E42">IFERROR(INDEX(Overall!F$35:F$71,_xlfn.AGGREGATE(15,3,((Overall!$A$35:$A$71=3)/(Overall!$A$35:$A$71=3)*ROW(Overall!$A$35:$A$71))-ROW(Overall!$A$34), ROWS(Overall!$L$35:P48))),"")</f>
        <v/>
      </c>
      <c r="F42" s="155" t="str" cm="1">
        <f t="array" ref="F42">IFERROR(INDEX(Overall!G$35:G$71,_xlfn.AGGREGATE(15,3,((Overall!$A$35:$A$71=3)/(Overall!$A$35:$A$71=3)*ROW(Overall!$A$35:$A$71))-ROW(Overall!$A$34), ROWS(Overall!$L$35:Q48))),"")</f>
        <v/>
      </c>
      <c r="G42" s="117" t="str" cm="1">
        <f t="array" ref="G42">IFERROR(INDEX(Overall!H$35:H$71,_xlfn.AGGREGATE(15,3,((Overall!$A$35:$A$71=3)/(Overall!$A$35:$A$71=3)*ROW(Overall!$A$35:$A$71))-ROW(Overall!$A$34), ROWS(Overall!$L$35:R48))),"")</f>
        <v/>
      </c>
      <c r="H42" s="117" t="str" cm="1">
        <f t="array" ref="H42">IFERROR(INDEX(Overall!I$35:I$71,_xlfn.AGGREGATE(15,3,((Overall!$A$35:$A$71=3)/(Overall!$A$35:$A$71=3)*ROW(Overall!$A$35:$A$71))-ROW(Overall!$A$34), ROWS(Overall!$L$35:S48))),"")</f>
        <v/>
      </c>
      <c r="I42" s="73" t="str" cm="1">
        <f t="array" ref="I42">IFERROR(INDEX(Overall!J$35:J$71,_xlfn.AGGREGATE(15,3,((Overall!$A$35:$A$71=3)/(Overall!$A$35:$A$71=3)*ROW(Overall!$A$35:$A$71))-ROW(Overall!$A$34), ROWS(Overall!$L$35:T48))),"")</f>
        <v/>
      </c>
      <c r="J42" s="64" t="str" cm="1">
        <f t="array" ref="J42">IFERROR(INDEX(Overall!K$35:K$71,_xlfn.AGGREGATE(15,3,((Overall!$A$35:$A$71=3)/(Overall!$A$35:$A$71=3)*ROW(Overall!$A$35:$A$71))-ROW(Overall!$A$34), ROWS(Overall!$L$35:U48))),"")</f>
        <v/>
      </c>
    </row>
    <row r="43" spans="1:10" x14ac:dyDescent="0.25">
      <c r="A43" s="149" t="str" cm="1">
        <f t="array" ref="A43">IFERROR(INDEX(Overall!B$35:B$71,_xlfn.AGGREGATE(15,3,((Overall!$A$35:$A$71=3)/(Overall!$A$35:$A$71=3)*ROW(Overall!$A$35:$A$71))-ROW(Overall!$A$34), ROWS(Overall!$L$35:L49))),"")</f>
        <v/>
      </c>
      <c r="B43" s="71" t="str" cm="1">
        <f t="array" ref="B43">IFERROR(INDEX(Overall!C$35:C$71,_xlfn.AGGREGATE(15,3,((Overall!$A$35:$A$71=3)/(Overall!$A$35:$A$71=3)*ROW(Overall!$A$35:$A$71))-ROW(Overall!$A$34), ROWS(Overall!$L$35:M49))),"")</f>
        <v/>
      </c>
      <c r="C43" s="98" t="str" cm="1">
        <f t="array" ref="C43">IFERROR(INDEX(Overall!D$35:D$71,_xlfn.AGGREGATE(15,3,((Overall!$A$35:$A$71=3)/(Overall!$A$35:$A$71=3)*ROW(Overall!$A$35:$A$71))-ROW(Overall!$A$34), ROWS(Overall!$L$35:N49))),"")</f>
        <v/>
      </c>
      <c r="D43" s="73" t="str" cm="1">
        <f t="array" ref="D43">IFERROR(INDEX(Overall!E$35:E$71,_xlfn.AGGREGATE(15,3,((Overall!$A$35:$A$71=3)/(Overall!$A$35:$A$71=3)*ROW(Overall!$A$35:$A$71))-ROW(Overall!$A$34), ROWS(Overall!$L$35:O49))),"")</f>
        <v/>
      </c>
      <c r="E43" s="154" t="str" cm="1">
        <f t="array" ref="E43">IFERROR(INDEX(Overall!F$35:F$71,_xlfn.AGGREGATE(15,3,((Overall!$A$35:$A$71=3)/(Overall!$A$35:$A$71=3)*ROW(Overall!$A$35:$A$71))-ROW(Overall!$A$34), ROWS(Overall!$L$35:P49))),"")</f>
        <v/>
      </c>
      <c r="F43" s="155" t="str" cm="1">
        <f t="array" ref="F43">IFERROR(INDEX(Overall!G$35:G$71,_xlfn.AGGREGATE(15,3,((Overall!$A$35:$A$71=3)/(Overall!$A$35:$A$71=3)*ROW(Overall!$A$35:$A$71))-ROW(Overall!$A$34), ROWS(Overall!$L$35:Q49))),"")</f>
        <v/>
      </c>
      <c r="G43" s="117" t="str" cm="1">
        <f t="array" ref="G43">IFERROR(INDEX(Overall!H$35:H$71,_xlfn.AGGREGATE(15,3,((Overall!$A$35:$A$71=3)/(Overall!$A$35:$A$71=3)*ROW(Overall!$A$35:$A$71))-ROW(Overall!$A$34), ROWS(Overall!$L$35:R49))),"")</f>
        <v/>
      </c>
      <c r="H43" s="117" t="str" cm="1">
        <f t="array" ref="H43">IFERROR(INDEX(Overall!I$35:I$71,_xlfn.AGGREGATE(15,3,((Overall!$A$35:$A$71=3)/(Overall!$A$35:$A$71=3)*ROW(Overall!$A$35:$A$71))-ROW(Overall!$A$34), ROWS(Overall!$L$35:S49))),"")</f>
        <v/>
      </c>
      <c r="I43" s="73" t="str" cm="1">
        <f t="array" ref="I43">IFERROR(INDEX(Overall!J$35:J$71,_xlfn.AGGREGATE(15,3,((Overall!$A$35:$A$71=3)/(Overall!$A$35:$A$71=3)*ROW(Overall!$A$35:$A$71))-ROW(Overall!$A$34), ROWS(Overall!$L$35:T49))),"")</f>
        <v/>
      </c>
      <c r="J43" s="64" t="str" cm="1">
        <f t="array" ref="J43">IFERROR(INDEX(Overall!K$35:K$71,_xlfn.AGGREGATE(15,3,((Overall!$A$35:$A$71=3)/(Overall!$A$35:$A$71=3)*ROW(Overall!$A$35:$A$71))-ROW(Overall!$A$34), ROWS(Overall!$L$35:U49))),"")</f>
        <v/>
      </c>
    </row>
    <row r="44" spans="1:10" x14ac:dyDescent="0.25">
      <c r="A44" s="99" t="str" cm="1">
        <f t="array" ref="A44">IFERROR(INDEX(Overall!B$35:B$71,_xlfn.AGGREGATE(15,3,((Overall!$A$35:$A$71=3)/(Overall!$A$35:$A$71=3)*ROW(Overall!$A$35:$A$71))-ROW(Overall!$A$34), ROWS(Overall!$L$35:L50))),"")</f>
        <v/>
      </c>
      <c r="B44" s="72" t="str" cm="1">
        <f t="array" ref="B44">IFERROR(INDEX(Overall!C$35:C$71,_xlfn.AGGREGATE(15,3,((Overall!$A$35:$A$71=3)/(Overall!$A$35:$A$71=3)*ROW(Overall!$A$35:$A$71))-ROW(Overall!$A$34), ROWS(Overall!$L$35:M50))),"")</f>
        <v/>
      </c>
      <c r="C44" s="99" t="str" cm="1">
        <f t="array" ref="C44">IFERROR(INDEX(Overall!D$35:D$71,_xlfn.AGGREGATE(15,3,((Overall!$A$35:$A$71=3)/(Overall!$A$35:$A$71=3)*ROW(Overall!$A$35:$A$71))-ROW(Overall!$A$34), ROWS(Overall!$L$35:N50))),"")</f>
        <v/>
      </c>
      <c r="D44" s="74" t="str" cm="1">
        <f t="array" ref="D44">IFERROR(INDEX(Overall!E$35:E$71,_xlfn.AGGREGATE(15,3,((Overall!$A$35:$A$71=3)/(Overall!$A$35:$A$71=3)*ROW(Overall!$A$35:$A$71))-ROW(Overall!$A$34), ROWS(Overall!$L$35:O50))),"")</f>
        <v/>
      </c>
      <c r="E44" s="156" t="str" cm="1">
        <f t="array" ref="E44">IFERROR(INDEX(Overall!F$35:F$71,_xlfn.AGGREGATE(15,3,((Overall!$A$35:$A$71=3)/(Overall!$A$35:$A$71=3)*ROW(Overall!$A$35:$A$71))-ROW(Overall!$A$34), ROWS(Overall!$L$35:P50))),"")</f>
        <v/>
      </c>
      <c r="F44" s="157" t="str" cm="1">
        <f t="array" ref="F44">IFERROR(INDEX(Overall!G$35:G$71,_xlfn.AGGREGATE(15,3,((Overall!$A$35:$A$71=3)/(Overall!$A$35:$A$71=3)*ROW(Overall!$A$35:$A$71))-ROW(Overall!$A$34), ROWS(Overall!$L$35:Q50))),"")</f>
        <v/>
      </c>
      <c r="G44" s="118" t="str" cm="1">
        <f t="array" ref="G44">IFERROR(INDEX(Overall!H$35:H$71,_xlfn.AGGREGATE(15,3,((Overall!$A$35:$A$71=3)/(Overall!$A$35:$A$71=3)*ROW(Overall!$A$35:$A$71))-ROW(Overall!$A$34), ROWS(Overall!$L$35:R50))),"")</f>
        <v/>
      </c>
      <c r="H44" s="118" t="str" cm="1">
        <f t="array" ref="H44">IFERROR(INDEX(Overall!I$35:I$71,_xlfn.AGGREGATE(15,3,((Overall!$A$35:$A$71=3)/(Overall!$A$35:$A$71=3)*ROW(Overall!$A$35:$A$71))-ROW(Overall!$A$34), ROWS(Overall!$L$35:S50))),"")</f>
        <v/>
      </c>
      <c r="I44" s="76" t="str" cm="1">
        <f t="array" ref="I44">IFERROR(INDEX(Overall!J$35:J$71,_xlfn.AGGREGATE(15,3,((Overall!$A$35:$A$71=3)/(Overall!$A$35:$A$71=3)*ROW(Overall!$A$35:$A$71))-ROW(Overall!$A$34), ROWS(Overall!$L$35:T50))),"")</f>
        <v/>
      </c>
      <c r="J44" s="65" t="str" cm="1">
        <f t="array" ref="J44">IFERROR(INDEX(Overall!K$35:K$71,_xlfn.AGGREGATE(15,3,((Overall!$A$35:$A$71=3)/(Overall!$A$35:$A$71=3)*ROW(Overall!$A$35:$A$71))-ROW(Overall!$A$34), ROWS(Overall!$L$35:U50))),"")</f>
        <v/>
      </c>
    </row>
    <row r="46" spans="1:10" x14ac:dyDescent="0.25">
      <c r="A46" s="181" t="s">
        <v>11</v>
      </c>
      <c r="B46" s="181"/>
      <c r="C46" s="181"/>
      <c r="D46" s="181"/>
      <c r="E46" s="181"/>
      <c r="F46" s="181"/>
      <c r="G46" s="181"/>
      <c r="H46" s="181"/>
      <c r="I46" s="183" t="s">
        <v>12</v>
      </c>
      <c r="J46" s="185"/>
    </row>
    <row r="47" spans="1:10" x14ac:dyDescent="0.25">
      <c r="A47" s="123" t="s">
        <v>159</v>
      </c>
      <c r="B47" s="124" t="s">
        <v>46</v>
      </c>
      <c r="C47" s="200" t="s">
        <v>45</v>
      </c>
      <c r="D47" s="201"/>
      <c r="E47" s="192" t="s">
        <v>160</v>
      </c>
      <c r="F47" s="193"/>
      <c r="G47" s="193"/>
      <c r="H47" s="193"/>
      <c r="I47" s="61"/>
      <c r="J47" s="63"/>
    </row>
    <row r="48" spans="1:10" x14ac:dyDescent="0.25">
      <c r="A48" s="78"/>
      <c r="B48" s="83"/>
      <c r="C48" s="202"/>
      <c r="D48" s="203"/>
      <c r="E48" s="112"/>
      <c r="F48" s="112"/>
      <c r="G48" s="112"/>
      <c r="H48" s="113"/>
      <c r="I48" s="61"/>
      <c r="J48" s="63"/>
    </row>
    <row r="49" spans="1:10" x14ac:dyDescent="0.25">
      <c r="A49" s="78"/>
      <c r="B49" s="83"/>
      <c r="C49" s="204"/>
      <c r="D49" s="205"/>
      <c r="E49" s="112"/>
      <c r="F49" s="112"/>
      <c r="G49" s="112"/>
      <c r="H49" s="113"/>
      <c r="I49" s="61"/>
      <c r="J49" s="63"/>
    </row>
    <row r="50" spans="1:10" x14ac:dyDescent="0.25">
      <c r="A50" s="78"/>
      <c r="B50" s="83"/>
      <c r="C50" s="204"/>
      <c r="D50" s="205"/>
      <c r="F50" s="112"/>
      <c r="G50" s="112"/>
      <c r="H50" s="126"/>
      <c r="I50" s="61"/>
      <c r="J50" s="63"/>
    </row>
    <row r="51" spans="1:10" x14ac:dyDescent="0.25">
      <c r="A51" s="78"/>
      <c r="B51" s="83"/>
      <c r="C51" s="194"/>
      <c r="D51" s="195"/>
      <c r="F51" s="188"/>
      <c r="G51" s="188"/>
      <c r="H51"/>
      <c r="I51" s="61"/>
      <c r="J51" s="63"/>
    </row>
    <row r="52" spans="1:10" x14ac:dyDescent="0.25">
      <c r="A52" s="78"/>
      <c r="B52" s="83"/>
      <c r="C52" s="194"/>
      <c r="D52" s="195"/>
      <c r="F52" s="188"/>
      <c r="G52" s="188"/>
      <c r="H52"/>
      <c r="I52" s="61"/>
      <c r="J52" s="63"/>
    </row>
    <row r="53" spans="1:10" x14ac:dyDescent="0.25">
      <c r="A53" s="78"/>
      <c r="B53" s="83"/>
      <c r="C53" s="194"/>
      <c r="D53" s="195"/>
      <c r="F53" s="188"/>
      <c r="G53" s="188"/>
      <c r="H53"/>
      <c r="I53" s="61"/>
      <c r="J53" s="63"/>
    </row>
    <row r="54" spans="1:10" x14ac:dyDescent="0.25">
      <c r="A54" s="78"/>
      <c r="B54" s="83"/>
      <c r="C54" s="194"/>
      <c r="D54" s="195"/>
      <c r="F54" s="188"/>
      <c r="G54" s="188"/>
      <c r="H54"/>
      <c r="I54" s="61"/>
      <c r="J54" s="63"/>
    </row>
    <row r="55" spans="1:10" x14ac:dyDescent="0.25">
      <c r="A55" s="78"/>
      <c r="B55" s="83"/>
      <c r="C55" s="194"/>
      <c r="D55" s="195"/>
      <c r="F55" s="188"/>
      <c r="G55" s="188"/>
      <c r="H55"/>
      <c r="I55" s="61"/>
      <c r="J55" s="63"/>
    </row>
    <row r="56" spans="1:10" x14ac:dyDescent="0.25">
      <c r="A56" s="78"/>
      <c r="B56" s="83"/>
      <c r="C56" s="194"/>
      <c r="D56" s="195"/>
      <c r="F56" s="188"/>
      <c r="G56" s="188"/>
      <c r="H56"/>
      <c r="I56" s="61"/>
      <c r="J56" s="63"/>
    </row>
    <row r="57" spans="1:10" x14ac:dyDescent="0.25">
      <c r="A57" s="78"/>
      <c r="B57" s="83"/>
      <c r="C57" s="194"/>
      <c r="D57" s="195"/>
      <c r="F57" s="188"/>
      <c r="G57" s="188"/>
      <c r="H57"/>
      <c r="I57" s="61"/>
      <c r="J57" s="63"/>
    </row>
    <row r="58" spans="1:10" x14ac:dyDescent="0.25">
      <c r="A58" s="78"/>
      <c r="B58" s="83"/>
      <c r="C58" s="194"/>
      <c r="D58" s="195"/>
      <c r="F58" s="188"/>
      <c r="G58" s="188"/>
      <c r="H58"/>
      <c r="I58" s="61"/>
      <c r="J58" s="63"/>
    </row>
    <row r="59" spans="1:10" x14ac:dyDescent="0.25">
      <c r="A59" s="78"/>
      <c r="B59" s="83"/>
      <c r="C59" s="196"/>
      <c r="D59" s="197"/>
      <c r="F59" s="208"/>
      <c r="G59" s="208"/>
      <c r="H59"/>
      <c r="I59" s="61"/>
      <c r="J59" s="63"/>
    </row>
    <row r="60" spans="1:10" x14ac:dyDescent="0.25">
      <c r="A60" s="78"/>
      <c r="B60" s="83"/>
      <c r="C60" s="196"/>
      <c r="D60" s="197"/>
      <c r="F60" s="208"/>
      <c r="G60" s="208"/>
      <c r="H60"/>
      <c r="I60" s="61"/>
      <c r="J60" s="63"/>
    </row>
    <row r="61" spans="1:10" x14ac:dyDescent="0.25">
      <c r="A61" s="79"/>
      <c r="B61" s="84"/>
      <c r="C61" s="198"/>
      <c r="D61" s="199"/>
      <c r="E61" s="120"/>
      <c r="F61" s="207"/>
      <c r="G61" s="207"/>
      <c r="H61" s="125"/>
      <c r="I61" s="62"/>
      <c r="J61" s="66"/>
    </row>
  </sheetData>
  <mergeCells count="48">
    <mergeCell ref="C53:D53"/>
    <mergeCell ref="C54:D54"/>
    <mergeCell ref="C55:D55"/>
    <mergeCell ref="C56:D56"/>
    <mergeCell ref="C47:D47"/>
    <mergeCell ref="C48:D48"/>
    <mergeCell ref="C49:D49"/>
    <mergeCell ref="C50:D50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E28:F28"/>
    <mergeCell ref="A46:H46"/>
    <mergeCell ref="E47:H47"/>
    <mergeCell ref="C60:D60"/>
    <mergeCell ref="C61:D61"/>
    <mergeCell ref="C57:D57"/>
    <mergeCell ref="C58:D58"/>
    <mergeCell ref="C59:D59"/>
    <mergeCell ref="F59:G59"/>
    <mergeCell ref="F60:G60"/>
    <mergeCell ref="F61:G61"/>
    <mergeCell ref="F53:G53"/>
    <mergeCell ref="F54:G54"/>
    <mergeCell ref="F55:G55"/>
    <mergeCell ref="F56:G56"/>
    <mergeCell ref="F57:G57"/>
    <mergeCell ref="F58:G58"/>
  </mergeCells>
  <conditionalFormatting sqref="A29:J43">
    <cfRule type="cellIs" dxfId="8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2847-29AB-4726-A699-B47E7F7C0502}">
  <sheetPr codeName="Sheet6">
    <pageSetUpPr autoPageBreaks="0"/>
  </sheetPr>
  <dimension ref="A1:J61"/>
  <sheetViews>
    <sheetView showGridLines="0" zoomScale="110" zoomScaleNormal="110" workbookViewId="0">
      <selection activeCell="N21" sqref="N21"/>
    </sheetView>
  </sheetViews>
  <sheetFormatPr defaultColWidth="8.85546875" defaultRowHeight="15" x14ac:dyDescent="0.25"/>
  <cols>
    <col min="1" max="1" width="12.85546875" style="58" customWidth="1"/>
    <col min="2" max="4" width="11.140625" style="58" customWidth="1"/>
    <col min="5" max="5" width="2.28515625" style="58" customWidth="1"/>
    <col min="6" max="8" width="11.140625" style="58" customWidth="1"/>
    <col min="9" max="9" width="11" style="58" customWidth="1"/>
    <col min="10" max="10" width="25.7109375" style="58" customWidth="1"/>
    <col min="11" max="11" width="6.28515625" style="58" customWidth="1"/>
    <col min="12" max="16384" width="8.85546875" style="58"/>
  </cols>
  <sheetData>
    <row r="1" spans="1:10" x14ac:dyDescent="0.25">
      <c r="A1" s="160" t="s">
        <v>0</v>
      </c>
      <c r="B1" s="181" t="str">
        <f>Overall!C1</f>
        <v>3/19/23-3/25/23</v>
      </c>
      <c r="C1" s="181"/>
    </row>
    <row r="2" spans="1:10" x14ac:dyDescent="0.25">
      <c r="A2" s="160" t="s">
        <v>177</v>
      </c>
      <c r="B2" s="182">
        <f ca="1">TODAY()</f>
        <v>45015</v>
      </c>
      <c r="C2" s="182"/>
      <c r="F2" s="183" t="s">
        <v>182</v>
      </c>
      <c r="G2" s="184"/>
      <c r="H2" s="184"/>
      <c r="I2" s="185"/>
    </row>
    <row r="3" spans="1:10" x14ac:dyDescent="0.25">
      <c r="A3" s="160" t="s">
        <v>1</v>
      </c>
      <c r="B3" s="206" t="s">
        <v>21</v>
      </c>
      <c r="C3" s="206"/>
      <c r="F3" s="85">
        <f>IFERROR(VLOOKUP($B$3,Totals!$B$3:$C$11,2,0),0)</f>
        <v>4190</v>
      </c>
      <c r="G3" s="188" t="s">
        <v>4</v>
      </c>
      <c r="H3" s="188"/>
      <c r="I3" s="189"/>
    </row>
    <row r="4" spans="1:10" x14ac:dyDescent="0.25">
      <c r="F4" s="85">
        <f>VLOOKUP($B$3,Totals!$E$3:$F$12,2,0)</f>
        <v>10965</v>
      </c>
      <c r="G4" s="188" t="s">
        <v>5</v>
      </c>
      <c r="H4" s="188"/>
      <c r="I4" s="189"/>
    </row>
    <row r="5" spans="1:10" x14ac:dyDescent="0.25">
      <c r="A5" s="180" t="s">
        <v>13</v>
      </c>
      <c r="B5" s="89" t="s">
        <v>14</v>
      </c>
      <c r="C5" s="90" t="s">
        <v>15</v>
      </c>
      <c r="D5" s="102" t="s">
        <v>16</v>
      </c>
      <c r="F5" s="86">
        <f>IFERROR(VLOOKUP($B$3,Totals!$B$3:$F$11,3,0),0)</f>
        <v>18053</v>
      </c>
      <c r="G5" s="190" t="s">
        <v>181</v>
      </c>
      <c r="H5" s="190"/>
      <c r="I5" s="191"/>
    </row>
    <row r="6" spans="1:10" x14ac:dyDescent="0.25">
      <c r="A6" s="180"/>
      <c r="B6" s="87">
        <f>VLOOKUP($B$3,Totals!$V$48:$Y$57,2,0)</f>
        <v>3</v>
      </c>
      <c r="C6" s="82">
        <f>VLOOKUP($B$3,Totals!$V$48:$Y$57,3,0)</f>
        <v>3</v>
      </c>
      <c r="D6" s="105">
        <f>VLOOKUP($B$3,Totals!$V$48:$Y$57,4,0)</f>
        <v>0</v>
      </c>
    </row>
    <row r="7" spans="1:10" x14ac:dyDescent="0.25">
      <c r="G7" s="109" t="s">
        <v>6</v>
      </c>
      <c r="H7" s="110">
        <f>F3/F4</f>
        <v>0.38212494300045602</v>
      </c>
    </row>
    <row r="8" spans="1:10" x14ac:dyDescent="0.25">
      <c r="A8" s="180" t="s">
        <v>2</v>
      </c>
      <c r="B8" s="89" t="s">
        <v>180</v>
      </c>
      <c r="C8" s="101" t="s">
        <v>152</v>
      </c>
      <c r="D8" s="96" t="s">
        <v>28</v>
      </c>
      <c r="G8" s="68" t="s">
        <v>7</v>
      </c>
      <c r="H8" s="67">
        <v>1</v>
      </c>
    </row>
    <row r="9" spans="1:10" x14ac:dyDescent="0.25">
      <c r="A9" s="180"/>
      <c r="B9" s="92">
        <f>IFERROR(VLOOKUP($B$3,Totals!$L$3:$N$11,2,0),0)</f>
        <v>4.8695652173913047</v>
      </c>
      <c r="C9" s="93">
        <f>IFERROR(VLOOKUP($B$3,Totals!$L$3:$N$11,3,0),0)</f>
        <v>23.209438874425302</v>
      </c>
      <c r="D9" s="94">
        <f>IFERROR(VLOOKUP('4'!$B$3,Totals!$P$4:$Y$12,10,0),0)</f>
        <v>30.871077734582009</v>
      </c>
      <c r="G9" s="60"/>
      <c r="H9" s="60"/>
    </row>
    <row r="14" spans="1:10" x14ac:dyDescent="0.25">
      <c r="J14" s="60"/>
    </row>
    <row r="15" spans="1:10" x14ac:dyDescent="0.25">
      <c r="J15" s="60"/>
    </row>
    <row r="16" spans="1:10" x14ac:dyDescent="0.25">
      <c r="H16" s="60"/>
      <c r="I16" s="60"/>
      <c r="J16" s="60"/>
    </row>
    <row r="17" spans="1:10" x14ac:dyDescent="0.25">
      <c r="H17" s="60"/>
      <c r="I17" s="60"/>
      <c r="J17" s="60"/>
    </row>
    <row r="18" spans="1:10" x14ac:dyDescent="0.25">
      <c r="H18" s="60"/>
      <c r="I18" s="60"/>
      <c r="J18" s="60"/>
    </row>
    <row r="21" spans="1:10" x14ac:dyDescent="0.25">
      <c r="A21" s="183" t="s">
        <v>8</v>
      </c>
      <c r="B21" s="184"/>
      <c r="C21" s="184"/>
      <c r="D21" s="185"/>
      <c r="F21" s="183" t="s">
        <v>9</v>
      </c>
      <c r="G21" s="184"/>
      <c r="H21" s="184"/>
      <c r="I21" s="185"/>
    </row>
    <row r="22" spans="1:10" x14ac:dyDescent="0.25">
      <c r="A22" s="77">
        <v>1</v>
      </c>
      <c r="B22" s="80">
        <f>VLOOKUP($B$3&amp;A22,Totals!$G$49:$K$73,4,0)</f>
        <v>237</v>
      </c>
      <c r="C22" s="188" t="str">
        <f>VLOOKUP($B$3&amp;A22,Totals!$G$49:$K$73,5,0)</f>
        <v>Capper</v>
      </c>
      <c r="D22" s="189"/>
      <c r="F22" s="77">
        <v>1</v>
      </c>
      <c r="G22" s="80">
        <f>VLOOKUP($B$3&amp;F22,Totals!$M$49:$Q$73,4,0)</f>
        <v>252</v>
      </c>
      <c r="H22" s="188" t="str">
        <f>VLOOKUP($B$3&amp;F22,Totals!$M$49:$Q$73,5,0)</f>
        <v>Capper</v>
      </c>
      <c r="I22" s="189"/>
    </row>
    <row r="23" spans="1:10" x14ac:dyDescent="0.25">
      <c r="A23" s="78">
        <v>2</v>
      </c>
      <c r="B23" s="81">
        <f>VLOOKUP($B$3&amp;A23,Totals!$G$49:$K$73,4,0)</f>
        <v>151</v>
      </c>
      <c r="C23" s="188" t="str">
        <f>VLOOKUP($B$3&amp;A23,Totals!$G$49:$K$73,5,0)</f>
        <v>Labeler</v>
      </c>
      <c r="D23" s="189"/>
      <c r="F23" s="78">
        <v>2</v>
      </c>
      <c r="G23" s="81">
        <f>VLOOKUP($B$3&amp;F23,Totals!$M$49:$Q$73,4,0)</f>
        <v>155</v>
      </c>
      <c r="H23" s="188" t="str">
        <f>VLOOKUP($B$3&amp;F23,Totals!$M$49:$Q$73,5,0)</f>
        <v>Labeler</v>
      </c>
      <c r="I23" s="189"/>
    </row>
    <row r="24" spans="1:10" x14ac:dyDescent="0.25">
      <c r="A24" s="79">
        <v>3</v>
      </c>
      <c r="B24" s="82">
        <f>VLOOKUP($B$3&amp;A24,Totals!$G$49:$K$73,4,0)</f>
        <v>74</v>
      </c>
      <c r="C24" s="190" t="str">
        <f>VLOOKUP($B$3&amp;A24,Totals!$G$49:$K$73,5,0)</f>
        <v>Proof Cks/Lab</v>
      </c>
      <c r="D24" s="191"/>
      <c r="F24" s="79">
        <v>3</v>
      </c>
      <c r="G24" s="82">
        <f>VLOOKUP($B$3&amp;F24,Totals!$M$49:$Q$73,4,0)</f>
        <v>104</v>
      </c>
      <c r="H24" s="190" t="str">
        <f>VLOOKUP($B$3&amp;F24,Totals!$M$49:$Q$73,5,0)</f>
        <v>Wash</v>
      </c>
      <c r="I24" s="191"/>
    </row>
    <row r="25" spans="1:10" x14ac:dyDescent="0.25">
      <c r="C25" s="21"/>
    </row>
    <row r="27" spans="1:10" x14ac:dyDescent="0.25">
      <c r="A27" s="181" t="s">
        <v>10</v>
      </c>
      <c r="B27" s="181"/>
      <c r="C27" s="181"/>
      <c r="D27" s="181"/>
      <c r="E27" s="181"/>
      <c r="F27" s="181"/>
      <c r="G27" s="181"/>
      <c r="H27" s="181"/>
      <c r="I27" s="181"/>
      <c r="J27" s="181"/>
    </row>
    <row r="28" spans="1:10" x14ac:dyDescent="0.25">
      <c r="A28" s="89" t="s">
        <v>46</v>
      </c>
      <c r="B28" s="90" t="s">
        <v>45</v>
      </c>
      <c r="C28" s="90" t="s">
        <v>155</v>
      </c>
      <c r="D28" s="90" t="s">
        <v>156</v>
      </c>
      <c r="E28" s="101"/>
      <c r="F28" s="97" t="s">
        <v>157</v>
      </c>
      <c r="G28" s="90" t="s">
        <v>183</v>
      </c>
      <c r="H28" s="90" t="s">
        <v>158</v>
      </c>
      <c r="I28" s="90" t="s">
        <v>178</v>
      </c>
      <c r="J28" s="102" t="s">
        <v>184</v>
      </c>
    </row>
    <row r="29" spans="1:10" x14ac:dyDescent="0.25">
      <c r="A29" s="149" t="str" cm="1">
        <f t="array" ref="A29">IFERROR(INDEX(Overall!B$35:B$71,_xlfn.AGGREGATE(15,3,((Overall!$A$35:$A$71=4)/(Overall!$A$35:$A$71=4)*ROW(Overall!$A$35:$A$71))-ROW(Overall!$A$34), ROWS(Overall!$L$35:L35))),"")</f>
        <v/>
      </c>
      <c r="B29" s="71" t="str" cm="1">
        <f t="array" ref="B29">IFERROR(INDEX(Overall!C$35:C$71,_xlfn.AGGREGATE(15,3,((Overall!$A$35:$A$71=4)/(Overall!$A$35:$A$71=4)*ROW(Overall!$A$35:$A$71))-ROW(Overall!$A$34), ROWS(Overall!$L$35:M35))),"")</f>
        <v/>
      </c>
      <c r="C29" s="98" t="str" cm="1">
        <f t="array" ref="C29">IFERROR(INDEX(Overall!D$35:D$71,_xlfn.AGGREGATE(15,3,((Overall!$A$35:$A$71=4)/(Overall!$A$35:$A$71=4)*ROW(Overall!$A$35:$A$71))-ROW(Overall!$A$34), ROWS(Overall!$L$35:N35))),"")</f>
        <v/>
      </c>
      <c r="D29" s="73" t="str" cm="1">
        <f t="array" ref="D29">IFERROR(INDEX(Overall!E$35:E$71,_xlfn.AGGREGATE(15,3,((Overall!$A$35:$A$71=4)/(Overall!$A$35:$A$71=4)*ROW(Overall!$A$35:$A$71))-ROW(Overall!$A$34), ROWS(Overall!$L$35:O35))),"")</f>
        <v/>
      </c>
      <c r="E29" s="154" t="str" cm="1">
        <f t="array" ref="E29">IFERROR(INDEX(Overall!F$35:F$71,_xlfn.AGGREGATE(15,3,((Overall!$A$35:$A$71=4)/(Overall!$A$35:$A$71=4)*ROW(Overall!$A$35:$A$71))-ROW(Overall!$A$34), ROWS(Overall!$L$35:P35))),"")</f>
        <v/>
      </c>
      <c r="F29" s="155" t="str" cm="1">
        <f t="array" ref="F29">IFERROR(INDEX(Overall!G$35:G$71,_xlfn.AGGREGATE(15,3,((Overall!$A$35:$A$71=4)/(Overall!$A$35:$A$71=4)*ROW(Overall!$A$35:$A$71))-ROW(Overall!$A$34), ROWS(Overall!$L$35:Q35))),"")</f>
        <v/>
      </c>
      <c r="G29" s="117" t="str" cm="1">
        <f t="array" ref="G29">IFERROR(INDEX(Overall!H$35:H$71,_xlfn.AGGREGATE(15,3,((Overall!$A$35:$A$71=4)/(Overall!$A$35:$A$71=4)*ROW(Overall!$A$35:$A$71))-ROW(Overall!$A$34), ROWS(Overall!$L$35:R35))),"")</f>
        <v/>
      </c>
      <c r="H29" s="117" t="str" cm="1">
        <f t="array" ref="H29">IFERROR(INDEX(Overall!I$35:I$71,_xlfn.AGGREGATE(15,3,((Overall!$A$35:$A$71=4)/(Overall!$A$35:$A$71=4)*ROW(Overall!$A$35:$A$71))-ROW(Overall!$A$34), ROWS(Overall!$L$35:S35))),"")</f>
        <v/>
      </c>
      <c r="I29" s="73" t="str" cm="1">
        <f t="array" ref="I29">IFERROR(INDEX(Overall!J$35:J$71,_xlfn.AGGREGATE(15,3,((Overall!$A$35:$A$71=4)/(Overall!$A$35:$A$71=4)*ROW(Overall!$A$35:$A$71))-ROW(Overall!$A$34), ROWS(Overall!$L$35:T35))),"")</f>
        <v/>
      </c>
      <c r="J29" s="64" t="str" cm="1">
        <f t="array" ref="J29">IFERROR(INDEX(Overall!K$35:K$71,_xlfn.AGGREGATE(15,3,((Overall!$A$35:$A$71=4)/(Overall!$A$35:$A$71=4)*ROW(Overall!$A$35:$A$71))-ROW(Overall!$A$34), ROWS(Overall!$L$35:U35))),"")</f>
        <v/>
      </c>
    </row>
    <row r="30" spans="1:10" x14ac:dyDescent="0.25">
      <c r="A30" s="149" t="str" cm="1">
        <f t="array" ref="A30">IFERROR(INDEX(Overall!B$35:B$71,_xlfn.AGGREGATE(15,3,((Overall!$A$35:$A$71=4)/(Overall!$A$35:$A$71=4)*ROW(Overall!$A$35:$A$71))-ROW(Overall!$A$34), ROWS(Overall!$L$35:L36))),"")</f>
        <v/>
      </c>
      <c r="B30" s="71" t="str" cm="1">
        <f t="array" ref="B30">IFERROR(INDEX(Overall!C$35:C$71,_xlfn.AGGREGATE(15,3,((Overall!$A$35:$A$71=4)/(Overall!$A$35:$A$71=4)*ROW(Overall!$A$35:$A$71))-ROW(Overall!$A$34), ROWS(Overall!$L$35:M36))),"")</f>
        <v/>
      </c>
      <c r="C30" s="98" t="str" cm="1">
        <f t="array" ref="C30">IFERROR(INDEX(Overall!D$35:D$71,_xlfn.AGGREGATE(15,3,((Overall!$A$35:$A$71=4)/(Overall!$A$35:$A$71=4)*ROW(Overall!$A$35:$A$71))-ROW(Overall!$A$34), ROWS(Overall!$L$35:N36))),"")</f>
        <v/>
      </c>
      <c r="D30" s="73" t="str" cm="1">
        <f t="array" ref="D30">IFERROR(INDEX(Overall!E$35:E$71,_xlfn.AGGREGATE(15,3,((Overall!$A$35:$A$71=4)/(Overall!$A$35:$A$71=4)*ROW(Overall!$A$35:$A$71))-ROW(Overall!$A$34), ROWS(Overall!$L$35:O36))),"")</f>
        <v/>
      </c>
      <c r="E30" s="154" t="str" cm="1">
        <f t="array" ref="E30">IFERROR(INDEX(Overall!F$35:F$71,_xlfn.AGGREGATE(15,3,((Overall!$A$35:$A$71=4)/(Overall!$A$35:$A$71=4)*ROW(Overall!$A$35:$A$71))-ROW(Overall!$A$34), ROWS(Overall!$L$35:P36))),"")</f>
        <v/>
      </c>
      <c r="F30" s="155" t="str" cm="1">
        <f t="array" ref="F30">IFERROR(INDEX(Overall!G$35:G$71,_xlfn.AGGREGATE(15,3,((Overall!$A$35:$A$71=4)/(Overall!$A$35:$A$71=4)*ROW(Overall!$A$35:$A$71))-ROW(Overall!$A$34), ROWS(Overall!$L$35:Q36))),"")</f>
        <v/>
      </c>
      <c r="G30" s="117" t="str" cm="1">
        <f t="array" ref="G30">IFERROR(INDEX(Overall!H$35:H$71,_xlfn.AGGREGATE(15,3,((Overall!$A$35:$A$71=4)/(Overall!$A$35:$A$71=4)*ROW(Overall!$A$35:$A$71))-ROW(Overall!$A$34), ROWS(Overall!$L$35:R36))),"")</f>
        <v/>
      </c>
      <c r="H30" s="117" t="str" cm="1">
        <f t="array" ref="H30">IFERROR(INDEX(Overall!I$35:I$71,_xlfn.AGGREGATE(15,3,((Overall!$A$35:$A$71=4)/(Overall!$A$35:$A$71=4)*ROW(Overall!$A$35:$A$71))-ROW(Overall!$A$34), ROWS(Overall!$L$35:S36))),"")</f>
        <v/>
      </c>
      <c r="I30" s="73" t="str" cm="1">
        <f t="array" ref="I30">IFERROR(INDEX(Overall!J$35:J$71,_xlfn.AGGREGATE(15,3,((Overall!$A$35:$A$71=4)/(Overall!$A$35:$A$71=4)*ROW(Overall!$A$35:$A$71))-ROW(Overall!$A$34), ROWS(Overall!$L$35:T36))),"")</f>
        <v/>
      </c>
      <c r="J30" s="64" t="str" cm="1">
        <f t="array" ref="J30">IFERROR(INDEX(Overall!K$35:K$71,_xlfn.AGGREGATE(15,3,((Overall!$A$35:$A$71=4)/(Overall!$A$35:$A$71=4)*ROW(Overall!$A$35:$A$71))-ROW(Overall!$A$34), ROWS(Overall!$L$35:U36))),"")</f>
        <v/>
      </c>
    </row>
    <row r="31" spans="1:10" x14ac:dyDescent="0.25">
      <c r="A31" s="149" t="str" cm="1">
        <f t="array" ref="A31">IFERROR(INDEX(Overall!B$35:B$71,_xlfn.AGGREGATE(15,3,((Overall!$A$35:$A$71=4)/(Overall!$A$35:$A$71=4)*ROW(Overall!$A$35:$A$71))-ROW(Overall!$A$34), ROWS(Overall!$L$35:L37))),"")</f>
        <v/>
      </c>
      <c r="B31" s="71" t="str" cm="1">
        <f t="array" ref="B31">IFERROR(INDEX(Overall!C$35:C$71,_xlfn.AGGREGATE(15,3,((Overall!$A$35:$A$71=4)/(Overall!$A$35:$A$71=4)*ROW(Overall!$A$35:$A$71))-ROW(Overall!$A$34), ROWS(Overall!$L$35:M37))),"")</f>
        <v/>
      </c>
      <c r="C31" s="98" t="str" cm="1">
        <f t="array" ref="C31">IFERROR(INDEX(Overall!D$35:D$71,_xlfn.AGGREGATE(15,3,((Overall!$A$35:$A$71=4)/(Overall!$A$35:$A$71=4)*ROW(Overall!$A$35:$A$71))-ROW(Overall!$A$34), ROWS(Overall!$L$35:N37))),"")</f>
        <v/>
      </c>
      <c r="D31" s="73" t="str" cm="1">
        <f t="array" ref="D31">IFERROR(INDEX(Overall!E$35:E$71,_xlfn.AGGREGATE(15,3,((Overall!$A$35:$A$71=4)/(Overall!$A$35:$A$71=4)*ROW(Overall!$A$35:$A$71))-ROW(Overall!$A$34), ROWS(Overall!$L$35:O37))),"")</f>
        <v/>
      </c>
      <c r="E31" s="154" t="str" cm="1">
        <f t="array" ref="E31">IFERROR(INDEX(Overall!F$35:F$71,_xlfn.AGGREGATE(15,3,((Overall!$A$35:$A$71=4)/(Overall!$A$35:$A$71=4)*ROW(Overall!$A$35:$A$71))-ROW(Overall!$A$34), ROWS(Overall!$L$35:P37))),"")</f>
        <v/>
      </c>
      <c r="F31" s="155" t="str" cm="1">
        <f t="array" ref="F31">IFERROR(INDEX(Overall!G$35:G$71,_xlfn.AGGREGATE(15,3,((Overall!$A$35:$A$71=4)/(Overall!$A$35:$A$71=4)*ROW(Overall!$A$35:$A$71))-ROW(Overall!$A$34), ROWS(Overall!$L$35:Q37))),"")</f>
        <v/>
      </c>
      <c r="G31" s="117" t="str" cm="1">
        <f t="array" ref="G31">IFERROR(INDEX(Overall!H$35:H$71,_xlfn.AGGREGATE(15,3,((Overall!$A$35:$A$71=4)/(Overall!$A$35:$A$71=4)*ROW(Overall!$A$35:$A$71))-ROW(Overall!$A$34), ROWS(Overall!$L$35:R37))),"")</f>
        <v/>
      </c>
      <c r="H31" s="117" t="str" cm="1">
        <f t="array" ref="H31">IFERROR(INDEX(Overall!I$35:I$71,_xlfn.AGGREGATE(15,3,((Overall!$A$35:$A$71=4)/(Overall!$A$35:$A$71=4)*ROW(Overall!$A$35:$A$71))-ROW(Overall!$A$34), ROWS(Overall!$L$35:S37))),"")</f>
        <v/>
      </c>
      <c r="I31" s="73" t="str" cm="1">
        <f t="array" ref="I31">IFERROR(INDEX(Overall!J$35:J$71,_xlfn.AGGREGATE(15,3,((Overall!$A$35:$A$71=4)/(Overall!$A$35:$A$71=4)*ROW(Overall!$A$35:$A$71))-ROW(Overall!$A$34), ROWS(Overall!$L$35:T37))),"")</f>
        <v/>
      </c>
      <c r="J31" s="64" t="str" cm="1">
        <f t="array" ref="J31">IFERROR(INDEX(Overall!K$35:K$71,_xlfn.AGGREGATE(15,3,((Overall!$A$35:$A$71=4)/(Overall!$A$35:$A$71=4)*ROW(Overall!$A$35:$A$71))-ROW(Overall!$A$34), ROWS(Overall!$L$35:U37))),"")</f>
        <v/>
      </c>
    </row>
    <row r="32" spans="1:10" x14ac:dyDescent="0.25">
      <c r="A32" s="149" t="str" cm="1">
        <f t="array" ref="A32">IFERROR(INDEX(Overall!B$35:B$71,_xlfn.AGGREGATE(15,3,((Overall!$A$35:$A$71=4)/(Overall!$A$35:$A$71=4)*ROW(Overall!$A$35:$A$71))-ROW(Overall!$A$34), ROWS(Overall!$L$35:L38))),"")</f>
        <v/>
      </c>
      <c r="B32" s="71" t="str" cm="1">
        <f t="array" ref="B32">IFERROR(INDEX(Overall!C$35:C$71,_xlfn.AGGREGATE(15,3,((Overall!$A$35:$A$71=4)/(Overall!$A$35:$A$71=4)*ROW(Overall!$A$35:$A$71))-ROW(Overall!$A$34), ROWS(Overall!$L$35:M38))),"")</f>
        <v/>
      </c>
      <c r="C32" s="98" t="str" cm="1">
        <f t="array" ref="C32">IFERROR(INDEX(Overall!D$35:D$71,_xlfn.AGGREGATE(15,3,((Overall!$A$35:$A$71=4)/(Overall!$A$35:$A$71=4)*ROW(Overall!$A$35:$A$71))-ROW(Overall!$A$34), ROWS(Overall!$L$35:N38))),"")</f>
        <v/>
      </c>
      <c r="D32" s="73" t="str" cm="1">
        <f t="array" ref="D32">IFERROR(INDEX(Overall!E$35:E$71,_xlfn.AGGREGATE(15,3,((Overall!$A$35:$A$71=4)/(Overall!$A$35:$A$71=4)*ROW(Overall!$A$35:$A$71))-ROW(Overall!$A$34), ROWS(Overall!$L$35:O38))),"")</f>
        <v/>
      </c>
      <c r="E32" s="154" t="str" cm="1">
        <f t="array" ref="E32">IFERROR(INDEX(Overall!F$35:F$71,_xlfn.AGGREGATE(15,3,((Overall!$A$35:$A$71=4)/(Overall!$A$35:$A$71=4)*ROW(Overall!$A$35:$A$71))-ROW(Overall!$A$34), ROWS(Overall!$L$35:P38))),"")</f>
        <v/>
      </c>
      <c r="F32" s="155" t="str" cm="1">
        <f t="array" ref="F32">IFERROR(INDEX(Overall!G$35:G$71,_xlfn.AGGREGATE(15,3,((Overall!$A$35:$A$71=4)/(Overall!$A$35:$A$71=4)*ROW(Overall!$A$35:$A$71))-ROW(Overall!$A$34), ROWS(Overall!$L$35:Q38))),"")</f>
        <v/>
      </c>
      <c r="G32" s="117" t="str" cm="1">
        <f t="array" ref="G32">IFERROR(INDEX(Overall!H$35:H$71,_xlfn.AGGREGATE(15,3,((Overall!$A$35:$A$71=4)/(Overall!$A$35:$A$71=4)*ROW(Overall!$A$35:$A$71))-ROW(Overall!$A$34), ROWS(Overall!$L$35:R38))),"")</f>
        <v/>
      </c>
      <c r="H32" s="117" t="str" cm="1">
        <f t="array" ref="H32">IFERROR(INDEX(Overall!I$35:I$71,_xlfn.AGGREGATE(15,3,((Overall!$A$35:$A$71=4)/(Overall!$A$35:$A$71=4)*ROW(Overall!$A$35:$A$71))-ROW(Overall!$A$34), ROWS(Overall!$L$35:S38))),"")</f>
        <v/>
      </c>
      <c r="I32" s="73" t="str" cm="1">
        <f t="array" ref="I32">IFERROR(INDEX(Overall!J$35:J$71,_xlfn.AGGREGATE(15,3,((Overall!$A$35:$A$71=4)/(Overall!$A$35:$A$71=4)*ROW(Overall!$A$35:$A$71))-ROW(Overall!$A$34), ROWS(Overall!$L$35:T38))),"")</f>
        <v/>
      </c>
      <c r="J32" s="64" t="str" cm="1">
        <f t="array" ref="J32">IFERROR(INDEX(Overall!K$35:K$71,_xlfn.AGGREGATE(15,3,((Overall!$A$35:$A$71=4)/(Overall!$A$35:$A$71=4)*ROW(Overall!$A$35:$A$71))-ROW(Overall!$A$34), ROWS(Overall!$L$35:U38))),"")</f>
        <v/>
      </c>
    </row>
    <row r="33" spans="1:10" x14ac:dyDescent="0.25">
      <c r="A33" s="149" t="str" cm="1">
        <f t="array" ref="A33">IFERROR(INDEX(Overall!B$35:B$71,_xlfn.AGGREGATE(15,3,((Overall!$A$35:$A$71=4)/(Overall!$A$35:$A$71=4)*ROW(Overall!$A$35:$A$71))-ROW(Overall!$A$34), ROWS(Overall!$L$35:L39))),"")</f>
        <v/>
      </c>
      <c r="B33" s="71" t="str" cm="1">
        <f t="array" ref="B33">IFERROR(INDEX(Overall!C$35:C$71,_xlfn.AGGREGATE(15,3,((Overall!$A$35:$A$71=4)/(Overall!$A$35:$A$71=4)*ROW(Overall!$A$35:$A$71))-ROW(Overall!$A$34), ROWS(Overall!$L$35:M39))),"")</f>
        <v/>
      </c>
      <c r="C33" s="98" t="str" cm="1">
        <f t="array" ref="C33">IFERROR(INDEX(Overall!D$35:D$71,_xlfn.AGGREGATE(15,3,((Overall!$A$35:$A$71=4)/(Overall!$A$35:$A$71=4)*ROW(Overall!$A$35:$A$71))-ROW(Overall!$A$34), ROWS(Overall!$L$35:N39))),"")</f>
        <v/>
      </c>
      <c r="D33" s="73" t="str" cm="1">
        <f t="array" ref="D33">IFERROR(INDEX(Overall!E$35:E$71,_xlfn.AGGREGATE(15,3,((Overall!$A$35:$A$71=4)/(Overall!$A$35:$A$71=4)*ROW(Overall!$A$35:$A$71))-ROW(Overall!$A$34), ROWS(Overall!$L$35:O39))),"")</f>
        <v/>
      </c>
      <c r="E33" s="154" t="str" cm="1">
        <f t="array" ref="E33">IFERROR(INDEX(Overall!F$35:F$71,_xlfn.AGGREGATE(15,3,((Overall!$A$35:$A$71=4)/(Overall!$A$35:$A$71=4)*ROW(Overall!$A$35:$A$71))-ROW(Overall!$A$34), ROWS(Overall!$L$35:P39))),"")</f>
        <v/>
      </c>
      <c r="F33" s="155" t="str" cm="1">
        <f t="array" ref="F33">IFERROR(INDEX(Overall!G$35:G$71,_xlfn.AGGREGATE(15,3,((Overall!$A$35:$A$71=4)/(Overall!$A$35:$A$71=4)*ROW(Overall!$A$35:$A$71))-ROW(Overall!$A$34), ROWS(Overall!$L$35:Q39))),"")</f>
        <v/>
      </c>
      <c r="G33" s="117" t="str" cm="1">
        <f t="array" ref="G33">IFERROR(INDEX(Overall!H$35:H$71,_xlfn.AGGREGATE(15,3,((Overall!$A$35:$A$71=4)/(Overall!$A$35:$A$71=4)*ROW(Overall!$A$35:$A$71))-ROW(Overall!$A$34), ROWS(Overall!$L$35:R39))),"")</f>
        <v/>
      </c>
      <c r="H33" s="117" t="str" cm="1">
        <f t="array" ref="H33">IFERROR(INDEX(Overall!I$35:I$71,_xlfn.AGGREGATE(15,3,((Overall!$A$35:$A$71=4)/(Overall!$A$35:$A$71=4)*ROW(Overall!$A$35:$A$71))-ROW(Overall!$A$34), ROWS(Overall!$L$35:S39))),"")</f>
        <v/>
      </c>
      <c r="I33" s="73" t="str" cm="1">
        <f t="array" ref="I33">IFERROR(INDEX(Overall!J$35:J$71,_xlfn.AGGREGATE(15,3,((Overall!$A$35:$A$71=4)/(Overall!$A$35:$A$71=4)*ROW(Overall!$A$35:$A$71))-ROW(Overall!$A$34), ROWS(Overall!$L$35:T39))),"")</f>
        <v/>
      </c>
      <c r="J33" s="64" t="str" cm="1">
        <f t="array" ref="J33">IFERROR(INDEX(Overall!K$35:K$71,_xlfn.AGGREGATE(15,3,((Overall!$A$35:$A$71=4)/(Overall!$A$35:$A$71=4)*ROW(Overall!$A$35:$A$71))-ROW(Overall!$A$34), ROWS(Overall!$L$35:U39))),"")</f>
        <v/>
      </c>
    </row>
    <row r="34" spans="1:10" x14ac:dyDescent="0.25">
      <c r="A34" s="149" t="str" cm="1">
        <f t="array" ref="A34">IFERROR(INDEX(Overall!B$35:B$71,_xlfn.AGGREGATE(15,3,((Overall!$A$35:$A$71=4)/(Overall!$A$35:$A$71=4)*ROW(Overall!$A$35:$A$71))-ROW(Overall!$A$34), ROWS(Overall!$L$35:L40))),"")</f>
        <v/>
      </c>
      <c r="B34" s="71" t="str" cm="1">
        <f t="array" ref="B34">IFERROR(INDEX(Overall!C$35:C$71,_xlfn.AGGREGATE(15,3,((Overall!$A$35:$A$71=4)/(Overall!$A$35:$A$71=4)*ROW(Overall!$A$35:$A$71))-ROW(Overall!$A$34), ROWS(Overall!$L$35:M40))),"")</f>
        <v/>
      </c>
      <c r="C34" s="98" t="str" cm="1">
        <f t="array" ref="C34">IFERROR(INDEX(Overall!D$35:D$71,_xlfn.AGGREGATE(15,3,((Overall!$A$35:$A$71=4)/(Overall!$A$35:$A$71=4)*ROW(Overall!$A$35:$A$71))-ROW(Overall!$A$34), ROWS(Overall!$L$35:N40))),"")</f>
        <v/>
      </c>
      <c r="D34" s="73" t="str" cm="1">
        <f t="array" ref="D34">IFERROR(INDEX(Overall!E$35:E$71,_xlfn.AGGREGATE(15,3,((Overall!$A$35:$A$71=4)/(Overall!$A$35:$A$71=4)*ROW(Overall!$A$35:$A$71))-ROW(Overall!$A$34), ROWS(Overall!$L$35:O40))),"")</f>
        <v/>
      </c>
      <c r="E34" s="154" t="str" cm="1">
        <f t="array" ref="E34">IFERROR(INDEX(Overall!F$35:F$71,_xlfn.AGGREGATE(15,3,((Overall!$A$35:$A$71=4)/(Overall!$A$35:$A$71=4)*ROW(Overall!$A$35:$A$71))-ROW(Overall!$A$34), ROWS(Overall!$L$35:P40))),"")</f>
        <v/>
      </c>
      <c r="F34" s="155" t="str" cm="1">
        <f t="array" ref="F34">IFERROR(INDEX(Overall!G$35:G$71,_xlfn.AGGREGATE(15,3,((Overall!$A$35:$A$71=4)/(Overall!$A$35:$A$71=4)*ROW(Overall!$A$35:$A$71))-ROW(Overall!$A$34), ROWS(Overall!$L$35:Q40))),"")</f>
        <v/>
      </c>
      <c r="G34" s="117" t="str" cm="1">
        <f t="array" ref="G34">IFERROR(INDEX(Overall!H$35:H$71,_xlfn.AGGREGATE(15,3,((Overall!$A$35:$A$71=4)/(Overall!$A$35:$A$71=4)*ROW(Overall!$A$35:$A$71))-ROW(Overall!$A$34), ROWS(Overall!$L$35:R40))),"")</f>
        <v/>
      </c>
      <c r="H34" s="117" t="str" cm="1">
        <f t="array" ref="H34">IFERROR(INDEX(Overall!I$35:I$71,_xlfn.AGGREGATE(15,3,((Overall!$A$35:$A$71=4)/(Overall!$A$35:$A$71=4)*ROW(Overall!$A$35:$A$71))-ROW(Overall!$A$34), ROWS(Overall!$L$35:S40))),"")</f>
        <v/>
      </c>
      <c r="I34" s="73" t="str" cm="1">
        <f t="array" ref="I34">IFERROR(INDEX(Overall!J$35:J$71,_xlfn.AGGREGATE(15,3,((Overall!$A$35:$A$71=4)/(Overall!$A$35:$A$71=4)*ROW(Overall!$A$35:$A$71))-ROW(Overall!$A$34), ROWS(Overall!$L$35:T40))),"")</f>
        <v/>
      </c>
      <c r="J34" s="64" t="str" cm="1">
        <f t="array" ref="J34">IFERROR(INDEX(Overall!K$35:K$71,_xlfn.AGGREGATE(15,3,((Overall!$A$35:$A$71=4)/(Overall!$A$35:$A$71=4)*ROW(Overall!$A$35:$A$71))-ROW(Overall!$A$34), ROWS(Overall!$L$35:U40))),"")</f>
        <v/>
      </c>
    </row>
    <row r="35" spans="1:10" x14ac:dyDescent="0.25">
      <c r="A35" s="149" t="str" cm="1">
        <f t="array" ref="A35">IFERROR(INDEX(Overall!B$35:B$71,_xlfn.AGGREGATE(15,3,((Overall!$A$35:$A$71=4)/(Overall!$A$35:$A$71=4)*ROW(Overall!$A$35:$A$71))-ROW(Overall!$A$34), ROWS(Overall!$L$35:L41))),"")</f>
        <v/>
      </c>
      <c r="B35" s="71" t="str" cm="1">
        <f t="array" ref="B35">IFERROR(INDEX(Overall!C$35:C$71,_xlfn.AGGREGATE(15,3,((Overall!$A$35:$A$71=4)/(Overall!$A$35:$A$71=4)*ROW(Overall!$A$35:$A$71))-ROW(Overall!$A$34), ROWS(Overall!$L$35:M41))),"")</f>
        <v/>
      </c>
      <c r="C35" s="98" t="str" cm="1">
        <f t="array" ref="C35">IFERROR(INDEX(Overall!D$35:D$71,_xlfn.AGGREGATE(15,3,((Overall!$A$35:$A$71=4)/(Overall!$A$35:$A$71=4)*ROW(Overall!$A$35:$A$71))-ROW(Overall!$A$34), ROWS(Overall!$L$35:N41))),"")</f>
        <v/>
      </c>
      <c r="D35" s="73" t="str" cm="1">
        <f t="array" ref="D35">IFERROR(INDEX(Overall!E$35:E$71,_xlfn.AGGREGATE(15,3,((Overall!$A$35:$A$71=4)/(Overall!$A$35:$A$71=4)*ROW(Overall!$A$35:$A$71))-ROW(Overall!$A$34), ROWS(Overall!$L$35:O41))),"")</f>
        <v/>
      </c>
      <c r="E35" s="154" t="str" cm="1">
        <f t="array" ref="E35">IFERROR(INDEX(Overall!F$35:F$71,_xlfn.AGGREGATE(15,3,((Overall!$A$35:$A$71=4)/(Overall!$A$35:$A$71=4)*ROW(Overall!$A$35:$A$71))-ROW(Overall!$A$34), ROWS(Overall!$L$35:P41))),"")</f>
        <v/>
      </c>
      <c r="F35" s="155" t="str" cm="1">
        <f t="array" ref="F35">IFERROR(INDEX(Overall!G$35:G$71,_xlfn.AGGREGATE(15,3,((Overall!$A$35:$A$71=4)/(Overall!$A$35:$A$71=4)*ROW(Overall!$A$35:$A$71))-ROW(Overall!$A$34), ROWS(Overall!$L$35:Q41))),"")</f>
        <v/>
      </c>
      <c r="G35" s="117" t="str" cm="1">
        <f t="array" ref="G35">IFERROR(INDEX(Overall!H$35:H$71,_xlfn.AGGREGATE(15,3,((Overall!$A$35:$A$71=4)/(Overall!$A$35:$A$71=4)*ROW(Overall!$A$35:$A$71))-ROW(Overall!$A$34), ROWS(Overall!$L$35:R41))),"")</f>
        <v/>
      </c>
      <c r="H35" s="117" t="str" cm="1">
        <f t="array" ref="H35">IFERROR(INDEX(Overall!I$35:I$71,_xlfn.AGGREGATE(15,3,((Overall!$A$35:$A$71=4)/(Overall!$A$35:$A$71=4)*ROW(Overall!$A$35:$A$71))-ROW(Overall!$A$34), ROWS(Overall!$L$35:S41))),"")</f>
        <v/>
      </c>
      <c r="I35" s="73" t="str" cm="1">
        <f t="array" ref="I35">IFERROR(INDEX(Overall!J$35:J$71,_xlfn.AGGREGATE(15,3,((Overall!$A$35:$A$71=4)/(Overall!$A$35:$A$71=4)*ROW(Overall!$A$35:$A$71))-ROW(Overall!$A$34), ROWS(Overall!$L$35:T41))),"")</f>
        <v/>
      </c>
      <c r="J35" s="64" t="str" cm="1">
        <f t="array" ref="J35">IFERROR(INDEX(Overall!K$35:K$71,_xlfn.AGGREGATE(15,3,((Overall!$A$35:$A$71=4)/(Overall!$A$35:$A$71=4)*ROW(Overall!$A$35:$A$71))-ROW(Overall!$A$34), ROWS(Overall!$L$35:U41))),"")</f>
        <v/>
      </c>
    </row>
    <row r="36" spans="1:10" x14ac:dyDescent="0.25">
      <c r="A36" s="149" t="str" cm="1">
        <f t="array" ref="A36">IFERROR(INDEX(Overall!B$35:B$71,_xlfn.AGGREGATE(15,3,((Overall!$A$35:$A$71=4)/(Overall!$A$35:$A$71=4)*ROW(Overall!$A$35:$A$71))-ROW(Overall!$A$34), ROWS(Overall!$L$35:L42))),"")</f>
        <v/>
      </c>
      <c r="B36" s="71" t="str" cm="1">
        <f t="array" ref="B36">IFERROR(INDEX(Overall!C$35:C$71,_xlfn.AGGREGATE(15,3,((Overall!$A$35:$A$71=4)/(Overall!$A$35:$A$71=4)*ROW(Overall!$A$35:$A$71))-ROW(Overall!$A$34), ROWS(Overall!$L$35:M42))),"")</f>
        <v/>
      </c>
      <c r="C36" s="98" t="str" cm="1">
        <f t="array" ref="C36">IFERROR(INDEX(Overall!D$35:D$71,_xlfn.AGGREGATE(15,3,((Overall!$A$35:$A$71=4)/(Overall!$A$35:$A$71=4)*ROW(Overall!$A$35:$A$71))-ROW(Overall!$A$34), ROWS(Overall!$L$35:N42))),"")</f>
        <v/>
      </c>
      <c r="D36" s="73" t="str" cm="1">
        <f t="array" ref="D36">IFERROR(INDEX(Overall!E$35:E$71,_xlfn.AGGREGATE(15,3,((Overall!$A$35:$A$71=4)/(Overall!$A$35:$A$71=4)*ROW(Overall!$A$35:$A$71))-ROW(Overall!$A$34), ROWS(Overall!$L$35:O42))),"")</f>
        <v/>
      </c>
      <c r="E36" s="154" t="str" cm="1">
        <f t="array" ref="E36">IFERROR(INDEX(Overall!F$35:F$71,_xlfn.AGGREGATE(15,3,((Overall!$A$35:$A$71=4)/(Overall!$A$35:$A$71=4)*ROW(Overall!$A$35:$A$71))-ROW(Overall!$A$34), ROWS(Overall!$L$35:P42))),"")</f>
        <v/>
      </c>
      <c r="F36" s="155" t="str" cm="1">
        <f t="array" ref="F36">IFERROR(INDEX(Overall!G$35:G$71,_xlfn.AGGREGATE(15,3,((Overall!$A$35:$A$71=4)/(Overall!$A$35:$A$71=4)*ROW(Overall!$A$35:$A$71))-ROW(Overall!$A$34), ROWS(Overall!$L$35:Q42))),"")</f>
        <v/>
      </c>
      <c r="G36" s="117" t="str" cm="1">
        <f t="array" ref="G36">IFERROR(INDEX(Overall!H$35:H$71,_xlfn.AGGREGATE(15,3,((Overall!$A$35:$A$71=4)/(Overall!$A$35:$A$71=4)*ROW(Overall!$A$35:$A$71))-ROW(Overall!$A$34), ROWS(Overall!$L$35:R42))),"")</f>
        <v/>
      </c>
      <c r="H36" s="117" t="str" cm="1">
        <f t="array" ref="H36">IFERROR(INDEX(Overall!I$35:I$71,_xlfn.AGGREGATE(15,3,((Overall!$A$35:$A$71=4)/(Overall!$A$35:$A$71=4)*ROW(Overall!$A$35:$A$71))-ROW(Overall!$A$34), ROWS(Overall!$L$35:S42))),"")</f>
        <v/>
      </c>
      <c r="I36" s="73" t="str" cm="1">
        <f t="array" ref="I36">IFERROR(INDEX(Overall!J$35:J$71,_xlfn.AGGREGATE(15,3,((Overall!$A$35:$A$71=4)/(Overall!$A$35:$A$71=4)*ROW(Overall!$A$35:$A$71))-ROW(Overall!$A$34), ROWS(Overall!$L$35:T42))),"")</f>
        <v/>
      </c>
      <c r="J36" s="64" t="str" cm="1">
        <f t="array" ref="J36">IFERROR(INDEX(Overall!K$35:K$71,_xlfn.AGGREGATE(15,3,((Overall!$A$35:$A$71=4)/(Overall!$A$35:$A$71=4)*ROW(Overall!$A$35:$A$71))-ROW(Overall!$A$34), ROWS(Overall!$L$35:U42))),"")</f>
        <v/>
      </c>
    </row>
    <row r="37" spans="1:10" x14ac:dyDescent="0.25">
      <c r="A37" s="149" t="str" cm="1">
        <f t="array" ref="A37">IFERROR(INDEX(Overall!B$35:B$71,_xlfn.AGGREGATE(15,3,((Overall!$A$35:$A$71=4)/(Overall!$A$35:$A$71=4)*ROW(Overall!$A$35:$A$71))-ROW(Overall!$A$34), ROWS(Overall!$L$35:L43))),"")</f>
        <v/>
      </c>
      <c r="B37" s="71" t="str" cm="1">
        <f t="array" ref="B37">IFERROR(INDEX(Overall!C$35:C$71,_xlfn.AGGREGATE(15,3,((Overall!$A$35:$A$71=4)/(Overall!$A$35:$A$71=4)*ROW(Overall!$A$35:$A$71))-ROW(Overall!$A$34), ROWS(Overall!$L$35:M43))),"")</f>
        <v/>
      </c>
      <c r="C37" s="98" t="str" cm="1">
        <f t="array" ref="C37">IFERROR(INDEX(Overall!D$35:D$71,_xlfn.AGGREGATE(15,3,((Overall!$A$35:$A$71=4)/(Overall!$A$35:$A$71=4)*ROW(Overall!$A$35:$A$71))-ROW(Overall!$A$34), ROWS(Overall!$L$35:N43))),"")</f>
        <v/>
      </c>
      <c r="D37" s="73" t="str" cm="1">
        <f t="array" ref="D37">IFERROR(INDEX(Overall!E$35:E$71,_xlfn.AGGREGATE(15,3,((Overall!$A$35:$A$71=4)/(Overall!$A$35:$A$71=4)*ROW(Overall!$A$35:$A$71))-ROW(Overall!$A$34), ROWS(Overall!$L$35:O43))),"")</f>
        <v/>
      </c>
      <c r="E37" s="154" t="str" cm="1">
        <f t="array" ref="E37">IFERROR(INDEX(Overall!F$35:F$71,_xlfn.AGGREGATE(15,3,((Overall!$A$35:$A$71=4)/(Overall!$A$35:$A$71=4)*ROW(Overall!$A$35:$A$71))-ROW(Overall!$A$34), ROWS(Overall!$L$35:P43))),"")</f>
        <v/>
      </c>
      <c r="F37" s="155" t="str" cm="1">
        <f t="array" ref="F37">IFERROR(INDEX(Overall!G$35:G$71,_xlfn.AGGREGATE(15,3,((Overall!$A$35:$A$71=4)/(Overall!$A$35:$A$71=4)*ROW(Overall!$A$35:$A$71))-ROW(Overall!$A$34), ROWS(Overall!$L$35:Q43))),"")</f>
        <v/>
      </c>
      <c r="G37" s="117" t="str" cm="1">
        <f t="array" ref="G37">IFERROR(INDEX(Overall!H$35:H$71,_xlfn.AGGREGATE(15,3,((Overall!$A$35:$A$71=4)/(Overall!$A$35:$A$71=4)*ROW(Overall!$A$35:$A$71))-ROW(Overall!$A$34), ROWS(Overall!$L$35:R43))),"")</f>
        <v/>
      </c>
      <c r="H37" s="117" t="str" cm="1">
        <f t="array" ref="H37">IFERROR(INDEX(Overall!I$35:I$71,_xlfn.AGGREGATE(15,3,((Overall!$A$35:$A$71=4)/(Overall!$A$35:$A$71=4)*ROW(Overall!$A$35:$A$71))-ROW(Overall!$A$34), ROWS(Overall!$L$35:S43))),"")</f>
        <v/>
      </c>
      <c r="I37" s="73" t="str" cm="1">
        <f t="array" ref="I37">IFERROR(INDEX(Overall!J$35:J$71,_xlfn.AGGREGATE(15,3,((Overall!$A$35:$A$71=4)/(Overall!$A$35:$A$71=4)*ROW(Overall!$A$35:$A$71))-ROW(Overall!$A$34), ROWS(Overall!$L$35:T43))),"")</f>
        <v/>
      </c>
      <c r="J37" s="64" t="str" cm="1">
        <f t="array" ref="J37">IFERROR(INDEX(Overall!K$35:K$71,_xlfn.AGGREGATE(15,3,((Overall!$A$35:$A$71=4)/(Overall!$A$35:$A$71=4)*ROW(Overall!$A$35:$A$71))-ROW(Overall!$A$34), ROWS(Overall!$L$35:U43))),"")</f>
        <v/>
      </c>
    </row>
    <row r="38" spans="1:10" x14ac:dyDescent="0.25">
      <c r="A38" s="149" t="str" cm="1">
        <f t="array" ref="A38">IFERROR(INDEX(Overall!B$35:B$71,_xlfn.AGGREGATE(15,3,((Overall!$A$35:$A$71=4)/(Overall!$A$35:$A$71=4)*ROW(Overall!$A$35:$A$71))-ROW(Overall!$A$34), ROWS(Overall!$L$35:L44))),"")</f>
        <v/>
      </c>
      <c r="B38" s="71" t="str" cm="1">
        <f t="array" ref="B38">IFERROR(INDEX(Overall!C$35:C$71,_xlfn.AGGREGATE(15,3,((Overall!$A$35:$A$71=4)/(Overall!$A$35:$A$71=4)*ROW(Overall!$A$35:$A$71))-ROW(Overall!$A$34), ROWS(Overall!$L$35:M44))),"")</f>
        <v/>
      </c>
      <c r="C38" s="98" t="str" cm="1">
        <f t="array" ref="C38">IFERROR(INDEX(Overall!D$35:D$71,_xlfn.AGGREGATE(15,3,((Overall!$A$35:$A$71=4)/(Overall!$A$35:$A$71=4)*ROW(Overall!$A$35:$A$71))-ROW(Overall!$A$34), ROWS(Overall!$L$35:N44))),"")</f>
        <v/>
      </c>
      <c r="D38" s="73" t="str" cm="1">
        <f t="array" ref="D38">IFERROR(INDEX(Overall!E$35:E$71,_xlfn.AGGREGATE(15,3,((Overall!$A$35:$A$71=4)/(Overall!$A$35:$A$71=4)*ROW(Overall!$A$35:$A$71))-ROW(Overall!$A$34), ROWS(Overall!$L$35:O44))),"")</f>
        <v/>
      </c>
      <c r="E38" s="154" t="str" cm="1">
        <f t="array" ref="E38">IFERROR(INDEX(Overall!F$35:F$71,_xlfn.AGGREGATE(15,3,((Overall!$A$35:$A$71=4)/(Overall!$A$35:$A$71=4)*ROW(Overall!$A$35:$A$71))-ROW(Overall!$A$34), ROWS(Overall!$L$35:P44))),"")</f>
        <v/>
      </c>
      <c r="F38" s="155" t="str" cm="1">
        <f t="array" ref="F38">IFERROR(INDEX(Overall!G$35:G$71,_xlfn.AGGREGATE(15,3,((Overall!$A$35:$A$71=4)/(Overall!$A$35:$A$71=4)*ROW(Overall!$A$35:$A$71))-ROW(Overall!$A$34), ROWS(Overall!$L$35:Q44))),"")</f>
        <v/>
      </c>
      <c r="G38" s="117" t="str" cm="1">
        <f t="array" ref="G38">IFERROR(INDEX(Overall!H$35:H$71,_xlfn.AGGREGATE(15,3,((Overall!$A$35:$A$71=4)/(Overall!$A$35:$A$71=4)*ROW(Overall!$A$35:$A$71))-ROW(Overall!$A$34), ROWS(Overall!$L$35:R44))),"")</f>
        <v/>
      </c>
      <c r="H38" s="117" t="str" cm="1">
        <f t="array" ref="H38">IFERROR(INDEX(Overall!I$35:I$71,_xlfn.AGGREGATE(15,3,((Overall!$A$35:$A$71=4)/(Overall!$A$35:$A$71=4)*ROW(Overall!$A$35:$A$71))-ROW(Overall!$A$34), ROWS(Overall!$L$35:S44))),"")</f>
        <v/>
      </c>
      <c r="I38" s="73" t="str" cm="1">
        <f t="array" ref="I38">IFERROR(INDEX(Overall!J$35:J$71,_xlfn.AGGREGATE(15,3,((Overall!$A$35:$A$71=4)/(Overall!$A$35:$A$71=4)*ROW(Overall!$A$35:$A$71))-ROW(Overall!$A$34), ROWS(Overall!$L$35:T44))),"")</f>
        <v/>
      </c>
      <c r="J38" s="64" t="str" cm="1">
        <f t="array" ref="J38">IFERROR(INDEX(Overall!K$35:K$71,_xlfn.AGGREGATE(15,3,((Overall!$A$35:$A$71=4)/(Overall!$A$35:$A$71=4)*ROW(Overall!$A$35:$A$71))-ROW(Overall!$A$34), ROWS(Overall!$L$35:U44))),"")</f>
        <v/>
      </c>
    </row>
    <row r="39" spans="1:10" x14ac:dyDescent="0.25">
      <c r="A39" s="149" t="str" cm="1">
        <f t="array" ref="A39">IFERROR(INDEX(Overall!B$35:B$71,_xlfn.AGGREGATE(15,3,((Overall!$A$35:$A$71=4)/(Overall!$A$35:$A$71=4)*ROW(Overall!$A$35:$A$71))-ROW(Overall!$A$34), ROWS(Overall!$L$35:L45))),"")</f>
        <v/>
      </c>
      <c r="B39" s="71" t="str" cm="1">
        <f t="array" ref="B39">IFERROR(INDEX(Overall!C$35:C$71,_xlfn.AGGREGATE(15,3,((Overall!$A$35:$A$71=4)/(Overall!$A$35:$A$71=4)*ROW(Overall!$A$35:$A$71))-ROW(Overall!$A$34), ROWS(Overall!$L$35:M45))),"")</f>
        <v/>
      </c>
      <c r="C39" s="98" t="str" cm="1">
        <f t="array" ref="C39">IFERROR(INDEX(Overall!D$35:D$71,_xlfn.AGGREGATE(15,3,((Overall!$A$35:$A$71=4)/(Overall!$A$35:$A$71=4)*ROW(Overall!$A$35:$A$71))-ROW(Overall!$A$34), ROWS(Overall!$L$35:N45))),"")</f>
        <v/>
      </c>
      <c r="D39" s="73" t="str" cm="1">
        <f t="array" ref="D39">IFERROR(INDEX(Overall!E$35:E$71,_xlfn.AGGREGATE(15,3,((Overall!$A$35:$A$71=4)/(Overall!$A$35:$A$71=4)*ROW(Overall!$A$35:$A$71))-ROW(Overall!$A$34), ROWS(Overall!$L$35:O45))),"")</f>
        <v/>
      </c>
      <c r="E39" s="154" t="str" cm="1">
        <f t="array" ref="E39">IFERROR(INDEX(Overall!F$35:F$71,_xlfn.AGGREGATE(15,3,((Overall!$A$35:$A$71=4)/(Overall!$A$35:$A$71=4)*ROW(Overall!$A$35:$A$71))-ROW(Overall!$A$34), ROWS(Overall!$L$35:P45))),"")</f>
        <v/>
      </c>
      <c r="F39" s="155" t="str" cm="1">
        <f t="array" ref="F39">IFERROR(INDEX(Overall!G$35:G$71,_xlfn.AGGREGATE(15,3,((Overall!$A$35:$A$71=4)/(Overall!$A$35:$A$71=4)*ROW(Overall!$A$35:$A$71))-ROW(Overall!$A$34), ROWS(Overall!$L$35:Q45))),"")</f>
        <v/>
      </c>
      <c r="G39" s="117" t="str" cm="1">
        <f t="array" ref="G39">IFERROR(INDEX(Overall!H$35:H$71,_xlfn.AGGREGATE(15,3,((Overall!$A$35:$A$71=4)/(Overall!$A$35:$A$71=4)*ROW(Overall!$A$35:$A$71))-ROW(Overall!$A$34), ROWS(Overall!$L$35:R45))),"")</f>
        <v/>
      </c>
      <c r="H39" s="117" t="str" cm="1">
        <f t="array" ref="H39">IFERROR(INDEX(Overall!I$35:I$71,_xlfn.AGGREGATE(15,3,((Overall!$A$35:$A$71=4)/(Overall!$A$35:$A$71=4)*ROW(Overall!$A$35:$A$71))-ROW(Overall!$A$34), ROWS(Overall!$L$35:S45))),"")</f>
        <v/>
      </c>
      <c r="I39" s="73" t="str" cm="1">
        <f t="array" ref="I39">IFERROR(INDEX(Overall!J$35:J$71,_xlfn.AGGREGATE(15,3,((Overall!$A$35:$A$71=4)/(Overall!$A$35:$A$71=4)*ROW(Overall!$A$35:$A$71))-ROW(Overall!$A$34), ROWS(Overall!$L$35:T45))),"")</f>
        <v/>
      </c>
      <c r="J39" s="64" t="str" cm="1">
        <f t="array" ref="J39">IFERROR(INDEX(Overall!K$35:K$71,_xlfn.AGGREGATE(15,3,((Overall!$A$35:$A$71=4)/(Overall!$A$35:$A$71=4)*ROW(Overall!$A$35:$A$71))-ROW(Overall!$A$34), ROWS(Overall!$L$35:U45))),"")</f>
        <v/>
      </c>
    </row>
    <row r="40" spans="1:10" x14ac:dyDescent="0.25">
      <c r="A40" s="149" t="str" cm="1">
        <f t="array" ref="A40">IFERROR(INDEX(Overall!B$35:B$71,_xlfn.AGGREGATE(15,3,((Overall!$A$35:$A$71=4)/(Overall!$A$35:$A$71=4)*ROW(Overall!$A$35:$A$71))-ROW(Overall!$A$34), ROWS(Overall!$L$35:L46))),"")</f>
        <v/>
      </c>
      <c r="B40" s="71" t="str" cm="1">
        <f t="array" ref="B40">IFERROR(INDEX(Overall!C$35:C$71,_xlfn.AGGREGATE(15,3,((Overall!$A$35:$A$71=4)/(Overall!$A$35:$A$71=4)*ROW(Overall!$A$35:$A$71))-ROW(Overall!$A$34), ROWS(Overall!$L$35:M46))),"")</f>
        <v/>
      </c>
      <c r="C40" s="98" t="str" cm="1">
        <f t="array" ref="C40">IFERROR(INDEX(Overall!D$35:D$71,_xlfn.AGGREGATE(15,3,((Overall!$A$35:$A$71=4)/(Overall!$A$35:$A$71=4)*ROW(Overall!$A$35:$A$71))-ROW(Overall!$A$34), ROWS(Overall!$L$35:N46))),"")</f>
        <v/>
      </c>
      <c r="D40" s="73" t="str" cm="1">
        <f t="array" ref="D40">IFERROR(INDEX(Overall!E$35:E$71,_xlfn.AGGREGATE(15,3,((Overall!$A$35:$A$71=4)/(Overall!$A$35:$A$71=4)*ROW(Overall!$A$35:$A$71))-ROW(Overall!$A$34), ROWS(Overall!$L$35:O46))),"")</f>
        <v/>
      </c>
      <c r="E40" s="154" t="str" cm="1">
        <f t="array" ref="E40">IFERROR(INDEX(Overall!F$35:F$71,_xlfn.AGGREGATE(15,3,((Overall!$A$35:$A$71=4)/(Overall!$A$35:$A$71=4)*ROW(Overall!$A$35:$A$71))-ROW(Overall!$A$34), ROWS(Overall!$L$35:P46))),"")</f>
        <v/>
      </c>
      <c r="F40" s="155" t="str" cm="1">
        <f t="array" ref="F40">IFERROR(INDEX(Overall!G$35:G$71,_xlfn.AGGREGATE(15,3,((Overall!$A$35:$A$71=4)/(Overall!$A$35:$A$71=4)*ROW(Overall!$A$35:$A$71))-ROW(Overall!$A$34), ROWS(Overall!$L$35:Q46))),"")</f>
        <v/>
      </c>
      <c r="G40" s="117" t="str" cm="1">
        <f t="array" ref="G40">IFERROR(INDEX(Overall!H$35:H$71,_xlfn.AGGREGATE(15,3,((Overall!$A$35:$A$71=4)/(Overall!$A$35:$A$71=4)*ROW(Overall!$A$35:$A$71))-ROW(Overall!$A$34), ROWS(Overall!$L$35:R46))),"")</f>
        <v/>
      </c>
      <c r="H40" s="117" t="str" cm="1">
        <f t="array" ref="H40">IFERROR(INDEX(Overall!I$35:I$71,_xlfn.AGGREGATE(15,3,((Overall!$A$35:$A$71=4)/(Overall!$A$35:$A$71=4)*ROW(Overall!$A$35:$A$71))-ROW(Overall!$A$34), ROWS(Overall!$L$35:S46))),"")</f>
        <v/>
      </c>
      <c r="I40" s="73" t="str" cm="1">
        <f t="array" ref="I40">IFERROR(INDEX(Overall!J$35:J$71,_xlfn.AGGREGATE(15,3,((Overall!$A$35:$A$71=4)/(Overall!$A$35:$A$71=4)*ROW(Overall!$A$35:$A$71))-ROW(Overall!$A$34), ROWS(Overall!$L$35:T46))),"")</f>
        <v/>
      </c>
      <c r="J40" s="64" t="str" cm="1">
        <f t="array" ref="J40">IFERROR(INDEX(Overall!K$35:K$71,_xlfn.AGGREGATE(15,3,((Overall!$A$35:$A$71=4)/(Overall!$A$35:$A$71=4)*ROW(Overall!$A$35:$A$71))-ROW(Overall!$A$34), ROWS(Overall!$L$35:U46))),"")</f>
        <v/>
      </c>
    </row>
    <row r="41" spans="1:10" x14ac:dyDescent="0.25">
      <c r="A41" s="149" t="str" cm="1">
        <f t="array" ref="A41">IFERROR(INDEX(Overall!B$35:B$71,_xlfn.AGGREGATE(15,3,((Overall!$A$35:$A$71=4)/(Overall!$A$35:$A$71=4)*ROW(Overall!$A$35:$A$71))-ROW(Overall!$A$34), ROWS(Overall!$L$35:L47))),"")</f>
        <v/>
      </c>
      <c r="B41" s="71" t="str" cm="1">
        <f t="array" ref="B41">IFERROR(INDEX(Overall!C$35:C$71,_xlfn.AGGREGATE(15,3,((Overall!$A$35:$A$71=4)/(Overall!$A$35:$A$71=4)*ROW(Overall!$A$35:$A$71))-ROW(Overall!$A$34), ROWS(Overall!$L$35:M47))),"")</f>
        <v/>
      </c>
      <c r="C41" s="98" t="str" cm="1">
        <f t="array" ref="C41">IFERROR(INDEX(Overall!D$35:D$71,_xlfn.AGGREGATE(15,3,((Overall!$A$35:$A$71=4)/(Overall!$A$35:$A$71=4)*ROW(Overall!$A$35:$A$71))-ROW(Overall!$A$34), ROWS(Overall!$L$35:N47))),"")</f>
        <v/>
      </c>
      <c r="D41" s="73" t="str" cm="1">
        <f t="array" ref="D41">IFERROR(INDEX(Overall!E$35:E$71,_xlfn.AGGREGATE(15,3,((Overall!$A$35:$A$71=4)/(Overall!$A$35:$A$71=4)*ROW(Overall!$A$35:$A$71))-ROW(Overall!$A$34), ROWS(Overall!$L$35:O47))),"")</f>
        <v/>
      </c>
      <c r="E41" s="154" t="str" cm="1">
        <f t="array" ref="E41">IFERROR(INDEX(Overall!F$35:F$71,_xlfn.AGGREGATE(15,3,((Overall!$A$35:$A$71=4)/(Overall!$A$35:$A$71=4)*ROW(Overall!$A$35:$A$71))-ROW(Overall!$A$34), ROWS(Overall!$L$35:P47))),"")</f>
        <v/>
      </c>
      <c r="F41" s="155" t="str" cm="1">
        <f t="array" ref="F41">IFERROR(INDEX(Overall!G$35:G$71,_xlfn.AGGREGATE(15,3,((Overall!$A$35:$A$71=4)/(Overall!$A$35:$A$71=4)*ROW(Overall!$A$35:$A$71))-ROW(Overall!$A$34), ROWS(Overall!$L$35:Q47))),"")</f>
        <v/>
      </c>
      <c r="G41" s="117" t="str" cm="1">
        <f t="array" ref="G41">IFERROR(INDEX(Overall!H$35:H$71,_xlfn.AGGREGATE(15,3,((Overall!$A$35:$A$71=4)/(Overall!$A$35:$A$71=4)*ROW(Overall!$A$35:$A$71))-ROW(Overall!$A$34), ROWS(Overall!$L$35:R47))),"")</f>
        <v/>
      </c>
      <c r="H41" s="117" t="str" cm="1">
        <f t="array" ref="H41">IFERROR(INDEX(Overall!I$35:I$71,_xlfn.AGGREGATE(15,3,((Overall!$A$35:$A$71=4)/(Overall!$A$35:$A$71=4)*ROW(Overall!$A$35:$A$71))-ROW(Overall!$A$34), ROWS(Overall!$L$35:S47))),"")</f>
        <v/>
      </c>
      <c r="I41" s="73" t="str" cm="1">
        <f t="array" ref="I41">IFERROR(INDEX(Overall!J$35:J$71,_xlfn.AGGREGATE(15,3,((Overall!$A$35:$A$71=4)/(Overall!$A$35:$A$71=4)*ROW(Overall!$A$35:$A$71))-ROW(Overall!$A$34), ROWS(Overall!$L$35:T47))),"")</f>
        <v/>
      </c>
      <c r="J41" s="64" t="str" cm="1">
        <f t="array" ref="J41">IFERROR(INDEX(Overall!K$35:K$71,_xlfn.AGGREGATE(15,3,((Overall!$A$35:$A$71=4)/(Overall!$A$35:$A$71=4)*ROW(Overall!$A$35:$A$71))-ROW(Overall!$A$34), ROWS(Overall!$L$35:U47))),"")</f>
        <v/>
      </c>
    </row>
    <row r="42" spans="1:10" x14ac:dyDescent="0.25">
      <c r="A42" s="149" t="str" cm="1">
        <f t="array" ref="A42">IFERROR(INDEX(Overall!B$35:B$71,_xlfn.AGGREGATE(15,3,((Overall!$A$35:$A$71=4)/(Overall!$A$35:$A$71=4)*ROW(Overall!$A$35:$A$71))-ROW(Overall!$A$34), ROWS(Overall!$L$35:L48))),"")</f>
        <v/>
      </c>
      <c r="B42" s="71" t="str" cm="1">
        <f t="array" ref="B42">IFERROR(INDEX(Overall!C$35:C$71,_xlfn.AGGREGATE(15,3,((Overall!$A$35:$A$71=4)/(Overall!$A$35:$A$71=4)*ROW(Overall!$A$35:$A$71))-ROW(Overall!$A$34), ROWS(Overall!$L$35:M48))),"")</f>
        <v/>
      </c>
      <c r="C42" s="98" t="str" cm="1">
        <f t="array" ref="C42">IFERROR(INDEX(Overall!D$35:D$71,_xlfn.AGGREGATE(15,3,((Overall!$A$35:$A$71=4)/(Overall!$A$35:$A$71=4)*ROW(Overall!$A$35:$A$71))-ROW(Overall!$A$34), ROWS(Overall!$L$35:N48))),"")</f>
        <v/>
      </c>
      <c r="D42" s="73" t="str" cm="1">
        <f t="array" ref="D42">IFERROR(INDEX(Overall!E$35:E$71,_xlfn.AGGREGATE(15,3,((Overall!$A$35:$A$71=4)/(Overall!$A$35:$A$71=4)*ROW(Overall!$A$35:$A$71))-ROW(Overall!$A$34), ROWS(Overall!$L$35:O48))),"")</f>
        <v/>
      </c>
      <c r="E42" s="154" t="str" cm="1">
        <f t="array" ref="E42">IFERROR(INDEX(Overall!F$35:F$71,_xlfn.AGGREGATE(15,3,((Overall!$A$35:$A$71=4)/(Overall!$A$35:$A$71=4)*ROW(Overall!$A$35:$A$71))-ROW(Overall!$A$34), ROWS(Overall!$L$35:P48))),"")</f>
        <v/>
      </c>
      <c r="F42" s="155" t="str" cm="1">
        <f t="array" ref="F42">IFERROR(INDEX(Overall!G$35:G$71,_xlfn.AGGREGATE(15,3,((Overall!$A$35:$A$71=4)/(Overall!$A$35:$A$71=4)*ROW(Overall!$A$35:$A$71))-ROW(Overall!$A$34), ROWS(Overall!$L$35:Q48))),"")</f>
        <v/>
      </c>
      <c r="G42" s="117" t="str" cm="1">
        <f t="array" ref="G42">IFERROR(INDEX(Overall!H$35:H$71,_xlfn.AGGREGATE(15,3,((Overall!$A$35:$A$71=4)/(Overall!$A$35:$A$71=4)*ROW(Overall!$A$35:$A$71))-ROW(Overall!$A$34), ROWS(Overall!$L$35:R48))),"")</f>
        <v/>
      </c>
      <c r="H42" s="117" t="str" cm="1">
        <f t="array" ref="H42">IFERROR(INDEX(Overall!I$35:I$71,_xlfn.AGGREGATE(15,3,((Overall!$A$35:$A$71=4)/(Overall!$A$35:$A$71=4)*ROW(Overall!$A$35:$A$71))-ROW(Overall!$A$34), ROWS(Overall!$L$35:S48))),"")</f>
        <v/>
      </c>
      <c r="I42" s="73" t="str" cm="1">
        <f t="array" ref="I42">IFERROR(INDEX(Overall!J$35:J$71,_xlfn.AGGREGATE(15,3,((Overall!$A$35:$A$71=4)/(Overall!$A$35:$A$71=4)*ROW(Overall!$A$35:$A$71))-ROW(Overall!$A$34), ROWS(Overall!$L$35:T48))),"")</f>
        <v/>
      </c>
      <c r="J42" s="64" t="str" cm="1">
        <f t="array" ref="J42">IFERROR(INDEX(Overall!K$35:K$71,_xlfn.AGGREGATE(15,3,((Overall!$A$35:$A$71=4)/(Overall!$A$35:$A$71=4)*ROW(Overall!$A$35:$A$71))-ROW(Overall!$A$34), ROWS(Overall!$L$35:U48))),"")</f>
        <v/>
      </c>
    </row>
    <row r="43" spans="1:10" x14ac:dyDescent="0.25">
      <c r="A43" s="149" t="str" cm="1">
        <f t="array" ref="A43">IFERROR(INDEX(Overall!B$35:B$71,_xlfn.AGGREGATE(15,3,((Overall!$A$35:$A$71=4)/(Overall!$A$35:$A$71=4)*ROW(Overall!$A$35:$A$71))-ROW(Overall!$A$34), ROWS(Overall!$L$35:L49))),"")</f>
        <v/>
      </c>
      <c r="B43" s="71" t="str" cm="1">
        <f t="array" ref="B43">IFERROR(INDEX(Overall!C$35:C$71,_xlfn.AGGREGATE(15,3,((Overall!$A$35:$A$71=4)/(Overall!$A$35:$A$71=4)*ROW(Overall!$A$35:$A$71))-ROW(Overall!$A$34), ROWS(Overall!$L$35:M49))),"")</f>
        <v/>
      </c>
      <c r="C43" s="98" t="str" cm="1">
        <f t="array" ref="C43">IFERROR(INDEX(Overall!D$35:D$71,_xlfn.AGGREGATE(15,3,((Overall!$A$35:$A$71=4)/(Overall!$A$35:$A$71=4)*ROW(Overall!$A$35:$A$71))-ROW(Overall!$A$34), ROWS(Overall!$L$35:N49))),"")</f>
        <v/>
      </c>
      <c r="D43" s="73" t="str" cm="1">
        <f t="array" ref="D43">IFERROR(INDEX(Overall!E$35:E$71,_xlfn.AGGREGATE(15,3,((Overall!$A$35:$A$71=4)/(Overall!$A$35:$A$71=4)*ROW(Overall!$A$35:$A$71))-ROW(Overall!$A$34), ROWS(Overall!$L$35:O49))),"")</f>
        <v/>
      </c>
      <c r="E43" s="154" t="str" cm="1">
        <f t="array" ref="E43">IFERROR(INDEX(Overall!F$35:F$71,_xlfn.AGGREGATE(15,3,((Overall!$A$35:$A$71=4)/(Overall!$A$35:$A$71=4)*ROW(Overall!$A$35:$A$71))-ROW(Overall!$A$34), ROWS(Overall!$L$35:P49))),"")</f>
        <v/>
      </c>
      <c r="F43" s="155" t="str" cm="1">
        <f t="array" ref="F43">IFERROR(INDEX(Overall!G$35:G$71,_xlfn.AGGREGATE(15,3,((Overall!$A$35:$A$71=4)/(Overall!$A$35:$A$71=4)*ROW(Overall!$A$35:$A$71))-ROW(Overall!$A$34), ROWS(Overall!$L$35:Q49))),"")</f>
        <v/>
      </c>
      <c r="G43" s="117" t="str" cm="1">
        <f t="array" ref="G43">IFERROR(INDEX(Overall!H$35:H$71,_xlfn.AGGREGATE(15,3,((Overall!$A$35:$A$71=4)/(Overall!$A$35:$A$71=4)*ROW(Overall!$A$35:$A$71))-ROW(Overall!$A$34), ROWS(Overall!$L$35:R49))),"")</f>
        <v/>
      </c>
      <c r="H43" s="117" t="str" cm="1">
        <f t="array" ref="H43">IFERROR(INDEX(Overall!I$35:I$71,_xlfn.AGGREGATE(15,3,((Overall!$A$35:$A$71=4)/(Overall!$A$35:$A$71=4)*ROW(Overall!$A$35:$A$71))-ROW(Overall!$A$34), ROWS(Overall!$L$35:S49))),"")</f>
        <v/>
      </c>
      <c r="I43" s="73" t="str" cm="1">
        <f t="array" ref="I43">IFERROR(INDEX(Overall!J$35:J$71,_xlfn.AGGREGATE(15,3,((Overall!$A$35:$A$71=4)/(Overall!$A$35:$A$71=4)*ROW(Overall!$A$35:$A$71))-ROW(Overall!$A$34), ROWS(Overall!$L$35:T49))),"")</f>
        <v/>
      </c>
      <c r="J43" s="64" t="str" cm="1">
        <f t="array" ref="J43">IFERROR(INDEX(Overall!K$35:K$71,_xlfn.AGGREGATE(15,3,((Overall!$A$35:$A$71=4)/(Overall!$A$35:$A$71=4)*ROW(Overall!$A$35:$A$71))-ROW(Overall!$A$34), ROWS(Overall!$L$35:U49))),"")</f>
        <v/>
      </c>
    </row>
    <row r="44" spans="1:10" x14ac:dyDescent="0.25">
      <c r="A44" s="99" t="str" cm="1">
        <f t="array" ref="A44">IFERROR(INDEX(Overall!B$35:B$71,_xlfn.AGGREGATE(15,3,((Overall!$A$35:$A$71=4)/(Overall!$A$35:$A$71=4)*ROW(Overall!$A$35:$A$71))-ROW(Overall!$A$34), ROWS(Overall!$L$35:L50))),"")</f>
        <v/>
      </c>
      <c r="B44" s="72" t="str" cm="1">
        <f t="array" ref="B44">IFERROR(INDEX(Overall!C$35:C$71,_xlfn.AGGREGATE(15,3,((Overall!$A$35:$A$71=4)/(Overall!$A$35:$A$71=4)*ROW(Overall!$A$35:$A$71))-ROW(Overall!$A$34), ROWS(Overall!$L$35:M50))),"")</f>
        <v/>
      </c>
      <c r="C44" s="99" t="str" cm="1">
        <f t="array" ref="C44">IFERROR(INDEX(Overall!D$35:D$71,_xlfn.AGGREGATE(15,3,((Overall!$A$35:$A$71=4)/(Overall!$A$35:$A$71=4)*ROW(Overall!$A$35:$A$71))-ROW(Overall!$A$34), ROWS(Overall!$L$35:N50))),"")</f>
        <v/>
      </c>
      <c r="D44" s="74" t="str" cm="1">
        <f t="array" ref="D44">IFERROR(INDEX(Overall!E$35:E$71,_xlfn.AGGREGATE(15,3,((Overall!$A$35:$A$71=4)/(Overall!$A$35:$A$71=4)*ROW(Overall!$A$35:$A$71))-ROW(Overall!$A$34), ROWS(Overall!$L$35:O50))),"")</f>
        <v/>
      </c>
      <c r="E44" s="156" t="str" cm="1">
        <f t="array" ref="E44">IFERROR(INDEX(Overall!F$35:F$71,_xlfn.AGGREGATE(15,3,((Overall!$A$35:$A$71=4)/(Overall!$A$35:$A$71=4)*ROW(Overall!$A$35:$A$71))-ROW(Overall!$A$34), ROWS(Overall!$L$35:P50))),"")</f>
        <v/>
      </c>
      <c r="F44" s="157" t="str" cm="1">
        <f t="array" ref="F44">IFERROR(INDEX(Overall!G$35:G$71,_xlfn.AGGREGATE(15,3,((Overall!$A$35:$A$71=4)/(Overall!$A$35:$A$71=4)*ROW(Overall!$A$35:$A$71))-ROW(Overall!$A$34), ROWS(Overall!$L$35:Q50))),"")</f>
        <v/>
      </c>
      <c r="G44" s="118" t="str" cm="1">
        <f t="array" ref="G44">IFERROR(INDEX(Overall!H$35:H$71,_xlfn.AGGREGATE(15,3,((Overall!$A$35:$A$71=4)/(Overall!$A$35:$A$71=4)*ROW(Overall!$A$35:$A$71))-ROW(Overall!$A$34), ROWS(Overall!$L$35:R50))),"")</f>
        <v/>
      </c>
      <c r="H44" s="118" t="str" cm="1">
        <f t="array" ref="H44">IFERROR(INDEX(Overall!I$35:I$71,_xlfn.AGGREGATE(15,3,((Overall!$A$35:$A$71=4)/(Overall!$A$35:$A$71=4)*ROW(Overall!$A$35:$A$71))-ROW(Overall!$A$34), ROWS(Overall!$L$35:S50))),"")</f>
        <v/>
      </c>
      <c r="I44" s="76" t="str" cm="1">
        <f t="array" ref="I44">IFERROR(INDEX(Overall!J$35:J$71,_xlfn.AGGREGATE(15,3,((Overall!$A$35:$A$71=4)/(Overall!$A$35:$A$71=4)*ROW(Overall!$A$35:$A$71))-ROW(Overall!$A$34), ROWS(Overall!$L$35:T50))),"")</f>
        <v/>
      </c>
      <c r="J44" s="65" t="str" cm="1">
        <f t="array" ref="J44">IFERROR(INDEX(Overall!K$35:K$71,_xlfn.AGGREGATE(15,3,((Overall!$A$35:$A$71=4)/(Overall!$A$35:$A$71=4)*ROW(Overall!$A$35:$A$71))-ROW(Overall!$A$34), ROWS(Overall!$L$35:U50))),"")</f>
        <v/>
      </c>
    </row>
    <row r="46" spans="1:10" x14ac:dyDescent="0.25">
      <c r="A46" s="181" t="s">
        <v>11</v>
      </c>
      <c r="B46" s="181"/>
      <c r="C46" s="181"/>
      <c r="D46" s="181"/>
      <c r="E46" s="181"/>
      <c r="F46" s="181"/>
      <c r="G46" s="181"/>
      <c r="H46" s="181"/>
      <c r="I46" s="183" t="s">
        <v>12</v>
      </c>
      <c r="J46" s="185"/>
    </row>
    <row r="47" spans="1:10" x14ac:dyDescent="0.25">
      <c r="A47" s="123" t="s">
        <v>159</v>
      </c>
      <c r="B47" s="124" t="s">
        <v>46</v>
      </c>
      <c r="C47" s="200" t="s">
        <v>45</v>
      </c>
      <c r="D47" s="201"/>
      <c r="E47" s="192" t="s">
        <v>160</v>
      </c>
      <c r="F47" s="193"/>
      <c r="G47" s="193"/>
      <c r="H47" s="193"/>
      <c r="I47" s="61"/>
      <c r="J47" s="63"/>
    </row>
    <row r="48" spans="1:10" x14ac:dyDescent="0.25">
      <c r="A48" s="78"/>
      <c r="B48" s="83"/>
      <c r="C48" s="202"/>
      <c r="D48" s="203"/>
      <c r="E48" s="112"/>
      <c r="F48" s="112"/>
      <c r="G48" s="112"/>
      <c r="H48" s="113"/>
      <c r="I48" s="61"/>
      <c r="J48" s="63"/>
    </row>
    <row r="49" spans="1:10" x14ac:dyDescent="0.25">
      <c r="A49" s="78"/>
      <c r="B49" s="83"/>
      <c r="C49" s="204"/>
      <c r="D49" s="205"/>
      <c r="E49" s="112"/>
      <c r="F49" s="112"/>
      <c r="G49" s="112"/>
      <c r="H49" s="113"/>
      <c r="I49" s="61"/>
      <c r="J49" s="63"/>
    </row>
    <row r="50" spans="1:10" x14ac:dyDescent="0.25">
      <c r="A50" s="78"/>
      <c r="B50" s="83"/>
      <c r="C50" s="204"/>
      <c r="D50" s="205"/>
      <c r="F50" s="112"/>
      <c r="G50" s="112"/>
      <c r="H50" s="126"/>
      <c r="I50" s="61"/>
      <c r="J50" s="63"/>
    </row>
    <row r="51" spans="1:10" x14ac:dyDescent="0.25">
      <c r="A51" s="78"/>
      <c r="B51" s="83"/>
      <c r="C51" s="194"/>
      <c r="D51" s="195"/>
      <c r="F51" s="188"/>
      <c r="G51" s="188"/>
      <c r="H51"/>
      <c r="I51" s="61"/>
      <c r="J51" s="63"/>
    </row>
    <row r="52" spans="1:10" x14ac:dyDescent="0.25">
      <c r="A52" s="78"/>
      <c r="B52" s="83"/>
      <c r="C52" s="194"/>
      <c r="D52" s="195"/>
      <c r="F52" s="188"/>
      <c r="G52" s="188"/>
      <c r="H52"/>
      <c r="I52" s="61"/>
      <c r="J52" s="63"/>
    </row>
    <row r="53" spans="1:10" x14ac:dyDescent="0.25">
      <c r="A53" s="78"/>
      <c r="B53" s="83"/>
      <c r="C53" s="194"/>
      <c r="D53" s="195"/>
      <c r="F53" s="188"/>
      <c r="G53" s="188"/>
      <c r="H53"/>
      <c r="I53" s="61"/>
      <c r="J53" s="63"/>
    </row>
    <row r="54" spans="1:10" x14ac:dyDescent="0.25">
      <c r="A54" s="78"/>
      <c r="B54" s="83"/>
      <c r="C54" s="194"/>
      <c r="D54" s="195"/>
      <c r="F54" s="188"/>
      <c r="G54" s="188"/>
      <c r="H54"/>
      <c r="I54" s="61"/>
      <c r="J54" s="63"/>
    </row>
    <row r="55" spans="1:10" x14ac:dyDescent="0.25">
      <c r="A55" s="78"/>
      <c r="B55" s="83"/>
      <c r="C55" s="194"/>
      <c r="D55" s="195"/>
      <c r="F55" s="188"/>
      <c r="G55" s="188"/>
      <c r="H55"/>
      <c r="I55" s="61"/>
      <c r="J55" s="63"/>
    </row>
    <row r="56" spans="1:10" x14ac:dyDescent="0.25">
      <c r="A56" s="78"/>
      <c r="B56" s="83"/>
      <c r="C56" s="194"/>
      <c r="D56" s="195"/>
      <c r="F56" s="188"/>
      <c r="G56" s="188"/>
      <c r="H56"/>
      <c r="I56" s="61"/>
      <c r="J56" s="63"/>
    </row>
    <row r="57" spans="1:10" x14ac:dyDescent="0.25">
      <c r="A57" s="78"/>
      <c r="B57" s="83"/>
      <c r="C57" s="194"/>
      <c r="D57" s="195"/>
      <c r="F57" s="188"/>
      <c r="G57" s="188"/>
      <c r="H57"/>
      <c r="I57" s="61"/>
      <c r="J57" s="63"/>
    </row>
    <row r="58" spans="1:10" x14ac:dyDescent="0.25">
      <c r="A58" s="78"/>
      <c r="B58" s="83"/>
      <c r="C58" s="194"/>
      <c r="D58" s="195"/>
      <c r="F58" s="188"/>
      <c r="G58" s="188"/>
      <c r="H58"/>
      <c r="I58" s="61"/>
      <c r="J58" s="63"/>
    </row>
    <row r="59" spans="1:10" x14ac:dyDescent="0.25">
      <c r="A59" s="78"/>
      <c r="B59" s="83"/>
      <c r="C59" s="196"/>
      <c r="D59" s="197"/>
      <c r="F59" s="208"/>
      <c r="G59" s="208"/>
      <c r="H59"/>
      <c r="I59" s="61"/>
      <c r="J59" s="63"/>
    </row>
    <row r="60" spans="1:10" x14ac:dyDescent="0.25">
      <c r="A60" s="78"/>
      <c r="B60" s="83"/>
      <c r="C60" s="196"/>
      <c r="D60" s="197"/>
      <c r="F60" s="208"/>
      <c r="G60" s="208"/>
      <c r="H60"/>
      <c r="I60" s="61"/>
      <c r="J60" s="63"/>
    </row>
    <row r="61" spans="1:10" x14ac:dyDescent="0.25">
      <c r="A61" s="79"/>
      <c r="B61" s="84"/>
      <c r="C61" s="198"/>
      <c r="D61" s="199"/>
      <c r="E61" s="120"/>
      <c r="F61" s="207"/>
      <c r="G61" s="207"/>
      <c r="H61" s="125"/>
      <c r="I61" s="62"/>
      <c r="J61" s="66"/>
    </row>
  </sheetData>
  <mergeCells count="47">
    <mergeCell ref="E47:H47"/>
    <mergeCell ref="F59:G59"/>
    <mergeCell ref="C53:D53"/>
    <mergeCell ref="C54:D54"/>
    <mergeCell ref="C55:D55"/>
    <mergeCell ref="C56:D56"/>
    <mergeCell ref="C47:D47"/>
    <mergeCell ref="C48:D48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F58:G58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A46:H46"/>
    <mergeCell ref="C60:D60"/>
    <mergeCell ref="C61:D61"/>
    <mergeCell ref="C57:D57"/>
    <mergeCell ref="C58:D58"/>
    <mergeCell ref="C59:D59"/>
  </mergeCells>
  <conditionalFormatting sqref="A29:J43">
    <cfRule type="cellIs" dxfId="7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E98D-A1EF-4FCA-BAC2-F133E4DB0A60}">
  <sheetPr codeName="Sheet7">
    <pageSetUpPr autoPageBreaks="0"/>
  </sheetPr>
  <dimension ref="A1:J61"/>
  <sheetViews>
    <sheetView showGridLines="0" zoomScale="110" zoomScaleNormal="110" workbookViewId="0">
      <selection activeCell="L14" sqref="L14"/>
    </sheetView>
  </sheetViews>
  <sheetFormatPr defaultColWidth="8.85546875" defaultRowHeight="15" x14ac:dyDescent="0.25"/>
  <cols>
    <col min="1" max="1" width="12.85546875" style="58" customWidth="1"/>
    <col min="2" max="4" width="11.140625" style="58" customWidth="1"/>
    <col min="5" max="5" width="2.28515625" style="58" customWidth="1"/>
    <col min="6" max="8" width="11.140625" style="58" customWidth="1"/>
    <col min="9" max="9" width="11" style="58" customWidth="1"/>
    <col min="10" max="10" width="25.7109375" style="58" customWidth="1"/>
    <col min="11" max="11" width="6.28515625" style="58" customWidth="1"/>
    <col min="12" max="16384" width="8.85546875" style="58"/>
  </cols>
  <sheetData>
    <row r="1" spans="1:10" x14ac:dyDescent="0.25">
      <c r="A1" s="160" t="s">
        <v>0</v>
      </c>
      <c r="B1" s="181" t="str">
        <f>Overall!C1</f>
        <v>3/19/23-3/25/23</v>
      </c>
      <c r="C1" s="181"/>
    </row>
    <row r="2" spans="1:10" x14ac:dyDescent="0.25">
      <c r="A2" s="160" t="s">
        <v>177</v>
      </c>
      <c r="B2" s="182">
        <f ca="1">TODAY()</f>
        <v>45015</v>
      </c>
      <c r="C2" s="182"/>
      <c r="F2" s="183" t="s">
        <v>182</v>
      </c>
      <c r="G2" s="184"/>
      <c r="H2" s="184"/>
      <c r="I2" s="185"/>
    </row>
    <row r="3" spans="1:10" x14ac:dyDescent="0.25">
      <c r="A3" s="160" t="s">
        <v>1</v>
      </c>
      <c r="B3" s="206" t="s">
        <v>22</v>
      </c>
      <c r="C3" s="206"/>
      <c r="F3" s="85">
        <f>IFERROR(VLOOKUP($B$3,Totals!$B$3:$C$11,2,0),0)</f>
        <v>2620</v>
      </c>
      <c r="G3" s="188" t="s">
        <v>4</v>
      </c>
      <c r="H3" s="188"/>
      <c r="I3" s="189"/>
    </row>
    <row r="4" spans="1:10" x14ac:dyDescent="0.25">
      <c r="F4" s="85">
        <f>VLOOKUP($B$3,Totals!$E$3:$F$12,2,0)</f>
        <v>3600</v>
      </c>
      <c r="G4" s="188" t="s">
        <v>5</v>
      </c>
      <c r="H4" s="188"/>
      <c r="I4" s="189"/>
    </row>
    <row r="5" spans="1:10" x14ac:dyDescent="0.25">
      <c r="A5" s="180" t="s">
        <v>13</v>
      </c>
      <c r="B5" s="89" t="s">
        <v>14</v>
      </c>
      <c r="C5" s="90" t="s">
        <v>15</v>
      </c>
      <c r="D5" s="102" t="s">
        <v>16</v>
      </c>
      <c r="F5" s="86">
        <f>IFERROR(VLOOKUP($B$3,Totals!$B$3:$F$11,3,0),0)</f>
        <v>6485</v>
      </c>
      <c r="G5" s="190" t="s">
        <v>181</v>
      </c>
      <c r="H5" s="190"/>
      <c r="I5" s="191"/>
    </row>
    <row r="6" spans="1:10" x14ac:dyDescent="0.25">
      <c r="A6" s="180"/>
      <c r="B6" s="87">
        <f>VLOOKUP($B$3,Totals!$V$48:$Y$57,2,0)</f>
        <v>1</v>
      </c>
      <c r="C6" s="82">
        <f>VLOOKUP($B$3,Totals!$V$48:$Y$57,3,0)</f>
        <v>1</v>
      </c>
      <c r="D6" s="105">
        <f>VLOOKUP($B$3,Totals!$V$48:$Y$57,4,0)</f>
        <v>1</v>
      </c>
    </row>
    <row r="7" spans="1:10" x14ac:dyDescent="0.25">
      <c r="G7" s="109" t="s">
        <v>6</v>
      </c>
      <c r="H7" s="110">
        <f>F3/F4</f>
        <v>0.72777777777777775</v>
      </c>
    </row>
    <row r="8" spans="1:10" x14ac:dyDescent="0.25">
      <c r="A8" s="180" t="s">
        <v>2</v>
      </c>
      <c r="B8" s="89" t="s">
        <v>180</v>
      </c>
      <c r="C8" s="101" t="s">
        <v>152</v>
      </c>
      <c r="D8" s="96" t="s">
        <v>28</v>
      </c>
      <c r="G8" s="68" t="s">
        <v>7</v>
      </c>
      <c r="H8" s="67">
        <v>1</v>
      </c>
    </row>
    <row r="9" spans="1:10" x14ac:dyDescent="0.25">
      <c r="A9" s="180"/>
      <c r="B9" s="92">
        <f>IFERROR(VLOOKUP($B$3,Totals!$L$3:$N$11,2,0),0)</f>
        <v>0</v>
      </c>
      <c r="C9" s="93">
        <f>IFERROR(VLOOKUP($B$3,Totals!$L$3:$N$11,3,0),0)</f>
        <v>40.400925212027758</v>
      </c>
      <c r="D9" s="94">
        <f>IFERROR(VLOOKUP('5'!$B$3,Totals!$P$4:$Y$12,10,0),0)</f>
        <v>29.675942487442867</v>
      </c>
      <c r="G9" s="60"/>
      <c r="H9" s="60"/>
    </row>
    <row r="14" spans="1:10" x14ac:dyDescent="0.25">
      <c r="J14" s="60"/>
    </row>
    <row r="15" spans="1:10" x14ac:dyDescent="0.25">
      <c r="J15" s="60"/>
    </row>
    <row r="16" spans="1:10" x14ac:dyDescent="0.25">
      <c r="H16" s="60"/>
      <c r="I16" s="60"/>
      <c r="J16" s="60"/>
    </row>
    <row r="17" spans="1:10" x14ac:dyDescent="0.25">
      <c r="H17" s="60"/>
      <c r="I17" s="60"/>
      <c r="J17" s="60"/>
    </row>
    <row r="18" spans="1:10" x14ac:dyDescent="0.25">
      <c r="H18" s="60"/>
      <c r="I18" s="60"/>
      <c r="J18" s="60"/>
    </row>
    <row r="21" spans="1:10" x14ac:dyDescent="0.25">
      <c r="A21" s="183" t="s">
        <v>8</v>
      </c>
      <c r="B21" s="184"/>
      <c r="C21" s="184"/>
      <c r="D21" s="185"/>
      <c r="F21" s="183" t="s">
        <v>9</v>
      </c>
      <c r="G21" s="184"/>
      <c r="H21" s="184"/>
      <c r="I21" s="185"/>
    </row>
    <row r="22" spans="1:10" x14ac:dyDescent="0.25">
      <c r="A22" s="77">
        <v>1</v>
      </c>
      <c r="B22" s="80">
        <f>VLOOKUP($B$3&amp;A22,Totals!$G$49:$K$73,4,0)</f>
        <v>0</v>
      </c>
      <c r="C22" s="188" t="str">
        <f>VLOOKUP($B$3&amp;A22,Totals!$G$49:$K$73,5,0)</f>
        <v>DNR</v>
      </c>
      <c r="D22" s="189"/>
      <c r="F22" s="77">
        <v>1</v>
      </c>
      <c r="G22" s="80">
        <f>VLOOKUP($B$3&amp;F22,Totals!$M$49:$Q$73,4,0)</f>
        <v>175</v>
      </c>
      <c r="H22" s="188" t="str">
        <f>VLOOKUP($B$3&amp;F22,Totals!$M$49:$Q$73,5,0)</f>
        <v>Unloader</v>
      </c>
      <c r="I22" s="189"/>
    </row>
    <row r="23" spans="1:10" x14ac:dyDescent="0.25">
      <c r="A23" s="78">
        <v>2</v>
      </c>
      <c r="B23" s="81">
        <f>VLOOKUP($B$3&amp;A23,Totals!$G$49:$K$73,4,0)</f>
        <v>0</v>
      </c>
      <c r="C23" s="188" t="str">
        <f>VLOOKUP($B$3&amp;A23,Totals!$G$49:$K$73,5,0)</f>
        <v>DNR</v>
      </c>
      <c r="D23" s="189"/>
      <c r="F23" s="78">
        <v>2</v>
      </c>
      <c r="G23" s="81">
        <f>VLOOKUP($B$3&amp;F23,Totals!$M$49:$Q$73,4,0)</f>
        <v>68</v>
      </c>
      <c r="H23" s="188" t="str">
        <f>VLOOKUP($B$3&amp;F23,Totals!$M$49:$Q$73,5,0)</f>
        <v>Capper</v>
      </c>
      <c r="I23" s="189"/>
    </row>
    <row r="24" spans="1:10" x14ac:dyDescent="0.25">
      <c r="A24" s="79">
        <v>3</v>
      </c>
      <c r="B24" s="82">
        <f>VLOOKUP($B$3&amp;A24,Totals!$G$49:$K$73,4,0)</f>
        <v>0</v>
      </c>
      <c r="C24" s="190" t="str">
        <f>VLOOKUP($B$3&amp;A24,Totals!$G$49:$K$73,5,0)</f>
        <v>DNR</v>
      </c>
      <c r="D24" s="191"/>
      <c r="F24" s="79">
        <v>3</v>
      </c>
      <c r="G24" s="82">
        <f>VLOOKUP($B$3&amp;F24,Totals!$M$49:$Q$73,4,0)</f>
        <v>67</v>
      </c>
      <c r="H24" s="190" t="str">
        <f>VLOOKUP($B$3&amp;F24,Totals!$M$49:$Q$73,5,0)</f>
        <v>Labeler</v>
      </c>
      <c r="I24" s="191"/>
    </row>
    <row r="25" spans="1:10" x14ac:dyDescent="0.25">
      <c r="C25" s="21"/>
    </row>
    <row r="27" spans="1:10" x14ac:dyDescent="0.25">
      <c r="A27" s="181" t="s">
        <v>10</v>
      </c>
      <c r="B27" s="181"/>
      <c r="C27" s="181"/>
      <c r="D27" s="181"/>
      <c r="E27" s="181"/>
      <c r="F27" s="181"/>
      <c r="G27" s="181"/>
      <c r="H27" s="181"/>
      <c r="I27" s="181"/>
      <c r="J27" s="181"/>
    </row>
    <row r="28" spans="1:10" x14ac:dyDescent="0.25">
      <c r="A28" s="89" t="s">
        <v>46</v>
      </c>
      <c r="B28" s="90" t="s">
        <v>45</v>
      </c>
      <c r="C28" s="90" t="s">
        <v>155</v>
      </c>
      <c r="D28" s="90" t="s">
        <v>156</v>
      </c>
      <c r="E28" s="101"/>
      <c r="F28" s="97" t="s">
        <v>157</v>
      </c>
      <c r="G28" s="90" t="s">
        <v>183</v>
      </c>
      <c r="H28" s="90" t="s">
        <v>158</v>
      </c>
      <c r="I28" s="90" t="s">
        <v>178</v>
      </c>
      <c r="J28" s="102" t="s">
        <v>184</v>
      </c>
    </row>
    <row r="29" spans="1:10" x14ac:dyDescent="0.25">
      <c r="A29" s="149" t="str" cm="1">
        <f t="array" ref="A29">IFERROR(INDEX(Overall!B$35:B$71,_xlfn.AGGREGATE(15,3,((Overall!$A$35:$A$71=5)/(Overall!$A$35:$A$71=5)*ROW(Overall!$A$35:$A$71))-ROW(Overall!$A$34), ROWS(Overall!$L$35:L35))),"")</f>
        <v/>
      </c>
      <c r="B29" s="71" t="str" cm="1">
        <f t="array" ref="B29">IFERROR(INDEX(Overall!C$35:C$71,_xlfn.AGGREGATE(15,3,((Overall!$A$35:$A$71=5)/(Overall!$A$35:$A$71=5)*ROW(Overall!$A$35:$A$71))-ROW(Overall!$A$34), ROWS(Overall!$L$35:M35))),"")</f>
        <v/>
      </c>
      <c r="C29" s="98" t="str" cm="1">
        <f t="array" ref="C29">IFERROR(INDEX(Overall!D$35:D$71,_xlfn.AGGREGATE(15,3,((Overall!$A$35:$A$71=5)/(Overall!$A$35:$A$71=5)*ROW(Overall!$A$35:$A$71))-ROW(Overall!$A$34), ROWS(Overall!$L$35:N35))),"")</f>
        <v/>
      </c>
      <c r="D29" s="73" t="str" cm="1">
        <f t="array" ref="D29">IFERROR(INDEX(Overall!E$35:E$71,_xlfn.AGGREGATE(15,3,((Overall!$A$35:$A$71=5)/(Overall!$A$35:$A$71=5)*ROW(Overall!$A$35:$A$71))-ROW(Overall!$A$34), ROWS(Overall!$L$35:O35))),"")</f>
        <v/>
      </c>
      <c r="E29" s="154" t="str" cm="1">
        <f t="array" ref="E29">IFERROR(INDEX(Overall!F$35:F$71,_xlfn.AGGREGATE(15,3,((Overall!$A$35:$A$71=5)/(Overall!$A$35:$A$71=5)*ROW(Overall!$A$35:$A$71))-ROW(Overall!$A$34), ROWS(Overall!$L$35:P35))),"")</f>
        <v/>
      </c>
      <c r="F29" s="155" t="str" cm="1">
        <f t="array" ref="F29">IFERROR(INDEX(Overall!G$35:G$71,_xlfn.AGGREGATE(15,3,((Overall!$A$35:$A$71=5)/(Overall!$A$35:$A$71=5)*ROW(Overall!$A$35:$A$71))-ROW(Overall!$A$34), ROWS(Overall!$L$35:Q35))),"")</f>
        <v/>
      </c>
      <c r="G29" s="117" t="str" cm="1">
        <f t="array" ref="G29">IFERROR(INDEX(Overall!H$35:H$71,_xlfn.AGGREGATE(15,3,((Overall!$A$35:$A$71=5)/(Overall!$A$35:$A$71=5)*ROW(Overall!$A$35:$A$71))-ROW(Overall!$A$34), ROWS(Overall!$L$35:R35))),"")</f>
        <v/>
      </c>
      <c r="H29" s="117" t="str" cm="1">
        <f t="array" ref="H29">IFERROR(INDEX(Overall!I$35:I$71,_xlfn.AGGREGATE(15,3,((Overall!$A$35:$A$71=5)/(Overall!$A$35:$A$71=5)*ROW(Overall!$A$35:$A$71))-ROW(Overall!$A$34), ROWS(Overall!$L$35:S35))),"")</f>
        <v/>
      </c>
      <c r="I29" s="73" t="str" cm="1">
        <f t="array" ref="I29">IFERROR(INDEX(Overall!J$35:J$71,_xlfn.AGGREGATE(15,3,((Overall!$A$35:$A$71=5)/(Overall!$A$35:$A$71=5)*ROW(Overall!$A$35:$A$71))-ROW(Overall!$A$34), ROWS(Overall!$L$35:T35))),"")</f>
        <v/>
      </c>
      <c r="J29" s="64" t="str" cm="1">
        <f t="array" ref="J29">IFERROR(INDEX(Overall!K$35:K$71,_xlfn.AGGREGATE(15,3,((Overall!$A$35:$A$71=5)/(Overall!$A$35:$A$71=5)*ROW(Overall!$A$35:$A$71))-ROW(Overall!$A$34), ROWS(Overall!$L$35:U35))),"")</f>
        <v/>
      </c>
    </row>
    <row r="30" spans="1:10" x14ac:dyDescent="0.25">
      <c r="A30" s="149" t="str" cm="1">
        <f t="array" ref="A30">IFERROR(INDEX(Overall!B$35:B$71,_xlfn.AGGREGATE(15,3,((Overall!$A$35:$A$71=5)/(Overall!$A$35:$A$71=5)*ROW(Overall!$A$35:$A$71))-ROW(Overall!$A$34), ROWS(Overall!$L$35:L36))),"")</f>
        <v/>
      </c>
      <c r="B30" s="71" t="str" cm="1">
        <f t="array" ref="B30">IFERROR(INDEX(Overall!C$35:C$71,_xlfn.AGGREGATE(15,3,((Overall!$A$35:$A$71=5)/(Overall!$A$35:$A$71=5)*ROW(Overall!$A$35:$A$71))-ROW(Overall!$A$34), ROWS(Overall!$L$35:M36))),"")</f>
        <v/>
      </c>
      <c r="C30" s="98" t="str" cm="1">
        <f t="array" ref="C30">IFERROR(INDEX(Overall!D$35:D$71,_xlfn.AGGREGATE(15,3,((Overall!$A$35:$A$71=5)/(Overall!$A$35:$A$71=5)*ROW(Overall!$A$35:$A$71))-ROW(Overall!$A$34), ROWS(Overall!$L$35:N36))),"")</f>
        <v/>
      </c>
      <c r="D30" s="73" t="str" cm="1">
        <f t="array" ref="D30">IFERROR(INDEX(Overall!E$35:E$71,_xlfn.AGGREGATE(15,3,((Overall!$A$35:$A$71=5)/(Overall!$A$35:$A$71=5)*ROW(Overall!$A$35:$A$71))-ROW(Overall!$A$34), ROWS(Overall!$L$35:O36))),"")</f>
        <v/>
      </c>
      <c r="E30" s="154" t="str" cm="1">
        <f t="array" ref="E30">IFERROR(INDEX(Overall!F$35:F$71,_xlfn.AGGREGATE(15,3,((Overall!$A$35:$A$71=5)/(Overall!$A$35:$A$71=5)*ROW(Overall!$A$35:$A$71))-ROW(Overall!$A$34), ROWS(Overall!$L$35:P36))),"")</f>
        <v/>
      </c>
      <c r="F30" s="155" t="str" cm="1">
        <f t="array" ref="F30">IFERROR(INDEX(Overall!G$35:G$71,_xlfn.AGGREGATE(15,3,((Overall!$A$35:$A$71=5)/(Overall!$A$35:$A$71=5)*ROW(Overall!$A$35:$A$71))-ROW(Overall!$A$34), ROWS(Overall!$L$35:Q36))),"")</f>
        <v/>
      </c>
      <c r="G30" s="117" t="str" cm="1">
        <f t="array" ref="G30">IFERROR(INDEX(Overall!H$35:H$71,_xlfn.AGGREGATE(15,3,((Overall!$A$35:$A$71=5)/(Overall!$A$35:$A$71=5)*ROW(Overall!$A$35:$A$71))-ROW(Overall!$A$34), ROWS(Overall!$L$35:R36))),"")</f>
        <v/>
      </c>
      <c r="H30" s="117" t="str" cm="1">
        <f t="array" ref="H30">IFERROR(INDEX(Overall!I$35:I$71,_xlfn.AGGREGATE(15,3,((Overall!$A$35:$A$71=5)/(Overall!$A$35:$A$71=5)*ROW(Overall!$A$35:$A$71))-ROW(Overall!$A$34), ROWS(Overall!$L$35:S36))),"")</f>
        <v/>
      </c>
      <c r="I30" s="73" t="str" cm="1">
        <f t="array" ref="I30">IFERROR(INDEX(Overall!J$35:J$71,_xlfn.AGGREGATE(15,3,((Overall!$A$35:$A$71=5)/(Overall!$A$35:$A$71=5)*ROW(Overall!$A$35:$A$71))-ROW(Overall!$A$34), ROWS(Overall!$L$35:T36))),"")</f>
        <v/>
      </c>
      <c r="J30" s="64" t="str" cm="1">
        <f t="array" ref="J30">IFERROR(INDEX(Overall!K$35:K$71,_xlfn.AGGREGATE(15,3,((Overall!$A$35:$A$71=5)/(Overall!$A$35:$A$71=5)*ROW(Overall!$A$35:$A$71))-ROW(Overall!$A$34), ROWS(Overall!$L$35:U36))),"")</f>
        <v/>
      </c>
    </row>
    <row r="31" spans="1:10" x14ac:dyDescent="0.25">
      <c r="A31" s="149" t="str" cm="1">
        <f t="array" ref="A31">IFERROR(INDEX(Overall!B$35:B$71,_xlfn.AGGREGATE(15,3,((Overall!$A$35:$A$71=5)/(Overall!$A$35:$A$71=5)*ROW(Overall!$A$35:$A$71))-ROW(Overall!$A$34), ROWS(Overall!$L$35:L37))),"")</f>
        <v/>
      </c>
      <c r="B31" s="71" t="str" cm="1">
        <f t="array" ref="B31">IFERROR(INDEX(Overall!C$35:C$71,_xlfn.AGGREGATE(15,3,((Overall!$A$35:$A$71=5)/(Overall!$A$35:$A$71=5)*ROW(Overall!$A$35:$A$71))-ROW(Overall!$A$34), ROWS(Overall!$L$35:M37))),"")</f>
        <v/>
      </c>
      <c r="C31" s="98" t="str" cm="1">
        <f t="array" ref="C31">IFERROR(INDEX(Overall!D$35:D$71,_xlfn.AGGREGATE(15,3,((Overall!$A$35:$A$71=5)/(Overall!$A$35:$A$71=5)*ROW(Overall!$A$35:$A$71))-ROW(Overall!$A$34), ROWS(Overall!$L$35:N37))),"")</f>
        <v/>
      </c>
      <c r="D31" s="73" t="str" cm="1">
        <f t="array" ref="D31">IFERROR(INDEX(Overall!E$35:E$71,_xlfn.AGGREGATE(15,3,((Overall!$A$35:$A$71=5)/(Overall!$A$35:$A$71=5)*ROW(Overall!$A$35:$A$71))-ROW(Overall!$A$34), ROWS(Overall!$L$35:O37))),"")</f>
        <v/>
      </c>
      <c r="E31" s="154" t="str" cm="1">
        <f t="array" ref="E31">IFERROR(INDEX(Overall!F$35:F$71,_xlfn.AGGREGATE(15,3,((Overall!$A$35:$A$71=5)/(Overall!$A$35:$A$71=5)*ROW(Overall!$A$35:$A$71))-ROW(Overall!$A$34), ROWS(Overall!$L$35:P37))),"")</f>
        <v/>
      </c>
      <c r="F31" s="155" t="str" cm="1">
        <f t="array" ref="F31">IFERROR(INDEX(Overall!G$35:G$71,_xlfn.AGGREGATE(15,3,((Overall!$A$35:$A$71=5)/(Overall!$A$35:$A$71=5)*ROW(Overall!$A$35:$A$71))-ROW(Overall!$A$34), ROWS(Overall!$L$35:Q37))),"")</f>
        <v/>
      </c>
      <c r="G31" s="117" t="str" cm="1">
        <f t="array" ref="G31">IFERROR(INDEX(Overall!H$35:H$71,_xlfn.AGGREGATE(15,3,((Overall!$A$35:$A$71=5)/(Overall!$A$35:$A$71=5)*ROW(Overall!$A$35:$A$71))-ROW(Overall!$A$34), ROWS(Overall!$L$35:R37))),"")</f>
        <v/>
      </c>
      <c r="H31" s="117" t="str" cm="1">
        <f t="array" ref="H31">IFERROR(INDEX(Overall!I$35:I$71,_xlfn.AGGREGATE(15,3,((Overall!$A$35:$A$71=5)/(Overall!$A$35:$A$71=5)*ROW(Overall!$A$35:$A$71))-ROW(Overall!$A$34), ROWS(Overall!$L$35:S37))),"")</f>
        <v/>
      </c>
      <c r="I31" s="73" t="str" cm="1">
        <f t="array" ref="I31">IFERROR(INDEX(Overall!J$35:J$71,_xlfn.AGGREGATE(15,3,((Overall!$A$35:$A$71=5)/(Overall!$A$35:$A$71=5)*ROW(Overall!$A$35:$A$71))-ROW(Overall!$A$34), ROWS(Overall!$L$35:T37))),"")</f>
        <v/>
      </c>
      <c r="J31" s="64" t="str" cm="1">
        <f t="array" ref="J31">IFERROR(INDEX(Overall!K$35:K$71,_xlfn.AGGREGATE(15,3,((Overall!$A$35:$A$71=5)/(Overall!$A$35:$A$71=5)*ROW(Overall!$A$35:$A$71))-ROW(Overall!$A$34), ROWS(Overall!$L$35:U37))),"")</f>
        <v/>
      </c>
    </row>
    <row r="32" spans="1:10" x14ac:dyDescent="0.25">
      <c r="A32" s="149" t="str" cm="1">
        <f t="array" ref="A32">IFERROR(INDEX(Overall!B$35:B$71,_xlfn.AGGREGATE(15,3,((Overall!$A$35:$A$71=5)/(Overall!$A$35:$A$71=5)*ROW(Overall!$A$35:$A$71))-ROW(Overall!$A$34), ROWS(Overall!$L$35:L38))),"")</f>
        <v/>
      </c>
      <c r="B32" s="71" t="str" cm="1">
        <f t="array" ref="B32">IFERROR(INDEX(Overall!C$35:C$71,_xlfn.AGGREGATE(15,3,((Overall!$A$35:$A$71=5)/(Overall!$A$35:$A$71=5)*ROW(Overall!$A$35:$A$71))-ROW(Overall!$A$34), ROWS(Overall!$L$35:M38))),"")</f>
        <v/>
      </c>
      <c r="C32" s="98" t="str" cm="1">
        <f t="array" ref="C32">IFERROR(INDEX(Overall!D$35:D$71,_xlfn.AGGREGATE(15,3,((Overall!$A$35:$A$71=5)/(Overall!$A$35:$A$71=5)*ROW(Overall!$A$35:$A$71))-ROW(Overall!$A$34), ROWS(Overall!$L$35:N38))),"")</f>
        <v/>
      </c>
      <c r="D32" s="73" t="str" cm="1">
        <f t="array" ref="D32">IFERROR(INDEX(Overall!E$35:E$71,_xlfn.AGGREGATE(15,3,((Overall!$A$35:$A$71=5)/(Overall!$A$35:$A$71=5)*ROW(Overall!$A$35:$A$71))-ROW(Overall!$A$34), ROWS(Overall!$L$35:O38))),"")</f>
        <v/>
      </c>
      <c r="E32" s="154" t="str" cm="1">
        <f t="array" ref="E32">IFERROR(INDEX(Overall!F$35:F$71,_xlfn.AGGREGATE(15,3,((Overall!$A$35:$A$71=5)/(Overall!$A$35:$A$71=5)*ROW(Overall!$A$35:$A$71))-ROW(Overall!$A$34), ROWS(Overall!$L$35:P38))),"")</f>
        <v/>
      </c>
      <c r="F32" s="155" t="str" cm="1">
        <f t="array" ref="F32">IFERROR(INDEX(Overall!G$35:G$71,_xlfn.AGGREGATE(15,3,((Overall!$A$35:$A$71=5)/(Overall!$A$35:$A$71=5)*ROW(Overall!$A$35:$A$71))-ROW(Overall!$A$34), ROWS(Overall!$L$35:Q38))),"")</f>
        <v/>
      </c>
      <c r="G32" s="117" t="str" cm="1">
        <f t="array" ref="G32">IFERROR(INDEX(Overall!H$35:H$71,_xlfn.AGGREGATE(15,3,((Overall!$A$35:$A$71=5)/(Overall!$A$35:$A$71=5)*ROW(Overall!$A$35:$A$71))-ROW(Overall!$A$34), ROWS(Overall!$L$35:R38))),"")</f>
        <v/>
      </c>
      <c r="H32" s="117" t="str" cm="1">
        <f t="array" ref="H32">IFERROR(INDEX(Overall!I$35:I$71,_xlfn.AGGREGATE(15,3,((Overall!$A$35:$A$71=5)/(Overall!$A$35:$A$71=5)*ROW(Overall!$A$35:$A$71))-ROW(Overall!$A$34), ROWS(Overall!$L$35:S38))),"")</f>
        <v/>
      </c>
      <c r="I32" s="73" t="str" cm="1">
        <f t="array" ref="I32">IFERROR(INDEX(Overall!J$35:J$71,_xlfn.AGGREGATE(15,3,((Overall!$A$35:$A$71=5)/(Overall!$A$35:$A$71=5)*ROW(Overall!$A$35:$A$71))-ROW(Overall!$A$34), ROWS(Overall!$L$35:T38))),"")</f>
        <v/>
      </c>
      <c r="J32" s="64" t="str" cm="1">
        <f t="array" ref="J32">IFERROR(INDEX(Overall!K$35:K$71,_xlfn.AGGREGATE(15,3,((Overall!$A$35:$A$71=5)/(Overall!$A$35:$A$71=5)*ROW(Overall!$A$35:$A$71))-ROW(Overall!$A$34), ROWS(Overall!$L$35:U38))),"")</f>
        <v/>
      </c>
    </row>
    <row r="33" spans="1:10" x14ac:dyDescent="0.25">
      <c r="A33" s="149" t="str" cm="1">
        <f t="array" ref="A33">IFERROR(INDEX(Overall!B$35:B$71,_xlfn.AGGREGATE(15,3,((Overall!$A$35:$A$71=5)/(Overall!$A$35:$A$71=5)*ROW(Overall!$A$35:$A$71))-ROW(Overall!$A$34), ROWS(Overall!$L$35:L39))),"")</f>
        <v/>
      </c>
      <c r="B33" s="71" t="str" cm="1">
        <f t="array" ref="B33">IFERROR(INDEX(Overall!C$35:C$71,_xlfn.AGGREGATE(15,3,((Overall!$A$35:$A$71=5)/(Overall!$A$35:$A$71=5)*ROW(Overall!$A$35:$A$71))-ROW(Overall!$A$34), ROWS(Overall!$L$35:M39))),"")</f>
        <v/>
      </c>
      <c r="C33" s="98" t="str" cm="1">
        <f t="array" ref="C33">IFERROR(INDEX(Overall!D$35:D$71,_xlfn.AGGREGATE(15,3,((Overall!$A$35:$A$71=5)/(Overall!$A$35:$A$71=5)*ROW(Overall!$A$35:$A$71))-ROW(Overall!$A$34), ROWS(Overall!$L$35:N39))),"")</f>
        <v/>
      </c>
      <c r="D33" s="73" t="str" cm="1">
        <f t="array" ref="D33">IFERROR(INDEX(Overall!E$35:E$71,_xlfn.AGGREGATE(15,3,((Overall!$A$35:$A$71=5)/(Overall!$A$35:$A$71=5)*ROW(Overall!$A$35:$A$71))-ROW(Overall!$A$34), ROWS(Overall!$L$35:O39))),"")</f>
        <v/>
      </c>
      <c r="E33" s="154" t="str" cm="1">
        <f t="array" ref="E33">IFERROR(INDEX(Overall!F$35:F$71,_xlfn.AGGREGATE(15,3,((Overall!$A$35:$A$71=5)/(Overall!$A$35:$A$71=5)*ROW(Overall!$A$35:$A$71))-ROW(Overall!$A$34), ROWS(Overall!$L$35:P39))),"")</f>
        <v/>
      </c>
      <c r="F33" s="155" t="str" cm="1">
        <f t="array" ref="F33">IFERROR(INDEX(Overall!G$35:G$71,_xlfn.AGGREGATE(15,3,((Overall!$A$35:$A$71=5)/(Overall!$A$35:$A$71=5)*ROW(Overall!$A$35:$A$71))-ROW(Overall!$A$34), ROWS(Overall!$L$35:Q39))),"")</f>
        <v/>
      </c>
      <c r="G33" s="117" t="str" cm="1">
        <f t="array" ref="G33">IFERROR(INDEX(Overall!H$35:H$71,_xlfn.AGGREGATE(15,3,((Overall!$A$35:$A$71=5)/(Overall!$A$35:$A$71=5)*ROW(Overall!$A$35:$A$71))-ROW(Overall!$A$34), ROWS(Overall!$L$35:R39))),"")</f>
        <v/>
      </c>
      <c r="H33" s="117" t="str" cm="1">
        <f t="array" ref="H33">IFERROR(INDEX(Overall!I$35:I$71,_xlfn.AGGREGATE(15,3,((Overall!$A$35:$A$71=5)/(Overall!$A$35:$A$71=5)*ROW(Overall!$A$35:$A$71))-ROW(Overall!$A$34), ROWS(Overall!$L$35:S39))),"")</f>
        <v/>
      </c>
      <c r="I33" s="73" t="str" cm="1">
        <f t="array" ref="I33">IFERROR(INDEX(Overall!J$35:J$71,_xlfn.AGGREGATE(15,3,((Overall!$A$35:$A$71=5)/(Overall!$A$35:$A$71=5)*ROW(Overall!$A$35:$A$71))-ROW(Overall!$A$34), ROWS(Overall!$L$35:T39))),"")</f>
        <v/>
      </c>
      <c r="J33" s="64" t="str" cm="1">
        <f t="array" ref="J33">IFERROR(INDEX(Overall!K$35:K$71,_xlfn.AGGREGATE(15,3,((Overall!$A$35:$A$71=5)/(Overall!$A$35:$A$71=5)*ROW(Overall!$A$35:$A$71))-ROW(Overall!$A$34), ROWS(Overall!$L$35:U39))),"")</f>
        <v/>
      </c>
    </row>
    <row r="34" spans="1:10" x14ac:dyDescent="0.25">
      <c r="A34" s="149" t="str" cm="1">
        <f t="array" ref="A34">IFERROR(INDEX(Overall!B$35:B$71,_xlfn.AGGREGATE(15,3,((Overall!$A$35:$A$71=5)/(Overall!$A$35:$A$71=5)*ROW(Overall!$A$35:$A$71))-ROW(Overall!$A$34), ROWS(Overall!$L$35:L40))),"")</f>
        <v/>
      </c>
      <c r="B34" s="71" t="str" cm="1">
        <f t="array" ref="B34">IFERROR(INDEX(Overall!C$35:C$71,_xlfn.AGGREGATE(15,3,((Overall!$A$35:$A$71=5)/(Overall!$A$35:$A$71=5)*ROW(Overall!$A$35:$A$71))-ROW(Overall!$A$34), ROWS(Overall!$L$35:M40))),"")</f>
        <v/>
      </c>
      <c r="C34" s="98" t="str" cm="1">
        <f t="array" ref="C34">IFERROR(INDEX(Overall!D$35:D$71,_xlfn.AGGREGATE(15,3,((Overall!$A$35:$A$71=5)/(Overall!$A$35:$A$71=5)*ROW(Overall!$A$35:$A$71))-ROW(Overall!$A$34), ROWS(Overall!$L$35:N40))),"")</f>
        <v/>
      </c>
      <c r="D34" s="73" t="str" cm="1">
        <f t="array" ref="D34">IFERROR(INDEX(Overall!E$35:E$71,_xlfn.AGGREGATE(15,3,((Overall!$A$35:$A$71=5)/(Overall!$A$35:$A$71=5)*ROW(Overall!$A$35:$A$71))-ROW(Overall!$A$34), ROWS(Overall!$L$35:O40))),"")</f>
        <v/>
      </c>
      <c r="E34" s="154" t="str" cm="1">
        <f t="array" ref="E34">IFERROR(INDEX(Overall!F$35:F$71,_xlfn.AGGREGATE(15,3,((Overall!$A$35:$A$71=5)/(Overall!$A$35:$A$71=5)*ROW(Overall!$A$35:$A$71))-ROW(Overall!$A$34), ROWS(Overall!$L$35:P40))),"")</f>
        <v/>
      </c>
      <c r="F34" s="155" t="str" cm="1">
        <f t="array" ref="F34">IFERROR(INDEX(Overall!G$35:G$71,_xlfn.AGGREGATE(15,3,((Overall!$A$35:$A$71=5)/(Overall!$A$35:$A$71=5)*ROW(Overall!$A$35:$A$71))-ROW(Overall!$A$34), ROWS(Overall!$L$35:Q40))),"")</f>
        <v/>
      </c>
      <c r="G34" s="117" t="str" cm="1">
        <f t="array" ref="G34">IFERROR(INDEX(Overall!H$35:H$71,_xlfn.AGGREGATE(15,3,((Overall!$A$35:$A$71=5)/(Overall!$A$35:$A$71=5)*ROW(Overall!$A$35:$A$71))-ROW(Overall!$A$34), ROWS(Overall!$L$35:R40))),"")</f>
        <v/>
      </c>
      <c r="H34" s="117" t="str" cm="1">
        <f t="array" ref="H34">IFERROR(INDEX(Overall!I$35:I$71,_xlfn.AGGREGATE(15,3,((Overall!$A$35:$A$71=5)/(Overall!$A$35:$A$71=5)*ROW(Overall!$A$35:$A$71))-ROW(Overall!$A$34), ROWS(Overall!$L$35:S40))),"")</f>
        <v/>
      </c>
      <c r="I34" s="73" t="str" cm="1">
        <f t="array" ref="I34">IFERROR(INDEX(Overall!J$35:J$71,_xlfn.AGGREGATE(15,3,((Overall!$A$35:$A$71=5)/(Overall!$A$35:$A$71=5)*ROW(Overall!$A$35:$A$71))-ROW(Overall!$A$34), ROWS(Overall!$L$35:T40))),"")</f>
        <v/>
      </c>
      <c r="J34" s="64" t="str" cm="1">
        <f t="array" ref="J34">IFERROR(INDEX(Overall!K$35:K$71,_xlfn.AGGREGATE(15,3,((Overall!$A$35:$A$71=5)/(Overall!$A$35:$A$71=5)*ROW(Overall!$A$35:$A$71))-ROW(Overall!$A$34), ROWS(Overall!$L$35:U40))),"")</f>
        <v/>
      </c>
    </row>
    <row r="35" spans="1:10" x14ac:dyDescent="0.25">
      <c r="A35" s="149" t="str" cm="1">
        <f t="array" ref="A35">IFERROR(INDEX(Overall!B$35:B$71,_xlfn.AGGREGATE(15,3,((Overall!$A$35:$A$71=5)/(Overall!$A$35:$A$71=5)*ROW(Overall!$A$35:$A$71))-ROW(Overall!$A$34), ROWS(Overall!$L$35:L41))),"")</f>
        <v/>
      </c>
      <c r="B35" s="71" t="str" cm="1">
        <f t="array" ref="B35">IFERROR(INDEX(Overall!C$35:C$71,_xlfn.AGGREGATE(15,3,((Overall!$A$35:$A$71=5)/(Overall!$A$35:$A$71=5)*ROW(Overall!$A$35:$A$71))-ROW(Overall!$A$34), ROWS(Overall!$L$35:M41))),"")</f>
        <v/>
      </c>
      <c r="C35" s="98" t="str" cm="1">
        <f t="array" ref="C35">IFERROR(INDEX(Overall!D$35:D$71,_xlfn.AGGREGATE(15,3,((Overall!$A$35:$A$71=5)/(Overall!$A$35:$A$71=5)*ROW(Overall!$A$35:$A$71))-ROW(Overall!$A$34), ROWS(Overall!$L$35:N41))),"")</f>
        <v/>
      </c>
      <c r="D35" s="73" t="str" cm="1">
        <f t="array" ref="D35">IFERROR(INDEX(Overall!E$35:E$71,_xlfn.AGGREGATE(15,3,((Overall!$A$35:$A$71=5)/(Overall!$A$35:$A$71=5)*ROW(Overall!$A$35:$A$71))-ROW(Overall!$A$34), ROWS(Overall!$L$35:O41))),"")</f>
        <v/>
      </c>
      <c r="E35" s="154" t="str" cm="1">
        <f t="array" ref="E35">IFERROR(INDEX(Overall!F$35:F$71,_xlfn.AGGREGATE(15,3,((Overall!$A$35:$A$71=5)/(Overall!$A$35:$A$71=5)*ROW(Overall!$A$35:$A$71))-ROW(Overall!$A$34), ROWS(Overall!$L$35:P41))),"")</f>
        <v/>
      </c>
      <c r="F35" s="155" t="str" cm="1">
        <f t="array" ref="F35">IFERROR(INDEX(Overall!G$35:G$71,_xlfn.AGGREGATE(15,3,((Overall!$A$35:$A$71=5)/(Overall!$A$35:$A$71=5)*ROW(Overall!$A$35:$A$71))-ROW(Overall!$A$34), ROWS(Overall!$L$35:Q41))),"")</f>
        <v/>
      </c>
      <c r="G35" s="117" t="str" cm="1">
        <f t="array" ref="G35">IFERROR(INDEX(Overall!H$35:H$71,_xlfn.AGGREGATE(15,3,((Overall!$A$35:$A$71=5)/(Overall!$A$35:$A$71=5)*ROW(Overall!$A$35:$A$71))-ROW(Overall!$A$34), ROWS(Overall!$L$35:R41))),"")</f>
        <v/>
      </c>
      <c r="H35" s="117" t="str" cm="1">
        <f t="array" ref="H35">IFERROR(INDEX(Overall!I$35:I$71,_xlfn.AGGREGATE(15,3,((Overall!$A$35:$A$71=5)/(Overall!$A$35:$A$71=5)*ROW(Overall!$A$35:$A$71))-ROW(Overall!$A$34), ROWS(Overall!$L$35:S41))),"")</f>
        <v/>
      </c>
      <c r="I35" s="73" t="str" cm="1">
        <f t="array" ref="I35">IFERROR(INDEX(Overall!J$35:J$71,_xlfn.AGGREGATE(15,3,((Overall!$A$35:$A$71=5)/(Overall!$A$35:$A$71=5)*ROW(Overall!$A$35:$A$71))-ROW(Overall!$A$34), ROWS(Overall!$L$35:T41))),"")</f>
        <v/>
      </c>
      <c r="J35" s="64" t="str" cm="1">
        <f t="array" ref="J35">IFERROR(INDEX(Overall!K$35:K$71,_xlfn.AGGREGATE(15,3,((Overall!$A$35:$A$71=5)/(Overall!$A$35:$A$71=5)*ROW(Overall!$A$35:$A$71))-ROW(Overall!$A$34), ROWS(Overall!$L$35:U41))),"")</f>
        <v/>
      </c>
    </row>
    <row r="36" spans="1:10" x14ac:dyDescent="0.25">
      <c r="A36" s="149" t="str" cm="1">
        <f t="array" ref="A36">IFERROR(INDEX(Overall!B$35:B$71,_xlfn.AGGREGATE(15,3,((Overall!$A$35:$A$71=5)/(Overall!$A$35:$A$71=5)*ROW(Overall!$A$35:$A$71))-ROW(Overall!$A$34), ROWS(Overall!$L$35:L42))),"")</f>
        <v/>
      </c>
      <c r="B36" s="71" t="str" cm="1">
        <f t="array" ref="B36">IFERROR(INDEX(Overall!C$35:C$71,_xlfn.AGGREGATE(15,3,((Overall!$A$35:$A$71=5)/(Overall!$A$35:$A$71=5)*ROW(Overall!$A$35:$A$71))-ROW(Overall!$A$34), ROWS(Overall!$L$35:M42))),"")</f>
        <v/>
      </c>
      <c r="C36" s="98" t="str" cm="1">
        <f t="array" ref="C36">IFERROR(INDEX(Overall!D$35:D$71,_xlfn.AGGREGATE(15,3,((Overall!$A$35:$A$71=5)/(Overall!$A$35:$A$71=5)*ROW(Overall!$A$35:$A$71))-ROW(Overall!$A$34), ROWS(Overall!$L$35:N42))),"")</f>
        <v/>
      </c>
      <c r="D36" s="73" t="str" cm="1">
        <f t="array" ref="D36">IFERROR(INDEX(Overall!E$35:E$71,_xlfn.AGGREGATE(15,3,((Overall!$A$35:$A$71=5)/(Overall!$A$35:$A$71=5)*ROW(Overall!$A$35:$A$71))-ROW(Overall!$A$34), ROWS(Overall!$L$35:O42))),"")</f>
        <v/>
      </c>
      <c r="E36" s="154" t="str" cm="1">
        <f t="array" ref="E36">IFERROR(INDEX(Overall!F$35:F$71,_xlfn.AGGREGATE(15,3,((Overall!$A$35:$A$71=5)/(Overall!$A$35:$A$71=5)*ROW(Overall!$A$35:$A$71))-ROW(Overall!$A$34), ROWS(Overall!$L$35:P42))),"")</f>
        <v/>
      </c>
      <c r="F36" s="155" t="str" cm="1">
        <f t="array" ref="F36">IFERROR(INDEX(Overall!G$35:G$71,_xlfn.AGGREGATE(15,3,((Overall!$A$35:$A$71=5)/(Overall!$A$35:$A$71=5)*ROW(Overall!$A$35:$A$71))-ROW(Overall!$A$34), ROWS(Overall!$L$35:Q42))),"")</f>
        <v/>
      </c>
      <c r="G36" s="117" t="str" cm="1">
        <f t="array" ref="G36">IFERROR(INDEX(Overall!H$35:H$71,_xlfn.AGGREGATE(15,3,((Overall!$A$35:$A$71=5)/(Overall!$A$35:$A$71=5)*ROW(Overall!$A$35:$A$71))-ROW(Overall!$A$34), ROWS(Overall!$L$35:R42))),"")</f>
        <v/>
      </c>
      <c r="H36" s="117" t="str" cm="1">
        <f t="array" ref="H36">IFERROR(INDEX(Overall!I$35:I$71,_xlfn.AGGREGATE(15,3,((Overall!$A$35:$A$71=5)/(Overall!$A$35:$A$71=5)*ROW(Overall!$A$35:$A$71))-ROW(Overall!$A$34), ROWS(Overall!$L$35:S42))),"")</f>
        <v/>
      </c>
      <c r="I36" s="73" t="str" cm="1">
        <f t="array" ref="I36">IFERROR(INDEX(Overall!J$35:J$71,_xlfn.AGGREGATE(15,3,((Overall!$A$35:$A$71=5)/(Overall!$A$35:$A$71=5)*ROW(Overall!$A$35:$A$71))-ROW(Overall!$A$34), ROWS(Overall!$L$35:T42))),"")</f>
        <v/>
      </c>
      <c r="J36" s="64" t="str" cm="1">
        <f t="array" ref="J36">IFERROR(INDEX(Overall!K$35:K$71,_xlfn.AGGREGATE(15,3,((Overall!$A$35:$A$71=5)/(Overall!$A$35:$A$71=5)*ROW(Overall!$A$35:$A$71))-ROW(Overall!$A$34), ROWS(Overall!$L$35:U42))),"")</f>
        <v/>
      </c>
    </row>
    <row r="37" spans="1:10" x14ac:dyDescent="0.25">
      <c r="A37" s="149" t="str" cm="1">
        <f t="array" ref="A37">IFERROR(INDEX(Overall!B$35:B$71,_xlfn.AGGREGATE(15,3,((Overall!$A$35:$A$71=5)/(Overall!$A$35:$A$71=5)*ROW(Overall!$A$35:$A$71))-ROW(Overall!$A$34), ROWS(Overall!$L$35:L43))),"")</f>
        <v/>
      </c>
      <c r="B37" s="71" t="str" cm="1">
        <f t="array" ref="B37">IFERROR(INDEX(Overall!C$35:C$71,_xlfn.AGGREGATE(15,3,((Overall!$A$35:$A$71=5)/(Overall!$A$35:$A$71=5)*ROW(Overall!$A$35:$A$71))-ROW(Overall!$A$34), ROWS(Overall!$L$35:M43))),"")</f>
        <v/>
      </c>
      <c r="C37" s="98" t="str" cm="1">
        <f t="array" ref="C37">IFERROR(INDEX(Overall!D$35:D$71,_xlfn.AGGREGATE(15,3,((Overall!$A$35:$A$71=5)/(Overall!$A$35:$A$71=5)*ROW(Overall!$A$35:$A$71))-ROW(Overall!$A$34), ROWS(Overall!$L$35:N43))),"")</f>
        <v/>
      </c>
      <c r="D37" s="73" t="str" cm="1">
        <f t="array" ref="D37">IFERROR(INDEX(Overall!E$35:E$71,_xlfn.AGGREGATE(15,3,((Overall!$A$35:$A$71=5)/(Overall!$A$35:$A$71=5)*ROW(Overall!$A$35:$A$71))-ROW(Overall!$A$34), ROWS(Overall!$L$35:O43))),"")</f>
        <v/>
      </c>
      <c r="E37" s="154" t="str" cm="1">
        <f t="array" ref="E37">IFERROR(INDEX(Overall!F$35:F$71,_xlfn.AGGREGATE(15,3,((Overall!$A$35:$A$71=5)/(Overall!$A$35:$A$71=5)*ROW(Overall!$A$35:$A$71))-ROW(Overall!$A$34), ROWS(Overall!$L$35:P43))),"")</f>
        <v/>
      </c>
      <c r="F37" s="155" t="str" cm="1">
        <f t="array" ref="F37">IFERROR(INDEX(Overall!G$35:G$71,_xlfn.AGGREGATE(15,3,((Overall!$A$35:$A$71=5)/(Overall!$A$35:$A$71=5)*ROW(Overall!$A$35:$A$71))-ROW(Overall!$A$34), ROWS(Overall!$L$35:Q43))),"")</f>
        <v/>
      </c>
      <c r="G37" s="117" t="str" cm="1">
        <f t="array" ref="G37">IFERROR(INDEX(Overall!H$35:H$71,_xlfn.AGGREGATE(15,3,((Overall!$A$35:$A$71=5)/(Overall!$A$35:$A$71=5)*ROW(Overall!$A$35:$A$71))-ROW(Overall!$A$34), ROWS(Overall!$L$35:R43))),"")</f>
        <v/>
      </c>
      <c r="H37" s="117" t="str" cm="1">
        <f t="array" ref="H37">IFERROR(INDEX(Overall!I$35:I$71,_xlfn.AGGREGATE(15,3,((Overall!$A$35:$A$71=5)/(Overall!$A$35:$A$71=5)*ROW(Overall!$A$35:$A$71))-ROW(Overall!$A$34), ROWS(Overall!$L$35:S43))),"")</f>
        <v/>
      </c>
      <c r="I37" s="73" t="str" cm="1">
        <f t="array" ref="I37">IFERROR(INDEX(Overall!J$35:J$71,_xlfn.AGGREGATE(15,3,((Overall!$A$35:$A$71=5)/(Overall!$A$35:$A$71=5)*ROW(Overall!$A$35:$A$71))-ROW(Overall!$A$34), ROWS(Overall!$L$35:T43))),"")</f>
        <v/>
      </c>
      <c r="J37" s="64" t="str" cm="1">
        <f t="array" ref="J37">IFERROR(INDEX(Overall!K$35:K$71,_xlfn.AGGREGATE(15,3,((Overall!$A$35:$A$71=5)/(Overall!$A$35:$A$71=5)*ROW(Overall!$A$35:$A$71))-ROW(Overall!$A$34), ROWS(Overall!$L$35:U43))),"")</f>
        <v/>
      </c>
    </row>
    <row r="38" spans="1:10" x14ac:dyDescent="0.25">
      <c r="A38" s="149" t="str" cm="1">
        <f t="array" ref="A38">IFERROR(INDEX(Overall!B$35:B$71,_xlfn.AGGREGATE(15,3,((Overall!$A$35:$A$71=5)/(Overall!$A$35:$A$71=5)*ROW(Overall!$A$35:$A$71))-ROW(Overall!$A$34), ROWS(Overall!$L$35:L44))),"")</f>
        <v/>
      </c>
      <c r="B38" s="71" t="str" cm="1">
        <f t="array" ref="B38">IFERROR(INDEX(Overall!C$35:C$71,_xlfn.AGGREGATE(15,3,((Overall!$A$35:$A$71=5)/(Overall!$A$35:$A$71=5)*ROW(Overall!$A$35:$A$71))-ROW(Overall!$A$34), ROWS(Overall!$L$35:M44))),"")</f>
        <v/>
      </c>
      <c r="C38" s="98" t="str" cm="1">
        <f t="array" ref="C38">IFERROR(INDEX(Overall!D$35:D$71,_xlfn.AGGREGATE(15,3,((Overall!$A$35:$A$71=5)/(Overall!$A$35:$A$71=5)*ROW(Overall!$A$35:$A$71))-ROW(Overall!$A$34), ROWS(Overall!$L$35:N44))),"")</f>
        <v/>
      </c>
      <c r="D38" s="73" t="str" cm="1">
        <f t="array" ref="D38">IFERROR(INDEX(Overall!E$35:E$71,_xlfn.AGGREGATE(15,3,((Overall!$A$35:$A$71=5)/(Overall!$A$35:$A$71=5)*ROW(Overall!$A$35:$A$71))-ROW(Overall!$A$34), ROWS(Overall!$L$35:O44))),"")</f>
        <v/>
      </c>
      <c r="E38" s="154" t="str" cm="1">
        <f t="array" ref="E38">IFERROR(INDEX(Overall!F$35:F$71,_xlfn.AGGREGATE(15,3,((Overall!$A$35:$A$71=5)/(Overall!$A$35:$A$71=5)*ROW(Overall!$A$35:$A$71))-ROW(Overall!$A$34), ROWS(Overall!$L$35:P44))),"")</f>
        <v/>
      </c>
      <c r="F38" s="155" t="str" cm="1">
        <f t="array" ref="F38">IFERROR(INDEX(Overall!G$35:G$71,_xlfn.AGGREGATE(15,3,((Overall!$A$35:$A$71=5)/(Overall!$A$35:$A$71=5)*ROW(Overall!$A$35:$A$71))-ROW(Overall!$A$34), ROWS(Overall!$L$35:Q44))),"")</f>
        <v/>
      </c>
      <c r="G38" s="117" t="str" cm="1">
        <f t="array" ref="G38">IFERROR(INDEX(Overall!H$35:H$71,_xlfn.AGGREGATE(15,3,((Overall!$A$35:$A$71=5)/(Overall!$A$35:$A$71=5)*ROW(Overall!$A$35:$A$71))-ROW(Overall!$A$34), ROWS(Overall!$L$35:R44))),"")</f>
        <v/>
      </c>
      <c r="H38" s="117" t="str" cm="1">
        <f t="array" ref="H38">IFERROR(INDEX(Overall!I$35:I$71,_xlfn.AGGREGATE(15,3,((Overall!$A$35:$A$71=5)/(Overall!$A$35:$A$71=5)*ROW(Overall!$A$35:$A$71))-ROW(Overall!$A$34), ROWS(Overall!$L$35:S44))),"")</f>
        <v/>
      </c>
      <c r="I38" s="73" t="str" cm="1">
        <f t="array" ref="I38">IFERROR(INDEX(Overall!J$35:J$71,_xlfn.AGGREGATE(15,3,((Overall!$A$35:$A$71=5)/(Overall!$A$35:$A$71=5)*ROW(Overall!$A$35:$A$71))-ROW(Overall!$A$34), ROWS(Overall!$L$35:T44))),"")</f>
        <v/>
      </c>
      <c r="J38" s="64" t="str" cm="1">
        <f t="array" ref="J38">IFERROR(INDEX(Overall!K$35:K$71,_xlfn.AGGREGATE(15,3,((Overall!$A$35:$A$71=5)/(Overall!$A$35:$A$71=5)*ROW(Overall!$A$35:$A$71))-ROW(Overall!$A$34), ROWS(Overall!$L$35:U44))),"")</f>
        <v/>
      </c>
    </row>
    <row r="39" spans="1:10" x14ac:dyDescent="0.25">
      <c r="A39" s="149" t="str" cm="1">
        <f t="array" ref="A39">IFERROR(INDEX(Overall!B$35:B$71,_xlfn.AGGREGATE(15,3,((Overall!$A$35:$A$71=5)/(Overall!$A$35:$A$71=5)*ROW(Overall!$A$35:$A$71))-ROW(Overall!$A$34), ROWS(Overall!$L$35:L45))),"")</f>
        <v/>
      </c>
      <c r="B39" s="71" t="str" cm="1">
        <f t="array" ref="B39">IFERROR(INDEX(Overall!C$35:C$71,_xlfn.AGGREGATE(15,3,((Overall!$A$35:$A$71=5)/(Overall!$A$35:$A$71=5)*ROW(Overall!$A$35:$A$71))-ROW(Overall!$A$34), ROWS(Overall!$L$35:M45))),"")</f>
        <v/>
      </c>
      <c r="C39" s="98" t="str" cm="1">
        <f t="array" ref="C39">IFERROR(INDEX(Overall!D$35:D$71,_xlfn.AGGREGATE(15,3,((Overall!$A$35:$A$71=5)/(Overall!$A$35:$A$71=5)*ROW(Overall!$A$35:$A$71))-ROW(Overall!$A$34), ROWS(Overall!$L$35:N45))),"")</f>
        <v/>
      </c>
      <c r="D39" s="73" t="str" cm="1">
        <f t="array" ref="D39">IFERROR(INDEX(Overall!E$35:E$71,_xlfn.AGGREGATE(15,3,((Overall!$A$35:$A$71=5)/(Overall!$A$35:$A$71=5)*ROW(Overall!$A$35:$A$71))-ROW(Overall!$A$34), ROWS(Overall!$L$35:O45))),"")</f>
        <v/>
      </c>
      <c r="E39" s="154" t="str" cm="1">
        <f t="array" ref="E39">IFERROR(INDEX(Overall!F$35:F$71,_xlfn.AGGREGATE(15,3,((Overall!$A$35:$A$71=5)/(Overall!$A$35:$A$71=5)*ROW(Overall!$A$35:$A$71))-ROW(Overall!$A$34), ROWS(Overall!$L$35:P45))),"")</f>
        <v/>
      </c>
      <c r="F39" s="155" t="str" cm="1">
        <f t="array" ref="F39">IFERROR(INDEX(Overall!G$35:G$71,_xlfn.AGGREGATE(15,3,((Overall!$A$35:$A$71=5)/(Overall!$A$35:$A$71=5)*ROW(Overall!$A$35:$A$71))-ROW(Overall!$A$34), ROWS(Overall!$L$35:Q45))),"")</f>
        <v/>
      </c>
      <c r="G39" s="117" t="str" cm="1">
        <f t="array" ref="G39">IFERROR(INDEX(Overall!H$35:H$71,_xlfn.AGGREGATE(15,3,((Overall!$A$35:$A$71=5)/(Overall!$A$35:$A$71=5)*ROW(Overall!$A$35:$A$71))-ROW(Overall!$A$34), ROWS(Overall!$L$35:R45))),"")</f>
        <v/>
      </c>
      <c r="H39" s="117" t="str" cm="1">
        <f t="array" ref="H39">IFERROR(INDEX(Overall!I$35:I$71,_xlfn.AGGREGATE(15,3,((Overall!$A$35:$A$71=5)/(Overall!$A$35:$A$71=5)*ROW(Overall!$A$35:$A$71))-ROW(Overall!$A$34), ROWS(Overall!$L$35:S45))),"")</f>
        <v/>
      </c>
      <c r="I39" s="73" t="str" cm="1">
        <f t="array" ref="I39">IFERROR(INDEX(Overall!J$35:J$71,_xlfn.AGGREGATE(15,3,((Overall!$A$35:$A$71=5)/(Overall!$A$35:$A$71=5)*ROW(Overall!$A$35:$A$71))-ROW(Overall!$A$34), ROWS(Overall!$L$35:T45))),"")</f>
        <v/>
      </c>
      <c r="J39" s="64" t="str" cm="1">
        <f t="array" ref="J39">IFERROR(INDEX(Overall!K$35:K$71,_xlfn.AGGREGATE(15,3,((Overall!$A$35:$A$71=5)/(Overall!$A$35:$A$71=5)*ROW(Overall!$A$35:$A$71))-ROW(Overall!$A$34), ROWS(Overall!$L$35:U45))),"")</f>
        <v/>
      </c>
    </row>
    <row r="40" spans="1:10" x14ac:dyDescent="0.25">
      <c r="A40" s="149" t="str" cm="1">
        <f t="array" ref="A40">IFERROR(INDEX(Overall!B$35:B$71,_xlfn.AGGREGATE(15,3,((Overall!$A$35:$A$71=5)/(Overall!$A$35:$A$71=5)*ROW(Overall!$A$35:$A$71))-ROW(Overall!$A$34), ROWS(Overall!$L$35:L46))),"")</f>
        <v/>
      </c>
      <c r="B40" s="71" t="str" cm="1">
        <f t="array" ref="B40">IFERROR(INDEX(Overall!C$35:C$71,_xlfn.AGGREGATE(15,3,((Overall!$A$35:$A$71=5)/(Overall!$A$35:$A$71=5)*ROW(Overall!$A$35:$A$71))-ROW(Overall!$A$34), ROWS(Overall!$L$35:M46))),"")</f>
        <v/>
      </c>
      <c r="C40" s="98" t="str" cm="1">
        <f t="array" ref="C40">IFERROR(INDEX(Overall!D$35:D$71,_xlfn.AGGREGATE(15,3,((Overall!$A$35:$A$71=5)/(Overall!$A$35:$A$71=5)*ROW(Overall!$A$35:$A$71))-ROW(Overall!$A$34), ROWS(Overall!$L$35:N46))),"")</f>
        <v/>
      </c>
      <c r="D40" s="73" t="str" cm="1">
        <f t="array" ref="D40">IFERROR(INDEX(Overall!E$35:E$71,_xlfn.AGGREGATE(15,3,((Overall!$A$35:$A$71=5)/(Overall!$A$35:$A$71=5)*ROW(Overall!$A$35:$A$71))-ROW(Overall!$A$34), ROWS(Overall!$L$35:O46))),"")</f>
        <v/>
      </c>
      <c r="E40" s="154" t="str" cm="1">
        <f t="array" ref="E40">IFERROR(INDEX(Overall!F$35:F$71,_xlfn.AGGREGATE(15,3,((Overall!$A$35:$A$71=5)/(Overall!$A$35:$A$71=5)*ROW(Overall!$A$35:$A$71))-ROW(Overall!$A$34), ROWS(Overall!$L$35:P46))),"")</f>
        <v/>
      </c>
      <c r="F40" s="155" t="str" cm="1">
        <f t="array" ref="F40">IFERROR(INDEX(Overall!G$35:G$71,_xlfn.AGGREGATE(15,3,((Overall!$A$35:$A$71=5)/(Overall!$A$35:$A$71=5)*ROW(Overall!$A$35:$A$71))-ROW(Overall!$A$34), ROWS(Overall!$L$35:Q46))),"")</f>
        <v/>
      </c>
      <c r="G40" s="117" t="str" cm="1">
        <f t="array" ref="G40">IFERROR(INDEX(Overall!H$35:H$71,_xlfn.AGGREGATE(15,3,((Overall!$A$35:$A$71=5)/(Overall!$A$35:$A$71=5)*ROW(Overall!$A$35:$A$71))-ROW(Overall!$A$34), ROWS(Overall!$L$35:R46))),"")</f>
        <v/>
      </c>
      <c r="H40" s="117" t="str" cm="1">
        <f t="array" ref="H40">IFERROR(INDEX(Overall!I$35:I$71,_xlfn.AGGREGATE(15,3,((Overall!$A$35:$A$71=5)/(Overall!$A$35:$A$71=5)*ROW(Overall!$A$35:$A$71))-ROW(Overall!$A$34), ROWS(Overall!$L$35:S46))),"")</f>
        <v/>
      </c>
      <c r="I40" s="73" t="str" cm="1">
        <f t="array" ref="I40">IFERROR(INDEX(Overall!J$35:J$71,_xlfn.AGGREGATE(15,3,((Overall!$A$35:$A$71=5)/(Overall!$A$35:$A$71=5)*ROW(Overall!$A$35:$A$71))-ROW(Overall!$A$34), ROWS(Overall!$L$35:T46))),"")</f>
        <v/>
      </c>
      <c r="J40" s="64" t="str" cm="1">
        <f t="array" ref="J40">IFERROR(INDEX(Overall!K$35:K$71,_xlfn.AGGREGATE(15,3,((Overall!$A$35:$A$71=5)/(Overall!$A$35:$A$71=5)*ROW(Overall!$A$35:$A$71))-ROW(Overall!$A$34), ROWS(Overall!$L$35:U46))),"")</f>
        <v/>
      </c>
    </row>
    <row r="41" spans="1:10" x14ac:dyDescent="0.25">
      <c r="A41" s="149" t="str" cm="1">
        <f t="array" ref="A41">IFERROR(INDEX(Overall!B$35:B$71,_xlfn.AGGREGATE(15,3,((Overall!$A$35:$A$71=5)/(Overall!$A$35:$A$71=5)*ROW(Overall!$A$35:$A$71))-ROW(Overall!$A$34), ROWS(Overall!$L$35:L47))),"")</f>
        <v/>
      </c>
      <c r="B41" s="71" t="str" cm="1">
        <f t="array" ref="B41">IFERROR(INDEX(Overall!C$35:C$71,_xlfn.AGGREGATE(15,3,((Overall!$A$35:$A$71=5)/(Overall!$A$35:$A$71=5)*ROW(Overall!$A$35:$A$71))-ROW(Overall!$A$34), ROWS(Overall!$L$35:M47))),"")</f>
        <v/>
      </c>
      <c r="C41" s="98" t="str" cm="1">
        <f t="array" ref="C41">IFERROR(INDEX(Overall!D$35:D$71,_xlfn.AGGREGATE(15,3,((Overall!$A$35:$A$71=5)/(Overall!$A$35:$A$71=5)*ROW(Overall!$A$35:$A$71))-ROW(Overall!$A$34), ROWS(Overall!$L$35:N47))),"")</f>
        <v/>
      </c>
      <c r="D41" s="73" t="str" cm="1">
        <f t="array" ref="D41">IFERROR(INDEX(Overall!E$35:E$71,_xlfn.AGGREGATE(15,3,((Overall!$A$35:$A$71=5)/(Overall!$A$35:$A$71=5)*ROW(Overall!$A$35:$A$71))-ROW(Overall!$A$34), ROWS(Overall!$L$35:O47))),"")</f>
        <v/>
      </c>
      <c r="E41" s="154" t="str" cm="1">
        <f t="array" ref="E41">IFERROR(INDEX(Overall!F$35:F$71,_xlfn.AGGREGATE(15,3,((Overall!$A$35:$A$71=5)/(Overall!$A$35:$A$71=5)*ROW(Overall!$A$35:$A$71))-ROW(Overall!$A$34), ROWS(Overall!$L$35:P47))),"")</f>
        <v/>
      </c>
      <c r="F41" s="155" t="str" cm="1">
        <f t="array" ref="F41">IFERROR(INDEX(Overall!G$35:G$71,_xlfn.AGGREGATE(15,3,((Overall!$A$35:$A$71=5)/(Overall!$A$35:$A$71=5)*ROW(Overall!$A$35:$A$71))-ROW(Overall!$A$34), ROWS(Overall!$L$35:Q47))),"")</f>
        <v/>
      </c>
      <c r="G41" s="117" t="str" cm="1">
        <f t="array" ref="G41">IFERROR(INDEX(Overall!H$35:H$71,_xlfn.AGGREGATE(15,3,((Overall!$A$35:$A$71=5)/(Overall!$A$35:$A$71=5)*ROW(Overall!$A$35:$A$71))-ROW(Overall!$A$34), ROWS(Overall!$L$35:R47))),"")</f>
        <v/>
      </c>
      <c r="H41" s="117" t="str" cm="1">
        <f t="array" ref="H41">IFERROR(INDEX(Overall!I$35:I$71,_xlfn.AGGREGATE(15,3,((Overall!$A$35:$A$71=5)/(Overall!$A$35:$A$71=5)*ROW(Overall!$A$35:$A$71))-ROW(Overall!$A$34), ROWS(Overall!$L$35:S47))),"")</f>
        <v/>
      </c>
      <c r="I41" s="73" t="str" cm="1">
        <f t="array" ref="I41">IFERROR(INDEX(Overall!J$35:J$71,_xlfn.AGGREGATE(15,3,((Overall!$A$35:$A$71=5)/(Overall!$A$35:$A$71=5)*ROW(Overall!$A$35:$A$71))-ROW(Overall!$A$34), ROWS(Overall!$L$35:T47))),"")</f>
        <v/>
      </c>
      <c r="J41" s="64" t="str" cm="1">
        <f t="array" ref="J41">IFERROR(INDEX(Overall!K$35:K$71,_xlfn.AGGREGATE(15,3,((Overall!$A$35:$A$71=5)/(Overall!$A$35:$A$71=5)*ROW(Overall!$A$35:$A$71))-ROW(Overall!$A$34), ROWS(Overall!$L$35:U47))),"")</f>
        <v/>
      </c>
    </row>
    <row r="42" spans="1:10" x14ac:dyDescent="0.25">
      <c r="A42" s="149" t="str" cm="1">
        <f t="array" ref="A42">IFERROR(INDEX(Overall!B$35:B$71,_xlfn.AGGREGATE(15,3,((Overall!$A$35:$A$71=5)/(Overall!$A$35:$A$71=5)*ROW(Overall!$A$35:$A$71))-ROW(Overall!$A$34), ROWS(Overall!$L$35:L48))),"")</f>
        <v/>
      </c>
      <c r="B42" s="71" t="str" cm="1">
        <f t="array" ref="B42">IFERROR(INDEX(Overall!C$35:C$71,_xlfn.AGGREGATE(15,3,((Overall!$A$35:$A$71=5)/(Overall!$A$35:$A$71=5)*ROW(Overall!$A$35:$A$71))-ROW(Overall!$A$34), ROWS(Overall!$L$35:M48))),"")</f>
        <v/>
      </c>
      <c r="C42" s="98" t="str" cm="1">
        <f t="array" ref="C42">IFERROR(INDEX(Overall!D$35:D$71,_xlfn.AGGREGATE(15,3,((Overall!$A$35:$A$71=5)/(Overall!$A$35:$A$71=5)*ROW(Overall!$A$35:$A$71))-ROW(Overall!$A$34), ROWS(Overall!$L$35:N48))),"")</f>
        <v/>
      </c>
      <c r="D42" s="73" t="str" cm="1">
        <f t="array" ref="D42">IFERROR(INDEX(Overall!E$35:E$71,_xlfn.AGGREGATE(15,3,((Overall!$A$35:$A$71=5)/(Overall!$A$35:$A$71=5)*ROW(Overall!$A$35:$A$71))-ROW(Overall!$A$34), ROWS(Overall!$L$35:O48))),"")</f>
        <v/>
      </c>
      <c r="E42" s="154" t="str" cm="1">
        <f t="array" ref="E42">IFERROR(INDEX(Overall!F$35:F$71,_xlfn.AGGREGATE(15,3,((Overall!$A$35:$A$71=5)/(Overall!$A$35:$A$71=5)*ROW(Overall!$A$35:$A$71))-ROW(Overall!$A$34), ROWS(Overall!$L$35:P48))),"")</f>
        <v/>
      </c>
      <c r="F42" s="155" t="str" cm="1">
        <f t="array" ref="F42">IFERROR(INDEX(Overall!G$35:G$71,_xlfn.AGGREGATE(15,3,((Overall!$A$35:$A$71=5)/(Overall!$A$35:$A$71=5)*ROW(Overall!$A$35:$A$71))-ROW(Overall!$A$34), ROWS(Overall!$L$35:Q48))),"")</f>
        <v/>
      </c>
      <c r="G42" s="117" t="str" cm="1">
        <f t="array" ref="G42">IFERROR(INDEX(Overall!H$35:H$71,_xlfn.AGGREGATE(15,3,((Overall!$A$35:$A$71=5)/(Overall!$A$35:$A$71=5)*ROW(Overall!$A$35:$A$71))-ROW(Overall!$A$34), ROWS(Overall!$L$35:R48))),"")</f>
        <v/>
      </c>
      <c r="H42" s="117" t="str" cm="1">
        <f t="array" ref="H42">IFERROR(INDEX(Overall!I$35:I$71,_xlfn.AGGREGATE(15,3,((Overall!$A$35:$A$71=5)/(Overall!$A$35:$A$71=5)*ROW(Overall!$A$35:$A$71))-ROW(Overall!$A$34), ROWS(Overall!$L$35:S48))),"")</f>
        <v/>
      </c>
      <c r="I42" s="73" t="str" cm="1">
        <f t="array" ref="I42">IFERROR(INDEX(Overall!J$35:J$71,_xlfn.AGGREGATE(15,3,((Overall!$A$35:$A$71=5)/(Overall!$A$35:$A$71=5)*ROW(Overall!$A$35:$A$71))-ROW(Overall!$A$34), ROWS(Overall!$L$35:T48))),"")</f>
        <v/>
      </c>
      <c r="J42" s="64" t="str" cm="1">
        <f t="array" ref="J42">IFERROR(INDEX(Overall!K$35:K$71,_xlfn.AGGREGATE(15,3,((Overall!$A$35:$A$71=5)/(Overall!$A$35:$A$71=5)*ROW(Overall!$A$35:$A$71))-ROW(Overall!$A$34), ROWS(Overall!$L$35:U48))),"")</f>
        <v/>
      </c>
    </row>
    <row r="43" spans="1:10" x14ac:dyDescent="0.25">
      <c r="A43" s="149" t="str" cm="1">
        <f t="array" ref="A43">IFERROR(INDEX(Overall!B$35:B$71,_xlfn.AGGREGATE(15,3,((Overall!$A$35:$A$71=5)/(Overall!$A$35:$A$71=5)*ROW(Overall!$A$35:$A$71))-ROW(Overall!$A$34), ROWS(Overall!$L$35:L49))),"")</f>
        <v/>
      </c>
      <c r="B43" s="71" t="str" cm="1">
        <f t="array" ref="B43">IFERROR(INDEX(Overall!C$35:C$71,_xlfn.AGGREGATE(15,3,((Overall!$A$35:$A$71=5)/(Overall!$A$35:$A$71=5)*ROW(Overall!$A$35:$A$71))-ROW(Overall!$A$34), ROWS(Overall!$L$35:M49))),"")</f>
        <v/>
      </c>
      <c r="C43" s="98" t="str" cm="1">
        <f t="array" ref="C43">IFERROR(INDEX(Overall!D$35:D$71,_xlfn.AGGREGATE(15,3,((Overall!$A$35:$A$71=5)/(Overall!$A$35:$A$71=5)*ROW(Overall!$A$35:$A$71))-ROW(Overall!$A$34), ROWS(Overall!$L$35:N49))),"")</f>
        <v/>
      </c>
      <c r="D43" s="73" t="str" cm="1">
        <f t="array" ref="D43">IFERROR(INDEX(Overall!E$35:E$71,_xlfn.AGGREGATE(15,3,((Overall!$A$35:$A$71=5)/(Overall!$A$35:$A$71=5)*ROW(Overall!$A$35:$A$71))-ROW(Overall!$A$34), ROWS(Overall!$L$35:O49))),"")</f>
        <v/>
      </c>
      <c r="E43" s="154" t="str" cm="1">
        <f t="array" ref="E43">IFERROR(INDEX(Overall!F$35:F$71,_xlfn.AGGREGATE(15,3,((Overall!$A$35:$A$71=5)/(Overall!$A$35:$A$71=5)*ROW(Overall!$A$35:$A$71))-ROW(Overall!$A$34), ROWS(Overall!$L$35:P49))),"")</f>
        <v/>
      </c>
      <c r="F43" s="155" t="str" cm="1">
        <f t="array" ref="F43">IFERROR(INDEX(Overall!G$35:G$71,_xlfn.AGGREGATE(15,3,((Overall!$A$35:$A$71=5)/(Overall!$A$35:$A$71=5)*ROW(Overall!$A$35:$A$71))-ROW(Overall!$A$34), ROWS(Overall!$L$35:Q49))),"")</f>
        <v/>
      </c>
      <c r="G43" s="117" t="str" cm="1">
        <f t="array" ref="G43">IFERROR(INDEX(Overall!H$35:H$71,_xlfn.AGGREGATE(15,3,((Overall!$A$35:$A$71=5)/(Overall!$A$35:$A$71=5)*ROW(Overall!$A$35:$A$71))-ROW(Overall!$A$34), ROWS(Overall!$L$35:R49))),"")</f>
        <v/>
      </c>
      <c r="H43" s="117" t="str" cm="1">
        <f t="array" ref="H43">IFERROR(INDEX(Overall!I$35:I$71,_xlfn.AGGREGATE(15,3,((Overall!$A$35:$A$71=5)/(Overall!$A$35:$A$71=5)*ROW(Overall!$A$35:$A$71))-ROW(Overall!$A$34), ROWS(Overall!$L$35:S49))),"")</f>
        <v/>
      </c>
      <c r="I43" s="73" t="str" cm="1">
        <f t="array" ref="I43">IFERROR(INDEX(Overall!J$35:J$71,_xlfn.AGGREGATE(15,3,((Overall!$A$35:$A$71=5)/(Overall!$A$35:$A$71=5)*ROW(Overall!$A$35:$A$71))-ROW(Overall!$A$34), ROWS(Overall!$L$35:T49))),"")</f>
        <v/>
      </c>
      <c r="J43" s="64" t="str" cm="1">
        <f t="array" ref="J43">IFERROR(INDEX(Overall!K$35:K$71,_xlfn.AGGREGATE(15,3,((Overall!$A$35:$A$71=5)/(Overall!$A$35:$A$71=5)*ROW(Overall!$A$35:$A$71))-ROW(Overall!$A$34), ROWS(Overall!$L$35:U49))),"")</f>
        <v/>
      </c>
    </row>
    <row r="44" spans="1:10" x14ac:dyDescent="0.25">
      <c r="A44" s="99" t="str" cm="1">
        <f t="array" ref="A44">IFERROR(INDEX(Overall!B$35:B$71,_xlfn.AGGREGATE(15,3,((Overall!$A$35:$A$71=5)/(Overall!$A$35:$A$71=5)*ROW(Overall!$A$35:$A$71))-ROW(Overall!$A$34), ROWS(Overall!$L$35:L50))),"")</f>
        <v/>
      </c>
      <c r="B44" s="72" t="str" cm="1">
        <f t="array" ref="B44">IFERROR(INDEX(Overall!C$35:C$71,_xlfn.AGGREGATE(15,3,((Overall!$A$35:$A$71=5)/(Overall!$A$35:$A$71=5)*ROW(Overall!$A$35:$A$71))-ROW(Overall!$A$34), ROWS(Overall!$L$35:M50))),"")</f>
        <v/>
      </c>
      <c r="C44" s="99" t="str" cm="1">
        <f t="array" ref="C44">IFERROR(INDEX(Overall!D$35:D$71,_xlfn.AGGREGATE(15,3,((Overall!$A$35:$A$71=5)/(Overall!$A$35:$A$71=5)*ROW(Overall!$A$35:$A$71))-ROW(Overall!$A$34), ROWS(Overall!$L$35:N50))),"")</f>
        <v/>
      </c>
      <c r="D44" s="74" t="str" cm="1">
        <f t="array" ref="D44">IFERROR(INDEX(Overall!E$35:E$71,_xlfn.AGGREGATE(15,3,((Overall!$A$35:$A$71=5)/(Overall!$A$35:$A$71=5)*ROW(Overall!$A$35:$A$71))-ROW(Overall!$A$34), ROWS(Overall!$L$35:O50))),"")</f>
        <v/>
      </c>
      <c r="E44" s="156" t="str" cm="1">
        <f t="array" ref="E44">IFERROR(INDEX(Overall!F$35:F$71,_xlfn.AGGREGATE(15,3,((Overall!$A$35:$A$71=5)/(Overall!$A$35:$A$71=5)*ROW(Overall!$A$35:$A$71))-ROW(Overall!$A$34), ROWS(Overall!$L$35:P50))),"")</f>
        <v/>
      </c>
      <c r="F44" s="157" t="str" cm="1">
        <f t="array" ref="F44">IFERROR(INDEX(Overall!G$35:G$71,_xlfn.AGGREGATE(15,3,((Overall!$A$35:$A$71=5)/(Overall!$A$35:$A$71=5)*ROW(Overall!$A$35:$A$71))-ROW(Overall!$A$34), ROWS(Overall!$L$35:Q50))),"")</f>
        <v/>
      </c>
      <c r="G44" s="118" t="str" cm="1">
        <f t="array" ref="G44">IFERROR(INDEX(Overall!H$35:H$71,_xlfn.AGGREGATE(15,3,((Overall!$A$35:$A$71=5)/(Overall!$A$35:$A$71=5)*ROW(Overall!$A$35:$A$71))-ROW(Overall!$A$34), ROWS(Overall!$L$35:R50))),"")</f>
        <v/>
      </c>
      <c r="H44" s="118" t="str" cm="1">
        <f t="array" ref="H44">IFERROR(INDEX(Overall!I$35:I$71,_xlfn.AGGREGATE(15,3,((Overall!$A$35:$A$71=5)/(Overall!$A$35:$A$71=5)*ROW(Overall!$A$35:$A$71))-ROW(Overall!$A$34), ROWS(Overall!$L$35:S50))),"")</f>
        <v/>
      </c>
      <c r="I44" s="76" t="str" cm="1">
        <f t="array" ref="I44">IFERROR(INDEX(Overall!J$35:J$71,_xlfn.AGGREGATE(15,3,((Overall!$A$35:$A$71=5)/(Overall!$A$35:$A$71=5)*ROW(Overall!$A$35:$A$71))-ROW(Overall!$A$34), ROWS(Overall!$L$35:T50))),"")</f>
        <v/>
      </c>
      <c r="J44" s="65" t="str" cm="1">
        <f t="array" ref="J44">IFERROR(INDEX(Overall!K$35:K$71,_xlfn.AGGREGATE(15,3,((Overall!$A$35:$A$71=5)/(Overall!$A$35:$A$71=5)*ROW(Overall!$A$35:$A$71))-ROW(Overall!$A$34), ROWS(Overall!$L$35:U50))),"")</f>
        <v/>
      </c>
    </row>
    <row r="46" spans="1:10" x14ac:dyDescent="0.25">
      <c r="A46" s="181" t="s">
        <v>11</v>
      </c>
      <c r="B46" s="181"/>
      <c r="C46" s="181"/>
      <c r="D46" s="181"/>
      <c r="E46" s="181"/>
      <c r="F46" s="181"/>
      <c r="G46" s="181"/>
      <c r="H46" s="181"/>
      <c r="I46" s="183" t="s">
        <v>12</v>
      </c>
      <c r="J46" s="185"/>
    </row>
    <row r="47" spans="1:10" x14ac:dyDescent="0.25">
      <c r="A47" s="123" t="s">
        <v>159</v>
      </c>
      <c r="B47" s="124" t="s">
        <v>46</v>
      </c>
      <c r="C47" s="200" t="s">
        <v>45</v>
      </c>
      <c r="D47" s="201"/>
      <c r="E47" s="192" t="s">
        <v>160</v>
      </c>
      <c r="F47" s="193"/>
      <c r="G47" s="193"/>
      <c r="H47" s="193"/>
      <c r="I47" s="61"/>
      <c r="J47" s="63"/>
    </row>
    <row r="48" spans="1:10" x14ac:dyDescent="0.25">
      <c r="A48" s="78"/>
      <c r="B48" s="83"/>
      <c r="C48" s="202"/>
      <c r="D48" s="203"/>
      <c r="E48" s="112"/>
      <c r="F48" s="112"/>
      <c r="G48" s="112"/>
      <c r="H48" s="113"/>
      <c r="I48" s="61"/>
      <c r="J48" s="63"/>
    </row>
    <row r="49" spans="1:10" x14ac:dyDescent="0.25">
      <c r="A49" s="78"/>
      <c r="B49" s="83"/>
      <c r="C49" s="204"/>
      <c r="D49" s="205"/>
      <c r="F49" s="112"/>
      <c r="G49" s="112"/>
      <c r="H49" s="113"/>
      <c r="I49" s="61"/>
      <c r="J49" s="63"/>
    </row>
    <row r="50" spans="1:10" x14ac:dyDescent="0.25">
      <c r="A50" s="78"/>
      <c r="B50" s="83"/>
      <c r="C50" s="204"/>
      <c r="D50" s="205"/>
      <c r="F50" s="112"/>
      <c r="G50" s="112"/>
      <c r="H50" s="126"/>
      <c r="I50" s="61"/>
      <c r="J50" s="63"/>
    </row>
    <row r="51" spans="1:10" x14ac:dyDescent="0.25">
      <c r="A51" s="78"/>
      <c r="B51" s="83"/>
      <c r="C51" s="194"/>
      <c r="D51" s="195"/>
      <c r="F51" s="188"/>
      <c r="G51" s="188"/>
      <c r="H51"/>
      <c r="I51" s="61"/>
      <c r="J51" s="63"/>
    </row>
    <row r="52" spans="1:10" x14ac:dyDescent="0.25">
      <c r="A52" s="78"/>
      <c r="B52" s="83"/>
      <c r="C52" s="194"/>
      <c r="D52" s="195"/>
      <c r="F52" s="188"/>
      <c r="G52" s="188"/>
      <c r="H52"/>
      <c r="I52" s="61"/>
      <c r="J52" s="63"/>
    </row>
    <row r="53" spans="1:10" x14ac:dyDescent="0.25">
      <c r="A53" s="78"/>
      <c r="B53" s="83"/>
      <c r="C53" s="194"/>
      <c r="D53" s="195"/>
      <c r="F53" s="188"/>
      <c r="G53" s="188"/>
      <c r="H53"/>
      <c r="I53" s="61"/>
      <c r="J53" s="63"/>
    </row>
    <row r="54" spans="1:10" x14ac:dyDescent="0.25">
      <c r="A54" s="78"/>
      <c r="B54" s="83"/>
      <c r="C54" s="194"/>
      <c r="D54" s="195"/>
      <c r="F54" s="188"/>
      <c r="G54" s="188"/>
      <c r="H54"/>
      <c r="I54" s="61"/>
      <c r="J54" s="63"/>
    </row>
    <row r="55" spans="1:10" x14ac:dyDescent="0.25">
      <c r="A55" s="78"/>
      <c r="B55" s="83"/>
      <c r="C55" s="194"/>
      <c r="D55" s="195"/>
      <c r="F55" s="188"/>
      <c r="G55" s="188"/>
      <c r="H55"/>
      <c r="I55" s="61"/>
      <c r="J55" s="63"/>
    </row>
    <row r="56" spans="1:10" x14ac:dyDescent="0.25">
      <c r="A56" s="78"/>
      <c r="B56" s="83"/>
      <c r="C56" s="194"/>
      <c r="D56" s="195"/>
      <c r="F56" s="188"/>
      <c r="G56" s="188"/>
      <c r="H56"/>
      <c r="I56" s="61"/>
      <c r="J56" s="63"/>
    </row>
    <row r="57" spans="1:10" x14ac:dyDescent="0.25">
      <c r="A57" s="78"/>
      <c r="B57" s="83"/>
      <c r="C57" s="194"/>
      <c r="D57" s="195"/>
      <c r="F57" s="188"/>
      <c r="G57" s="188"/>
      <c r="H57"/>
      <c r="I57" s="61"/>
      <c r="J57" s="63"/>
    </row>
    <row r="58" spans="1:10" x14ac:dyDescent="0.25">
      <c r="A58" s="78"/>
      <c r="B58" s="83"/>
      <c r="C58" s="194"/>
      <c r="D58" s="195"/>
      <c r="F58" s="188"/>
      <c r="G58" s="188"/>
      <c r="H58"/>
      <c r="I58" s="61"/>
      <c r="J58" s="63"/>
    </row>
    <row r="59" spans="1:10" x14ac:dyDescent="0.25">
      <c r="A59" s="78"/>
      <c r="B59" s="83"/>
      <c r="C59" s="196"/>
      <c r="D59" s="197"/>
      <c r="F59" s="208"/>
      <c r="G59" s="208"/>
      <c r="H59"/>
      <c r="I59" s="61"/>
      <c r="J59" s="63"/>
    </row>
    <row r="60" spans="1:10" x14ac:dyDescent="0.25">
      <c r="A60" s="78"/>
      <c r="B60" s="83"/>
      <c r="C60" s="196"/>
      <c r="D60" s="197"/>
      <c r="F60" s="208"/>
      <c r="G60" s="208"/>
      <c r="H60"/>
      <c r="I60" s="61"/>
      <c r="J60" s="63"/>
    </row>
    <row r="61" spans="1:10" x14ac:dyDescent="0.25">
      <c r="A61" s="79"/>
      <c r="B61" s="84"/>
      <c r="C61" s="198"/>
      <c r="D61" s="199"/>
      <c r="E61" s="120"/>
      <c r="F61" s="207"/>
      <c r="G61" s="207"/>
      <c r="H61" s="125"/>
      <c r="I61" s="62"/>
      <c r="J61" s="66"/>
    </row>
  </sheetData>
  <mergeCells count="47">
    <mergeCell ref="E47:H47"/>
    <mergeCell ref="F59:G59"/>
    <mergeCell ref="C53:D53"/>
    <mergeCell ref="C54:D54"/>
    <mergeCell ref="C55:D55"/>
    <mergeCell ref="C56:D56"/>
    <mergeCell ref="C47:D47"/>
    <mergeCell ref="C48:D48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F58:G58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A46:H46"/>
    <mergeCell ref="C60:D60"/>
    <mergeCell ref="C61:D61"/>
    <mergeCell ref="C57:D57"/>
    <mergeCell ref="C58:D58"/>
    <mergeCell ref="C59:D59"/>
  </mergeCells>
  <conditionalFormatting sqref="A29:J43">
    <cfRule type="cellIs" dxfId="6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6C70-88CF-4124-8356-ED6C62EA2168}">
  <sheetPr codeName="Sheet8">
    <pageSetUpPr autoPageBreaks="0"/>
  </sheetPr>
  <dimension ref="A1:J61"/>
  <sheetViews>
    <sheetView showGridLines="0" zoomScale="110" zoomScaleNormal="110" workbookViewId="0">
      <selection activeCell="L16" sqref="L16"/>
    </sheetView>
  </sheetViews>
  <sheetFormatPr defaultColWidth="8.85546875" defaultRowHeight="15" x14ac:dyDescent="0.25"/>
  <cols>
    <col min="1" max="1" width="12.85546875" style="58" customWidth="1"/>
    <col min="2" max="4" width="11.140625" style="58" customWidth="1"/>
    <col min="5" max="5" width="2.28515625" style="58" customWidth="1"/>
    <col min="6" max="8" width="11.140625" style="58" customWidth="1"/>
    <col min="9" max="9" width="11" style="58" customWidth="1"/>
    <col min="10" max="10" width="25.7109375" style="58" customWidth="1"/>
    <col min="11" max="11" width="6.28515625" style="58" customWidth="1"/>
    <col min="12" max="16384" width="8.85546875" style="58"/>
  </cols>
  <sheetData>
    <row r="1" spans="1:10" x14ac:dyDescent="0.25">
      <c r="A1" s="160" t="s">
        <v>0</v>
      </c>
      <c r="B1" s="181" t="str">
        <f>Overall!C1</f>
        <v>3/19/23-3/25/23</v>
      </c>
      <c r="C1" s="181"/>
    </row>
    <row r="2" spans="1:10" x14ac:dyDescent="0.25">
      <c r="A2" s="160" t="s">
        <v>177</v>
      </c>
      <c r="B2" s="182">
        <f ca="1">TODAY()</f>
        <v>45015</v>
      </c>
      <c r="C2" s="182"/>
      <c r="F2" s="183" t="s">
        <v>182</v>
      </c>
      <c r="G2" s="184"/>
      <c r="H2" s="184"/>
      <c r="I2" s="185"/>
    </row>
    <row r="3" spans="1:10" x14ac:dyDescent="0.25">
      <c r="A3" s="160" t="s">
        <v>1</v>
      </c>
      <c r="B3" s="206" t="s">
        <v>23</v>
      </c>
      <c r="C3" s="206"/>
      <c r="F3" s="85">
        <f>IFERROR(VLOOKUP($B$3,Totals!$B$3:$C$11,2,0),0)</f>
        <v>0</v>
      </c>
      <c r="G3" s="188" t="s">
        <v>4</v>
      </c>
      <c r="H3" s="188"/>
      <c r="I3" s="189"/>
    </row>
    <row r="4" spans="1:10" x14ac:dyDescent="0.25">
      <c r="F4" s="85">
        <f>VLOOKUP($B$3,Totals!$E$3:$F$12,2,0)</f>
        <v>0</v>
      </c>
      <c r="G4" s="188" t="s">
        <v>5</v>
      </c>
      <c r="H4" s="188"/>
      <c r="I4" s="189"/>
    </row>
    <row r="5" spans="1:10" x14ac:dyDescent="0.25">
      <c r="A5" s="180" t="s">
        <v>13</v>
      </c>
      <c r="B5" s="89" t="s">
        <v>14</v>
      </c>
      <c r="C5" s="90" t="s">
        <v>15</v>
      </c>
      <c r="D5" s="102" t="s">
        <v>16</v>
      </c>
      <c r="F5" s="86">
        <f>IFERROR(VLOOKUP($B$3,Totals!$B$3:$F$11,3,0),0)</f>
        <v>0</v>
      </c>
      <c r="G5" s="190" t="s">
        <v>181</v>
      </c>
      <c r="H5" s="190"/>
      <c r="I5" s="191"/>
    </row>
    <row r="6" spans="1:10" x14ac:dyDescent="0.25">
      <c r="A6" s="180"/>
      <c r="B6" s="87">
        <f>VLOOKUP($B$3,Totals!$V$48:$Y$57,2,0)</f>
        <v>0</v>
      </c>
      <c r="C6" s="82">
        <f>VLOOKUP($B$3,Totals!$V$48:$Y$57,3,0)</f>
        <v>0</v>
      </c>
      <c r="D6" s="105">
        <f>VLOOKUP($B$3,Totals!$V$48:$Y$57,4,0)</f>
        <v>0</v>
      </c>
    </row>
    <row r="7" spans="1:10" x14ac:dyDescent="0.25">
      <c r="G7" s="109" t="s">
        <v>6</v>
      </c>
      <c r="H7" s="110" t="e">
        <f>F3/F4</f>
        <v>#DIV/0!</v>
      </c>
    </row>
    <row r="8" spans="1:10" x14ac:dyDescent="0.25">
      <c r="A8" s="180" t="s">
        <v>2</v>
      </c>
      <c r="B8" s="89" t="s">
        <v>180</v>
      </c>
      <c r="C8" s="101" t="s">
        <v>152</v>
      </c>
      <c r="D8" s="96" t="s">
        <v>28</v>
      </c>
      <c r="G8" s="68" t="s">
        <v>7</v>
      </c>
      <c r="H8" s="67">
        <v>1</v>
      </c>
    </row>
    <row r="9" spans="1:10" x14ac:dyDescent="0.25">
      <c r="A9" s="180"/>
      <c r="B9" s="92">
        <f>IFERROR(VLOOKUP($B$3,Totals!$L$3:$N$11,2,0),0)</f>
        <v>0</v>
      </c>
      <c r="C9" s="93">
        <f>IFERROR(VLOOKUP($B$3,Totals!$L$3:$N$11,3,0),0)</f>
        <v>0</v>
      </c>
      <c r="D9" s="94">
        <f>IFERROR(VLOOKUP('9'!$B$3,Totals!$P$4:$Y$12,10,0),0)</f>
        <v>28.190913604766632</v>
      </c>
      <c r="G9" s="60"/>
      <c r="H9" s="60"/>
    </row>
    <row r="14" spans="1:10" x14ac:dyDescent="0.25">
      <c r="J14" s="60"/>
    </row>
    <row r="15" spans="1:10" x14ac:dyDescent="0.25">
      <c r="J15" s="60"/>
    </row>
    <row r="16" spans="1:10" x14ac:dyDescent="0.25">
      <c r="H16" s="60"/>
      <c r="I16" s="60"/>
      <c r="J16" s="60"/>
    </row>
    <row r="17" spans="1:10" x14ac:dyDescent="0.25">
      <c r="H17" s="60"/>
      <c r="I17" s="60"/>
      <c r="J17" s="60"/>
    </row>
    <row r="18" spans="1:10" x14ac:dyDescent="0.25">
      <c r="H18" s="60"/>
      <c r="I18" s="60"/>
      <c r="J18" s="60"/>
    </row>
    <row r="21" spans="1:10" x14ac:dyDescent="0.25">
      <c r="A21" s="183" t="s">
        <v>8</v>
      </c>
      <c r="B21" s="184"/>
      <c r="C21" s="184"/>
      <c r="D21" s="185"/>
      <c r="F21" s="183" t="s">
        <v>9</v>
      </c>
      <c r="G21" s="184"/>
      <c r="H21" s="184"/>
      <c r="I21" s="185"/>
    </row>
    <row r="22" spans="1:10" x14ac:dyDescent="0.25">
      <c r="A22" s="77">
        <v>1</v>
      </c>
      <c r="B22" s="80">
        <f>VLOOKUP($B$3&amp;A22,Totals!$G$49:$K$73,4,0)</f>
        <v>0</v>
      </c>
      <c r="C22" s="188" t="str">
        <f>VLOOKUP($B$3&amp;A22,Totals!$G$49:$K$73,5,0)</f>
        <v>DNR</v>
      </c>
      <c r="D22" s="189"/>
      <c r="F22" s="77">
        <v>1</v>
      </c>
      <c r="G22" s="80">
        <f>VLOOKUP($B$3&amp;F22,Totals!$M$49:$Q$73,4,0)</f>
        <v>0</v>
      </c>
      <c r="H22" s="188" t="str">
        <f>VLOOKUP($B$3&amp;F22,Totals!$M$49:$Q$73,5,0)</f>
        <v>DNR</v>
      </c>
      <c r="I22" s="189"/>
    </row>
    <row r="23" spans="1:10" x14ac:dyDescent="0.25">
      <c r="A23" s="78">
        <v>2</v>
      </c>
      <c r="B23" s="81">
        <f>VLOOKUP($B$3&amp;A23,Totals!$G$49:$K$73,4,0)</f>
        <v>0</v>
      </c>
      <c r="C23" s="188" t="str">
        <f>VLOOKUP($B$3&amp;A23,Totals!$G$49:$K$73,5,0)</f>
        <v>DNR</v>
      </c>
      <c r="D23" s="189"/>
      <c r="F23" s="78">
        <v>2</v>
      </c>
      <c r="G23" s="81">
        <f>VLOOKUP($B$3&amp;F23,Totals!$M$49:$Q$73,4,0)</f>
        <v>0</v>
      </c>
      <c r="H23" s="188" t="str">
        <f>VLOOKUP($B$3&amp;F23,Totals!$M$49:$Q$73,5,0)</f>
        <v>DNR</v>
      </c>
      <c r="I23" s="189"/>
    </row>
    <row r="24" spans="1:10" x14ac:dyDescent="0.25">
      <c r="A24" s="79">
        <v>3</v>
      </c>
      <c r="B24" s="82">
        <f>VLOOKUP($B$3&amp;A24,Totals!$G$49:$K$73,4,0)</f>
        <v>0</v>
      </c>
      <c r="C24" s="190" t="str">
        <f>VLOOKUP($B$3&amp;A24,Totals!$G$49:$K$73,5,0)</f>
        <v>DNR</v>
      </c>
      <c r="D24" s="191"/>
      <c r="F24" s="79">
        <v>3</v>
      </c>
      <c r="G24" s="82">
        <f>VLOOKUP($B$3&amp;F24,Totals!$M$49:$Q$73,4,0)</f>
        <v>0</v>
      </c>
      <c r="H24" s="190" t="str">
        <f>VLOOKUP($B$3&amp;F24,Totals!$M$49:$Q$73,5,0)</f>
        <v>DNR</v>
      </c>
      <c r="I24" s="191"/>
    </row>
    <row r="25" spans="1:10" x14ac:dyDescent="0.25">
      <c r="C25" s="21"/>
    </row>
    <row r="27" spans="1:10" x14ac:dyDescent="0.25">
      <c r="A27" s="183" t="s">
        <v>10</v>
      </c>
      <c r="B27" s="184"/>
      <c r="C27" s="184"/>
      <c r="D27" s="184"/>
      <c r="E27" s="184"/>
      <c r="F27" s="184"/>
      <c r="G27" s="184"/>
      <c r="H27" s="184"/>
      <c r="I27" s="184"/>
      <c r="J27" s="185"/>
    </row>
    <row r="28" spans="1:10" x14ac:dyDescent="0.25">
      <c r="A28" s="89" t="s">
        <v>46</v>
      </c>
      <c r="B28" s="90" t="s">
        <v>45</v>
      </c>
      <c r="C28" s="90" t="s">
        <v>155</v>
      </c>
      <c r="D28" s="90" t="s">
        <v>156</v>
      </c>
      <c r="E28" s="114"/>
      <c r="F28" s="97" t="s">
        <v>157</v>
      </c>
      <c r="G28" s="90" t="s">
        <v>183</v>
      </c>
      <c r="H28" s="90" t="s">
        <v>158</v>
      </c>
      <c r="I28" s="90" t="s">
        <v>178</v>
      </c>
      <c r="J28" s="115" t="s">
        <v>184</v>
      </c>
    </row>
    <row r="29" spans="1:10" x14ac:dyDescent="0.25">
      <c r="A29" s="149" t="str" cm="1">
        <f t="array" ref="A29">IFERROR(INDEX(Overall!B$35:B$71,_xlfn.AGGREGATE(15,3,((Overall!$A$35:$A$71=9)/(Overall!$A$35:$A$71=9)*ROW(Overall!$A$35:$A$71))-ROW(Overall!$A$34), ROWS(Overall!$L$35:L35))),"")</f>
        <v/>
      </c>
      <c r="B29" s="71" t="str" cm="1">
        <f t="array" ref="B29">IFERROR(INDEX(Overall!C$35:C$71,_xlfn.AGGREGATE(15,3,((Overall!$A$35:$A$71=9)/(Overall!$A$35:$A$71=9)*ROW(Overall!$A$35:$A$71))-ROW(Overall!$A$34), ROWS(Overall!$L$35:M35))),"")</f>
        <v/>
      </c>
      <c r="C29" s="98" t="str" cm="1">
        <f t="array" ref="C29">IFERROR(INDEX(Overall!D$35:D$71,_xlfn.AGGREGATE(15,3,((Overall!$A$35:$A$71=9)/(Overall!$A$35:$A$71=9)*ROW(Overall!$A$35:$A$71))-ROW(Overall!$A$34), ROWS(Overall!$L$35:N35))),"")</f>
        <v/>
      </c>
      <c r="D29" s="73" t="str" cm="1">
        <f t="array" ref="D29">IFERROR(INDEX(Overall!E$35:E$71,_xlfn.AGGREGATE(15,3,((Overall!$A$35:$A$71=9)/(Overall!$A$35:$A$71=9)*ROW(Overall!$A$35:$A$71))-ROW(Overall!$A$34), ROWS(Overall!$L$35:O35))),"")</f>
        <v/>
      </c>
      <c r="E29" s="154" t="str" cm="1">
        <f t="array" ref="E29">IFERROR(INDEX(Overall!F$35:F$71,_xlfn.AGGREGATE(15,3,((Overall!$A$35:$A$71=9)/(Overall!$A$35:$A$71=9)*ROW(Overall!$A$35:$A$71))-ROW(Overall!$A$34), ROWS(Overall!$L$35:P35))),"")</f>
        <v/>
      </c>
      <c r="F29" s="155" t="str" cm="1">
        <f t="array" ref="F29">IFERROR(INDEX(Overall!G$35:G$71,_xlfn.AGGREGATE(15,3,((Overall!$A$35:$A$71=9)/(Overall!$A$35:$A$71=9)*ROW(Overall!$A$35:$A$71))-ROW(Overall!$A$34), ROWS(Overall!$L$35:Q35))),"")</f>
        <v/>
      </c>
      <c r="G29" s="117" t="str" cm="1">
        <f t="array" ref="G29">IFERROR(INDEX(Overall!H$35:H$71,_xlfn.AGGREGATE(15,3,((Overall!$A$35:$A$71=9)/(Overall!$A$35:$A$71=9)*ROW(Overall!$A$35:$A$71))-ROW(Overall!$A$34), ROWS(Overall!$L$35:R35))),"")</f>
        <v/>
      </c>
      <c r="H29" s="117" t="str" cm="1">
        <f t="array" ref="H29">IFERROR(INDEX(Overall!I$35:I$71,_xlfn.AGGREGATE(15,3,((Overall!$A$35:$A$71=9)/(Overall!$A$35:$A$71=9)*ROW(Overall!$A$35:$A$71))-ROW(Overall!$A$34), ROWS(Overall!$L$35:S35))),"")</f>
        <v/>
      </c>
      <c r="I29" s="73" t="str" cm="1">
        <f t="array" ref="I29">IFERROR(INDEX(Overall!J$35:J$71,_xlfn.AGGREGATE(15,3,((Overall!$A$35:$A$71=9)/(Overall!$A$35:$A$71=9)*ROW(Overall!$A$35:$A$71))-ROW(Overall!$A$34), ROWS(Overall!$L$35:T35))),"")</f>
        <v/>
      </c>
      <c r="J29" s="64" t="str" cm="1">
        <f t="array" ref="J29">IFERROR(INDEX(Overall!K$35:K$71,_xlfn.AGGREGATE(15,3,((Overall!$A$35:$A$71=9)/(Overall!$A$35:$A$71=9)*ROW(Overall!$A$35:$A$71))-ROW(Overall!$A$34), ROWS(Overall!$L$35:U35))),"")</f>
        <v/>
      </c>
    </row>
    <row r="30" spans="1:10" x14ac:dyDescent="0.25">
      <c r="A30" s="149" t="str" cm="1">
        <f t="array" ref="A30">IFERROR(INDEX(Overall!B$35:B$71,_xlfn.AGGREGATE(15,3,((Overall!$A$35:$A$71=9)/(Overall!$A$35:$A$71=9)*ROW(Overall!$A$35:$A$71))-ROW(Overall!$A$34), ROWS(Overall!$L$35:L36))),"")</f>
        <v/>
      </c>
      <c r="B30" s="71" t="str" cm="1">
        <f t="array" ref="B30">IFERROR(INDEX(Overall!C$35:C$71,_xlfn.AGGREGATE(15,3,((Overall!$A$35:$A$71=9)/(Overall!$A$35:$A$71=9)*ROW(Overall!$A$35:$A$71))-ROW(Overall!$A$34), ROWS(Overall!$L$35:M36))),"")</f>
        <v/>
      </c>
      <c r="C30" s="98" t="str" cm="1">
        <f t="array" ref="C30">IFERROR(INDEX(Overall!D$35:D$71,_xlfn.AGGREGATE(15,3,((Overall!$A$35:$A$71=9)/(Overall!$A$35:$A$71=9)*ROW(Overall!$A$35:$A$71))-ROW(Overall!$A$34), ROWS(Overall!$L$35:N36))),"")</f>
        <v/>
      </c>
      <c r="D30" s="73" t="str" cm="1">
        <f t="array" ref="D30">IFERROR(INDEX(Overall!E$35:E$71,_xlfn.AGGREGATE(15,3,((Overall!$A$35:$A$71=9)/(Overall!$A$35:$A$71=9)*ROW(Overall!$A$35:$A$71))-ROW(Overall!$A$34), ROWS(Overall!$L$35:O36))),"")</f>
        <v/>
      </c>
      <c r="E30" s="154" t="str" cm="1">
        <f t="array" ref="E30">IFERROR(INDEX(Overall!F$35:F$71,_xlfn.AGGREGATE(15,3,((Overall!$A$35:$A$71=9)/(Overall!$A$35:$A$71=9)*ROW(Overall!$A$35:$A$71))-ROW(Overall!$A$34), ROWS(Overall!$L$35:P36))),"")</f>
        <v/>
      </c>
      <c r="F30" s="155" t="str" cm="1">
        <f t="array" ref="F30">IFERROR(INDEX(Overall!G$35:G$71,_xlfn.AGGREGATE(15,3,((Overall!$A$35:$A$71=9)/(Overall!$A$35:$A$71=9)*ROW(Overall!$A$35:$A$71))-ROW(Overall!$A$34), ROWS(Overall!$L$35:Q36))),"")</f>
        <v/>
      </c>
      <c r="G30" s="117" t="str" cm="1">
        <f t="array" ref="G30">IFERROR(INDEX(Overall!H$35:H$71,_xlfn.AGGREGATE(15,3,((Overall!$A$35:$A$71=9)/(Overall!$A$35:$A$71=9)*ROW(Overall!$A$35:$A$71))-ROW(Overall!$A$34), ROWS(Overall!$L$35:R36))),"")</f>
        <v/>
      </c>
      <c r="H30" s="117" t="str" cm="1">
        <f t="array" ref="H30">IFERROR(INDEX(Overall!I$35:I$71,_xlfn.AGGREGATE(15,3,((Overall!$A$35:$A$71=9)/(Overall!$A$35:$A$71=9)*ROW(Overall!$A$35:$A$71))-ROW(Overall!$A$34), ROWS(Overall!$L$35:S36))),"")</f>
        <v/>
      </c>
      <c r="I30" s="73" t="str" cm="1">
        <f t="array" ref="I30">IFERROR(INDEX(Overall!J$35:J$71,_xlfn.AGGREGATE(15,3,((Overall!$A$35:$A$71=9)/(Overall!$A$35:$A$71=9)*ROW(Overall!$A$35:$A$71))-ROW(Overall!$A$34), ROWS(Overall!$L$35:T36))),"")</f>
        <v/>
      </c>
      <c r="J30" s="64" t="str" cm="1">
        <f t="array" ref="J30">IFERROR(INDEX(Overall!K$35:K$71,_xlfn.AGGREGATE(15,3,((Overall!$A$35:$A$71=9)/(Overall!$A$35:$A$71=9)*ROW(Overall!$A$35:$A$71))-ROW(Overall!$A$34), ROWS(Overall!$L$35:U36))),"")</f>
        <v/>
      </c>
    </row>
    <row r="31" spans="1:10" x14ac:dyDescent="0.25">
      <c r="A31" s="149" t="str" cm="1">
        <f t="array" ref="A31">IFERROR(INDEX(Overall!B$35:B$71,_xlfn.AGGREGATE(15,3,((Overall!$A$35:$A$71=9)/(Overall!$A$35:$A$71=9)*ROW(Overall!$A$35:$A$71))-ROW(Overall!$A$34), ROWS(Overall!$L$35:L37))),"")</f>
        <v/>
      </c>
      <c r="B31" s="71" t="str" cm="1">
        <f t="array" ref="B31">IFERROR(INDEX(Overall!C$35:C$71,_xlfn.AGGREGATE(15,3,((Overall!$A$35:$A$71=9)/(Overall!$A$35:$A$71=9)*ROW(Overall!$A$35:$A$71))-ROW(Overall!$A$34), ROWS(Overall!$L$35:M37))),"")</f>
        <v/>
      </c>
      <c r="C31" s="98" t="str" cm="1">
        <f t="array" ref="C31">IFERROR(INDEX(Overall!D$35:D$71,_xlfn.AGGREGATE(15,3,((Overall!$A$35:$A$71=9)/(Overall!$A$35:$A$71=9)*ROW(Overall!$A$35:$A$71))-ROW(Overall!$A$34), ROWS(Overall!$L$35:N37))),"")</f>
        <v/>
      </c>
      <c r="D31" s="73" t="str" cm="1">
        <f t="array" ref="D31">IFERROR(INDEX(Overall!E$35:E$71,_xlfn.AGGREGATE(15,3,((Overall!$A$35:$A$71=9)/(Overall!$A$35:$A$71=9)*ROW(Overall!$A$35:$A$71))-ROW(Overall!$A$34), ROWS(Overall!$L$35:O37))),"")</f>
        <v/>
      </c>
      <c r="E31" s="154" t="str" cm="1">
        <f t="array" ref="E31">IFERROR(INDEX(Overall!F$35:F$71,_xlfn.AGGREGATE(15,3,((Overall!$A$35:$A$71=9)/(Overall!$A$35:$A$71=9)*ROW(Overall!$A$35:$A$71))-ROW(Overall!$A$34), ROWS(Overall!$L$35:P37))),"")</f>
        <v/>
      </c>
      <c r="F31" s="155" t="str" cm="1">
        <f t="array" ref="F31">IFERROR(INDEX(Overall!G$35:G$71,_xlfn.AGGREGATE(15,3,((Overall!$A$35:$A$71=9)/(Overall!$A$35:$A$71=9)*ROW(Overall!$A$35:$A$71))-ROW(Overall!$A$34), ROWS(Overall!$L$35:Q37))),"")</f>
        <v/>
      </c>
      <c r="G31" s="117" t="str" cm="1">
        <f t="array" ref="G31">IFERROR(INDEX(Overall!H$35:H$71,_xlfn.AGGREGATE(15,3,((Overall!$A$35:$A$71=9)/(Overall!$A$35:$A$71=9)*ROW(Overall!$A$35:$A$71))-ROW(Overall!$A$34), ROWS(Overall!$L$35:R37))),"")</f>
        <v/>
      </c>
      <c r="H31" s="117" t="str" cm="1">
        <f t="array" ref="H31">IFERROR(INDEX(Overall!I$35:I$71,_xlfn.AGGREGATE(15,3,((Overall!$A$35:$A$71=9)/(Overall!$A$35:$A$71=9)*ROW(Overall!$A$35:$A$71))-ROW(Overall!$A$34), ROWS(Overall!$L$35:S37))),"")</f>
        <v/>
      </c>
      <c r="I31" s="73" t="str" cm="1">
        <f t="array" ref="I31">IFERROR(INDEX(Overall!J$35:J$71,_xlfn.AGGREGATE(15,3,((Overall!$A$35:$A$71=9)/(Overall!$A$35:$A$71=9)*ROW(Overall!$A$35:$A$71))-ROW(Overall!$A$34), ROWS(Overall!$L$35:T37))),"")</f>
        <v/>
      </c>
      <c r="J31" s="64" t="str" cm="1">
        <f t="array" ref="J31">IFERROR(INDEX(Overall!K$35:K$71,_xlfn.AGGREGATE(15,3,((Overall!$A$35:$A$71=9)/(Overall!$A$35:$A$71=9)*ROW(Overall!$A$35:$A$71))-ROW(Overall!$A$34), ROWS(Overall!$L$35:U37))),"")</f>
        <v/>
      </c>
    </row>
    <row r="32" spans="1:10" x14ac:dyDescent="0.25">
      <c r="A32" s="149" t="str" cm="1">
        <f t="array" ref="A32">IFERROR(INDEX(Overall!B$35:B$71,_xlfn.AGGREGATE(15,3,((Overall!$A$35:$A$71=9)/(Overall!$A$35:$A$71=9)*ROW(Overall!$A$35:$A$71))-ROW(Overall!$A$34), ROWS(Overall!$L$35:L38))),"")</f>
        <v/>
      </c>
      <c r="B32" s="71" t="str" cm="1">
        <f t="array" ref="B32">IFERROR(INDEX(Overall!C$35:C$71,_xlfn.AGGREGATE(15,3,((Overall!$A$35:$A$71=9)/(Overall!$A$35:$A$71=9)*ROW(Overall!$A$35:$A$71))-ROW(Overall!$A$34), ROWS(Overall!$L$35:M38))),"")</f>
        <v/>
      </c>
      <c r="C32" s="98" t="str" cm="1">
        <f t="array" ref="C32">IFERROR(INDEX(Overall!D$35:D$71,_xlfn.AGGREGATE(15,3,((Overall!$A$35:$A$71=9)/(Overall!$A$35:$A$71=9)*ROW(Overall!$A$35:$A$71))-ROW(Overall!$A$34), ROWS(Overall!$L$35:N38))),"")</f>
        <v/>
      </c>
      <c r="D32" s="73" t="str" cm="1">
        <f t="array" ref="D32">IFERROR(INDEX(Overall!E$35:E$71,_xlfn.AGGREGATE(15,3,((Overall!$A$35:$A$71=9)/(Overall!$A$35:$A$71=9)*ROW(Overall!$A$35:$A$71))-ROW(Overall!$A$34), ROWS(Overall!$L$35:O38))),"")</f>
        <v/>
      </c>
      <c r="E32" s="154" t="str" cm="1">
        <f t="array" ref="E32">IFERROR(INDEX(Overall!F$35:F$71,_xlfn.AGGREGATE(15,3,((Overall!$A$35:$A$71=9)/(Overall!$A$35:$A$71=9)*ROW(Overall!$A$35:$A$71))-ROW(Overall!$A$34), ROWS(Overall!$L$35:P38))),"")</f>
        <v/>
      </c>
      <c r="F32" s="155" t="str" cm="1">
        <f t="array" ref="F32">IFERROR(INDEX(Overall!G$35:G$71,_xlfn.AGGREGATE(15,3,((Overall!$A$35:$A$71=9)/(Overall!$A$35:$A$71=9)*ROW(Overall!$A$35:$A$71))-ROW(Overall!$A$34), ROWS(Overall!$L$35:Q38))),"")</f>
        <v/>
      </c>
      <c r="G32" s="117" t="str" cm="1">
        <f t="array" ref="G32">IFERROR(INDEX(Overall!H$35:H$71,_xlfn.AGGREGATE(15,3,((Overall!$A$35:$A$71=9)/(Overall!$A$35:$A$71=9)*ROW(Overall!$A$35:$A$71))-ROW(Overall!$A$34), ROWS(Overall!$L$35:R38))),"")</f>
        <v/>
      </c>
      <c r="H32" s="117" t="str" cm="1">
        <f t="array" ref="H32">IFERROR(INDEX(Overall!I$35:I$71,_xlfn.AGGREGATE(15,3,((Overall!$A$35:$A$71=9)/(Overall!$A$35:$A$71=9)*ROW(Overall!$A$35:$A$71))-ROW(Overall!$A$34), ROWS(Overall!$L$35:S38))),"")</f>
        <v/>
      </c>
      <c r="I32" s="73" t="str" cm="1">
        <f t="array" ref="I32">IFERROR(INDEX(Overall!J$35:J$71,_xlfn.AGGREGATE(15,3,((Overall!$A$35:$A$71=9)/(Overall!$A$35:$A$71=9)*ROW(Overall!$A$35:$A$71))-ROW(Overall!$A$34), ROWS(Overall!$L$35:T38))),"")</f>
        <v/>
      </c>
      <c r="J32" s="64" t="str" cm="1">
        <f t="array" ref="J32">IFERROR(INDEX(Overall!K$35:K$71,_xlfn.AGGREGATE(15,3,((Overall!$A$35:$A$71=9)/(Overall!$A$35:$A$71=9)*ROW(Overall!$A$35:$A$71))-ROW(Overall!$A$34), ROWS(Overall!$L$35:U38))),"")</f>
        <v/>
      </c>
    </row>
    <row r="33" spans="1:10" x14ac:dyDescent="0.25">
      <c r="A33" s="149" t="str" cm="1">
        <f t="array" ref="A33">IFERROR(INDEX(Overall!B$35:B$71,_xlfn.AGGREGATE(15,3,((Overall!$A$35:$A$71=9)/(Overall!$A$35:$A$71=9)*ROW(Overall!$A$35:$A$71))-ROW(Overall!$A$34), ROWS(Overall!$L$35:L39))),"")</f>
        <v/>
      </c>
      <c r="B33" s="71" t="str" cm="1">
        <f t="array" ref="B33">IFERROR(INDEX(Overall!C$35:C$71,_xlfn.AGGREGATE(15,3,((Overall!$A$35:$A$71=9)/(Overall!$A$35:$A$71=9)*ROW(Overall!$A$35:$A$71))-ROW(Overall!$A$34), ROWS(Overall!$L$35:M39))),"")</f>
        <v/>
      </c>
      <c r="C33" s="98" t="str" cm="1">
        <f t="array" ref="C33">IFERROR(INDEX(Overall!D$35:D$71,_xlfn.AGGREGATE(15,3,((Overall!$A$35:$A$71=9)/(Overall!$A$35:$A$71=9)*ROW(Overall!$A$35:$A$71))-ROW(Overall!$A$34), ROWS(Overall!$L$35:N39))),"")</f>
        <v/>
      </c>
      <c r="D33" s="73" t="str" cm="1">
        <f t="array" ref="D33">IFERROR(INDEX(Overall!E$35:E$71,_xlfn.AGGREGATE(15,3,((Overall!$A$35:$A$71=9)/(Overall!$A$35:$A$71=9)*ROW(Overall!$A$35:$A$71))-ROW(Overall!$A$34), ROWS(Overall!$L$35:O39))),"")</f>
        <v/>
      </c>
      <c r="E33" s="154" t="str" cm="1">
        <f t="array" ref="E33">IFERROR(INDEX(Overall!F$35:F$71,_xlfn.AGGREGATE(15,3,((Overall!$A$35:$A$71=9)/(Overall!$A$35:$A$71=9)*ROW(Overall!$A$35:$A$71))-ROW(Overall!$A$34), ROWS(Overall!$L$35:P39))),"")</f>
        <v/>
      </c>
      <c r="F33" s="155" t="str" cm="1">
        <f t="array" ref="F33">IFERROR(INDEX(Overall!G$35:G$71,_xlfn.AGGREGATE(15,3,((Overall!$A$35:$A$71=9)/(Overall!$A$35:$A$71=9)*ROW(Overall!$A$35:$A$71))-ROW(Overall!$A$34), ROWS(Overall!$L$35:Q39))),"")</f>
        <v/>
      </c>
      <c r="G33" s="117" t="str" cm="1">
        <f t="array" ref="G33">IFERROR(INDEX(Overall!H$35:H$71,_xlfn.AGGREGATE(15,3,((Overall!$A$35:$A$71=9)/(Overall!$A$35:$A$71=9)*ROW(Overall!$A$35:$A$71))-ROW(Overall!$A$34), ROWS(Overall!$L$35:R39))),"")</f>
        <v/>
      </c>
      <c r="H33" s="117" t="str" cm="1">
        <f t="array" ref="H33">IFERROR(INDEX(Overall!I$35:I$71,_xlfn.AGGREGATE(15,3,((Overall!$A$35:$A$71=9)/(Overall!$A$35:$A$71=9)*ROW(Overall!$A$35:$A$71))-ROW(Overall!$A$34), ROWS(Overall!$L$35:S39))),"")</f>
        <v/>
      </c>
      <c r="I33" s="73" t="str" cm="1">
        <f t="array" ref="I33">IFERROR(INDEX(Overall!J$35:J$71,_xlfn.AGGREGATE(15,3,((Overall!$A$35:$A$71=9)/(Overall!$A$35:$A$71=9)*ROW(Overall!$A$35:$A$71))-ROW(Overall!$A$34), ROWS(Overall!$L$35:T39))),"")</f>
        <v/>
      </c>
      <c r="J33" s="64" t="str" cm="1">
        <f t="array" ref="J33">IFERROR(INDEX(Overall!K$35:K$71,_xlfn.AGGREGATE(15,3,((Overall!$A$35:$A$71=9)/(Overall!$A$35:$A$71=9)*ROW(Overall!$A$35:$A$71))-ROW(Overall!$A$34), ROWS(Overall!$L$35:U39))),"")</f>
        <v/>
      </c>
    </row>
    <row r="34" spans="1:10" x14ac:dyDescent="0.25">
      <c r="A34" s="149" t="str" cm="1">
        <f t="array" ref="A34">IFERROR(INDEX(Overall!B$35:B$71,_xlfn.AGGREGATE(15,3,((Overall!$A$35:$A$71=9)/(Overall!$A$35:$A$71=9)*ROW(Overall!$A$35:$A$71))-ROW(Overall!$A$34), ROWS(Overall!$L$35:L40))),"")</f>
        <v/>
      </c>
      <c r="B34" s="71" t="str" cm="1">
        <f t="array" ref="B34">IFERROR(INDEX(Overall!C$35:C$71,_xlfn.AGGREGATE(15,3,((Overall!$A$35:$A$71=9)/(Overall!$A$35:$A$71=9)*ROW(Overall!$A$35:$A$71))-ROW(Overall!$A$34), ROWS(Overall!$L$35:M40))),"")</f>
        <v/>
      </c>
      <c r="C34" s="98" t="str" cm="1">
        <f t="array" ref="C34">IFERROR(INDEX(Overall!D$35:D$71,_xlfn.AGGREGATE(15,3,((Overall!$A$35:$A$71=9)/(Overall!$A$35:$A$71=9)*ROW(Overall!$A$35:$A$71))-ROW(Overall!$A$34), ROWS(Overall!$L$35:N40))),"")</f>
        <v/>
      </c>
      <c r="D34" s="73" t="str" cm="1">
        <f t="array" ref="D34">IFERROR(INDEX(Overall!E$35:E$71,_xlfn.AGGREGATE(15,3,((Overall!$A$35:$A$71=9)/(Overall!$A$35:$A$71=9)*ROW(Overall!$A$35:$A$71))-ROW(Overall!$A$34), ROWS(Overall!$L$35:O40))),"")</f>
        <v/>
      </c>
      <c r="E34" s="154" t="str" cm="1">
        <f t="array" ref="E34">IFERROR(INDEX(Overall!F$35:F$71,_xlfn.AGGREGATE(15,3,((Overall!$A$35:$A$71=9)/(Overall!$A$35:$A$71=9)*ROW(Overall!$A$35:$A$71))-ROW(Overall!$A$34), ROWS(Overall!$L$35:P40))),"")</f>
        <v/>
      </c>
      <c r="F34" s="155" t="str" cm="1">
        <f t="array" ref="F34">IFERROR(INDEX(Overall!G$35:G$71,_xlfn.AGGREGATE(15,3,((Overall!$A$35:$A$71=9)/(Overall!$A$35:$A$71=9)*ROW(Overall!$A$35:$A$71))-ROW(Overall!$A$34), ROWS(Overall!$L$35:Q40))),"")</f>
        <v/>
      </c>
      <c r="G34" s="117" t="str" cm="1">
        <f t="array" ref="G34">IFERROR(INDEX(Overall!H$35:H$71,_xlfn.AGGREGATE(15,3,((Overall!$A$35:$A$71=9)/(Overall!$A$35:$A$71=9)*ROW(Overall!$A$35:$A$71))-ROW(Overall!$A$34), ROWS(Overall!$L$35:R40))),"")</f>
        <v/>
      </c>
      <c r="H34" s="117" t="str" cm="1">
        <f t="array" ref="H34">IFERROR(INDEX(Overall!I$35:I$71,_xlfn.AGGREGATE(15,3,((Overall!$A$35:$A$71=9)/(Overall!$A$35:$A$71=9)*ROW(Overall!$A$35:$A$71))-ROW(Overall!$A$34), ROWS(Overall!$L$35:S40))),"")</f>
        <v/>
      </c>
      <c r="I34" s="73" t="str" cm="1">
        <f t="array" ref="I34">IFERROR(INDEX(Overall!J$35:J$71,_xlfn.AGGREGATE(15,3,((Overall!$A$35:$A$71=9)/(Overall!$A$35:$A$71=9)*ROW(Overall!$A$35:$A$71))-ROW(Overall!$A$34), ROWS(Overall!$L$35:T40))),"")</f>
        <v/>
      </c>
      <c r="J34" s="64" t="str" cm="1">
        <f t="array" ref="J34">IFERROR(INDEX(Overall!K$35:K$71,_xlfn.AGGREGATE(15,3,((Overall!$A$35:$A$71=9)/(Overall!$A$35:$A$71=9)*ROW(Overall!$A$35:$A$71))-ROW(Overall!$A$34), ROWS(Overall!$L$35:U40))),"")</f>
        <v/>
      </c>
    </row>
    <row r="35" spans="1:10" x14ac:dyDescent="0.25">
      <c r="A35" s="149" t="str" cm="1">
        <f t="array" ref="A35">IFERROR(INDEX(Overall!B$35:B$71,_xlfn.AGGREGATE(15,3,((Overall!$A$35:$A$71=9)/(Overall!$A$35:$A$71=9)*ROW(Overall!$A$35:$A$71))-ROW(Overall!$A$34), ROWS(Overall!$L$35:L41))),"")</f>
        <v/>
      </c>
      <c r="B35" s="71" t="str" cm="1">
        <f t="array" ref="B35">IFERROR(INDEX(Overall!C$35:C$71,_xlfn.AGGREGATE(15,3,((Overall!$A$35:$A$71=9)/(Overall!$A$35:$A$71=9)*ROW(Overall!$A$35:$A$71))-ROW(Overall!$A$34), ROWS(Overall!$L$35:M41))),"")</f>
        <v/>
      </c>
      <c r="C35" s="98" t="str" cm="1">
        <f t="array" ref="C35">IFERROR(INDEX(Overall!D$35:D$71,_xlfn.AGGREGATE(15,3,((Overall!$A$35:$A$71=9)/(Overall!$A$35:$A$71=9)*ROW(Overall!$A$35:$A$71))-ROW(Overall!$A$34), ROWS(Overall!$L$35:N41))),"")</f>
        <v/>
      </c>
      <c r="D35" s="73" t="str" cm="1">
        <f t="array" ref="D35">IFERROR(INDEX(Overall!E$35:E$71,_xlfn.AGGREGATE(15,3,((Overall!$A$35:$A$71=9)/(Overall!$A$35:$A$71=9)*ROW(Overall!$A$35:$A$71))-ROW(Overall!$A$34), ROWS(Overall!$L$35:O41))),"")</f>
        <v/>
      </c>
      <c r="E35" s="154" t="str" cm="1">
        <f t="array" ref="E35">IFERROR(INDEX(Overall!F$35:F$71,_xlfn.AGGREGATE(15,3,((Overall!$A$35:$A$71=9)/(Overall!$A$35:$A$71=9)*ROW(Overall!$A$35:$A$71))-ROW(Overall!$A$34), ROWS(Overall!$L$35:P41))),"")</f>
        <v/>
      </c>
      <c r="F35" s="155" t="str" cm="1">
        <f t="array" ref="F35">IFERROR(INDEX(Overall!G$35:G$71,_xlfn.AGGREGATE(15,3,((Overall!$A$35:$A$71=9)/(Overall!$A$35:$A$71=9)*ROW(Overall!$A$35:$A$71))-ROW(Overall!$A$34), ROWS(Overall!$L$35:Q41))),"")</f>
        <v/>
      </c>
      <c r="G35" s="117" t="str" cm="1">
        <f t="array" ref="G35">IFERROR(INDEX(Overall!H$35:H$71,_xlfn.AGGREGATE(15,3,((Overall!$A$35:$A$71=9)/(Overall!$A$35:$A$71=9)*ROW(Overall!$A$35:$A$71))-ROW(Overall!$A$34), ROWS(Overall!$L$35:R41))),"")</f>
        <v/>
      </c>
      <c r="H35" s="117" t="str" cm="1">
        <f t="array" ref="H35">IFERROR(INDEX(Overall!I$35:I$71,_xlfn.AGGREGATE(15,3,((Overall!$A$35:$A$71=9)/(Overall!$A$35:$A$71=9)*ROW(Overall!$A$35:$A$71))-ROW(Overall!$A$34), ROWS(Overall!$L$35:S41))),"")</f>
        <v/>
      </c>
      <c r="I35" s="73" t="str" cm="1">
        <f t="array" ref="I35">IFERROR(INDEX(Overall!J$35:J$71,_xlfn.AGGREGATE(15,3,((Overall!$A$35:$A$71=9)/(Overall!$A$35:$A$71=9)*ROW(Overall!$A$35:$A$71))-ROW(Overall!$A$34), ROWS(Overall!$L$35:T41))),"")</f>
        <v/>
      </c>
      <c r="J35" s="64" t="str" cm="1">
        <f t="array" ref="J35">IFERROR(INDEX(Overall!K$35:K$71,_xlfn.AGGREGATE(15,3,((Overall!$A$35:$A$71=9)/(Overall!$A$35:$A$71=9)*ROW(Overall!$A$35:$A$71))-ROW(Overall!$A$34), ROWS(Overall!$L$35:U41))),"")</f>
        <v/>
      </c>
    </row>
    <row r="36" spans="1:10" x14ac:dyDescent="0.25">
      <c r="A36" s="149" t="str" cm="1">
        <f t="array" ref="A36">IFERROR(INDEX(Overall!B$35:B$71,_xlfn.AGGREGATE(15,3,((Overall!$A$35:$A$71=9)/(Overall!$A$35:$A$71=9)*ROW(Overall!$A$35:$A$71))-ROW(Overall!$A$34), ROWS(Overall!$L$35:L42))),"")</f>
        <v/>
      </c>
      <c r="B36" s="71" t="str" cm="1">
        <f t="array" ref="B36">IFERROR(INDEX(Overall!C$35:C$71,_xlfn.AGGREGATE(15,3,((Overall!$A$35:$A$71=9)/(Overall!$A$35:$A$71=9)*ROW(Overall!$A$35:$A$71))-ROW(Overall!$A$34), ROWS(Overall!$L$35:M42))),"")</f>
        <v/>
      </c>
      <c r="C36" s="98" t="str" cm="1">
        <f t="array" ref="C36">IFERROR(INDEX(Overall!D$35:D$71,_xlfn.AGGREGATE(15,3,((Overall!$A$35:$A$71=9)/(Overall!$A$35:$A$71=9)*ROW(Overall!$A$35:$A$71))-ROW(Overall!$A$34), ROWS(Overall!$L$35:N42))),"")</f>
        <v/>
      </c>
      <c r="D36" s="73" t="str" cm="1">
        <f t="array" ref="D36">IFERROR(INDEX(Overall!E$35:E$71,_xlfn.AGGREGATE(15,3,((Overall!$A$35:$A$71=9)/(Overall!$A$35:$A$71=9)*ROW(Overall!$A$35:$A$71))-ROW(Overall!$A$34), ROWS(Overall!$L$35:O42))),"")</f>
        <v/>
      </c>
      <c r="E36" s="154" t="str" cm="1">
        <f t="array" ref="E36">IFERROR(INDEX(Overall!F$35:F$71,_xlfn.AGGREGATE(15,3,((Overall!$A$35:$A$71=9)/(Overall!$A$35:$A$71=9)*ROW(Overall!$A$35:$A$71))-ROW(Overall!$A$34), ROWS(Overall!$L$35:P42))),"")</f>
        <v/>
      </c>
      <c r="F36" s="155" t="str" cm="1">
        <f t="array" ref="F36">IFERROR(INDEX(Overall!G$35:G$71,_xlfn.AGGREGATE(15,3,((Overall!$A$35:$A$71=9)/(Overall!$A$35:$A$71=9)*ROW(Overall!$A$35:$A$71))-ROW(Overall!$A$34), ROWS(Overall!$L$35:Q42))),"")</f>
        <v/>
      </c>
      <c r="G36" s="117" t="str" cm="1">
        <f t="array" ref="G36">IFERROR(INDEX(Overall!H$35:H$71,_xlfn.AGGREGATE(15,3,((Overall!$A$35:$A$71=9)/(Overall!$A$35:$A$71=9)*ROW(Overall!$A$35:$A$71))-ROW(Overall!$A$34), ROWS(Overall!$L$35:R42))),"")</f>
        <v/>
      </c>
      <c r="H36" s="117" t="str" cm="1">
        <f t="array" ref="H36">IFERROR(INDEX(Overall!I$35:I$71,_xlfn.AGGREGATE(15,3,((Overall!$A$35:$A$71=9)/(Overall!$A$35:$A$71=9)*ROW(Overall!$A$35:$A$71))-ROW(Overall!$A$34), ROWS(Overall!$L$35:S42))),"")</f>
        <v/>
      </c>
      <c r="I36" s="73" t="str" cm="1">
        <f t="array" ref="I36">IFERROR(INDEX(Overall!J$35:J$71,_xlfn.AGGREGATE(15,3,((Overall!$A$35:$A$71=9)/(Overall!$A$35:$A$71=9)*ROW(Overall!$A$35:$A$71))-ROW(Overall!$A$34), ROWS(Overall!$L$35:T42))),"")</f>
        <v/>
      </c>
      <c r="J36" s="64" t="str" cm="1">
        <f t="array" ref="J36">IFERROR(INDEX(Overall!K$35:K$71,_xlfn.AGGREGATE(15,3,((Overall!$A$35:$A$71=9)/(Overall!$A$35:$A$71=9)*ROW(Overall!$A$35:$A$71))-ROW(Overall!$A$34), ROWS(Overall!$L$35:U42))),"")</f>
        <v/>
      </c>
    </row>
    <row r="37" spans="1:10" x14ac:dyDescent="0.25">
      <c r="A37" s="149" t="str" cm="1">
        <f t="array" ref="A37">IFERROR(INDEX(Overall!B$35:B$71,_xlfn.AGGREGATE(15,3,((Overall!$A$35:$A$71=9)/(Overall!$A$35:$A$71=9)*ROW(Overall!$A$35:$A$71))-ROW(Overall!$A$34), ROWS(Overall!$L$35:L43))),"")</f>
        <v/>
      </c>
      <c r="B37" s="71" t="str" cm="1">
        <f t="array" ref="B37">IFERROR(INDEX(Overall!C$35:C$71,_xlfn.AGGREGATE(15,3,((Overall!$A$35:$A$71=9)/(Overall!$A$35:$A$71=9)*ROW(Overall!$A$35:$A$71))-ROW(Overall!$A$34), ROWS(Overall!$L$35:M43))),"")</f>
        <v/>
      </c>
      <c r="C37" s="98" t="str" cm="1">
        <f t="array" ref="C37">IFERROR(INDEX(Overall!D$35:D$71,_xlfn.AGGREGATE(15,3,((Overall!$A$35:$A$71=9)/(Overall!$A$35:$A$71=9)*ROW(Overall!$A$35:$A$71))-ROW(Overall!$A$34), ROWS(Overall!$L$35:N43))),"")</f>
        <v/>
      </c>
      <c r="D37" s="73" t="str" cm="1">
        <f t="array" ref="D37">IFERROR(INDEX(Overall!E$35:E$71,_xlfn.AGGREGATE(15,3,((Overall!$A$35:$A$71=9)/(Overall!$A$35:$A$71=9)*ROW(Overall!$A$35:$A$71))-ROW(Overall!$A$34), ROWS(Overall!$L$35:O43))),"")</f>
        <v/>
      </c>
      <c r="E37" s="154" t="str" cm="1">
        <f t="array" ref="E37">IFERROR(INDEX(Overall!F$35:F$71,_xlfn.AGGREGATE(15,3,((Overall!$A$35:$A$71=9)/(Overall!$A$35:$A$71=9)*ROW(Overall!$A$35:$A$71))-ROW(Overall!$A$34), ROWS(Overall!$L$35:P43))),"")</f>
        <v/>
      </c>
      <c r="F37" s="155" t="str" cm="1">
        <f t="array" ref="F37">IFERROR(INDEX(Overall!G$35:G$71,_xlfn.AGGREGATE(15,3,((Overall!$A$35:$A$71=9)/(Overall!$A$35:$A$71=9)*ROW(Overall!$A$35:$A$71))-ROW(Overall!$A$34), ROWS(Overall!$L$35:Q43))),"")</f>
        <v/>
      </c>
      <c r="G37" s="117" t="str" cm="1">
        <f t="array" ref="G37">IFERROR(INDEX(Overall!H$35:H$71,_xlfn.AGGREGATE(15,3,((Overall!$A$35:$A$71=9)/(Overall!$A$35:$A$71=9)*ROW(Overall!$A$35:$A$71))-ROW(Overall!$A$34), ROWS(Overall!$L$35:R43))),"")</f>
        <v/>
      </c>
      <c r="H37" s="117" t="str" cm="1">
        <f t="array" ref="H37">IFERROR(INDEX(Overall!I$35:I$71,_xlfn.AGGREGATE(15,3,((Overall!$A$35:$A$71=9)/(Overall!$A$35:$A$71=9)*ROW(Overall!$A$35:$A$71))-ROW(Overall!$A$34), ROWS(Overall!$L$35:S43))),"")</f>
        <v/>
      </c>
      <c r="I37" s="73" t="str" cm="1">
        <f t="array" ref="I37">IFERROR(INDEX(Overall!J$35:J$71,_xlfn.AGGREGATE(15,3,((Overall!$A$35:$A$71=9)/(Overall!$A$35:$A$71=9)*ROW(Overall!$A$35:$A$71))-ROW(Overall!$A$34), ROWS(Overall!$L$35:T43))),"")</f>
        <v/>
      </c>
      <c r="J37" s="64" t="str" cm="1">
        <f t="array" ref="J37">IFERROR(INDEX(Overall!K$35:K$71,_xlfn.AGGREGATE(15,3,((Overall!$A$35:$A$71=9)/(Overall!$A$35:$A$71=9)*ROW(Overall!$A$35:$A$71))-ROW(Overall!$A$34), ROWS(Overall!$L$35:U43))),"")</f>
        <v/>
      </c>
    </row>
    <row r="38" spans="1:10" x14ac:dyDescent="0.25">
      <c r="A38" s="149" t="str" cm="1">
        <f t="array" ref="A38">IFERROR(INDEX(Overall!B$35:B$71,_xlfn.AGGREGATE(15,3,((Overall!$A$35:$A$71=9)/(Overall!$A$35:$A$71=9)*ROW(Overall!$A$35:$A$71))-ROW(Overall!$A$34), ROWS(Overall!$L$35:L44))),"")</f>
        <v/>
      </c>
      <c r="B38" s="71" t="str" cm="1">
        <f t="array" ref="B38">IFERROR(INDEX(Overall!C$35:C$71,_xlfn.AGGREGATE(15,3,((Overall!$A$35:$A$71=9)/(Overall!$A$35:$A$71=9)*ROW(Overall!$A$35:$A$71))-ROW(Overall!$A$34), ROWS(Overall!$L$35:M44))),"")</f>
        <v/>
      </c>
      <c r="C38" s="98" t="str" cm="1">
        <f t="array" ref="C38">IFERROR(INDEX(Overall!D$35:D$71,_xlfn.AGGREGATE(15,3,((Overall!$A$35:$A$71=9)/(Overall!$A$35:$A$71=9)*ROW(Overall!$A$35:$A$71))-ROW(Overall!$A$34), ROWS(Overall!$L$35:N44))),"")</f>
        <v/>
      </c>
      <c r="D38" s="73" t="str" cm="1">
        <f t="array" ref="D38">IFERROR(INDEX(Overall!E$35:E$71,_xlfn.AGGREGATE(15,3,((Overall!$A$35:$A$71=9)/(Overall!$A$35:$A$71=9)*ROW(Overall!$A$35:$A$71))-ROW(Overall!$A$34), ROWS(Overall!$L$35:O44))),"")</f>
        <v/>
      </c>
      <c r="E38" s="154" t="str" cm="1">
        <f t="array" ref="E38">IFERROR(INDEX(Overall!F$35:F$71,_xlfn.AGGREGATE(15,3,((Overall!$A$35:$A$71=9)/(Overall!$A$35:$A$71=9)*ROW(Overall!$A$35:$A$71))-ROW(Overall!$A$34), ROWS(Overall!$L$35:P44))),"")</f>
        <v/>
      </c>
      <c r="F38" s="155" t="str" cm="1">
        <f t="array" ref="F38">IFERROR(INDEX(Overall!G$35:G$71,_xlfn.AGGREGATE(15,3,((Overall!$A$35:$A$71=9)/(Overall!$A$35:$A$71=9)*ROW(Overall!$A$35:$A$71))-ROW(Overall!$A$34), ROWS(Overall!$L$35:Q44))),"")</f>
        <v/>
      </c>
      <c r="G38" s="117" t="str" cm="1">
        <f t="array" ref="G38">IFERROR(INDEX(Overall!H$35:H$71,_xlfn.AGGREGATE(15,3,((Overall!$A$35:$A$71=9)/(Overall!$A$35:$A$71=9)*ROW(Overall!$A$35:$A$71))-ROW(Overall!$A$34), ROWS(Overall!$L$35:R44))),"")</f>
        <v/>
      </c>
      <c r="H38" s="117" t="str" cm="1">
        <f t="array" ref="H38">IFERROR(INDEX(Overall!I$35:I$71,_xlfn.AGGREGATE(15,3,((Overall!$A$35:$A$71=9)/(Overall!$A$35:$A$71=9)*ROW(Overall!$A$35:$A$71))-ROW(Overall!$A$34), ROWS(Overall!$L$35:S44))),"")</f>
        <v/>
      </c>
      <c r="I38" s="73" t="str" cm="1">
        <f t="array" ref="I38">IFERROR(INDEX(Overall!J$35:J$71,_xlfn.AGGREGATE(15,3,((Overall!$A$35:$A$71=9)/(Overall!$A$35:$A$71=9)*ROW(Overall!$A$35:$A$71))-ROW(Overall!$A$34), ROWS(Overall!$L$35:T44))),"")</f>
        <v/>
      </c>
      <c r="J38" s="64" t="str" cm="1">
        <f t="array" ref="J38">IFERROR(INDEX(Overall!K$35:K$71,_xlfn.AGGREGATE(15,3,((Overall!$A$35:$A$71=9)/(Overall!$A$35:$A$71=9)*ROW(Overall!$A$35:$A$71))-ROW(Overall!$A$34), ROWS(Overall!$L$35:U44))),"")</f>
        <v/>
      </c>
    </row>
    <row r="39" spans="1:10" x14ac:dyDescent="0.25">
      <c r="A39" s="149" t="str" cm="1">
        <f t="array" ref="A39">IFERROR(INDEX(Overall!B$35:B$71,_xlfn.AGGREGATE(15,3,((Overall!$A$35:$A$71=9)/(Overall!$A$35:$A$71=9)*ROW(Overall!$A$35:$A$71))-ROW(Overall!$A$34), ROWS(Overall!$L$35:L45))),"")</f>
        <v/>
      </c>
      <c r="B39" s="71" t="str" cm="1">
        <f t="array" ref="B39">IFERROR(INDEX(Overall!C$35:C$71,_xlfn.AGGREGATE(15,3,((Overall!$A$35:$A$71=9)/(Overall!$A$35:$A$71=9)*ROW(Overall!$A$35:$A$71))-ROW(Overall!$A$34), ROWS(Overall!$L$35:M45))),"")</f>
        <v/>
      </c>
      <c r="C39" s="98" t="str" cm="1">
        <f t="array" ref="C39">IFERROR(INDEX(Overall!D$35:D$71,_xlfn.AGGREGATE(15,3,((Overall!$A$35:$A$71=9)/(Overall!$A$35:$A$71=9)*ROW(Overall!$A$35:$A$71))-ROW(Overall!$A$34), ROWS(Overall!$L$35:N45))),"")</f>
        <v/>
      </c>
      <c r="D39" s="73" t="str" cm="1">
        <f t="array" ref="D39">IFERROR(INDEX(Overall!E$35:E$71,_xlfn.AGGREGATE(15,3,((Overall!$A$35:$A$71=9)/(Overall!$A$35:$A$71=9)*ROW(Overall!$A$35:$A$71))-ROW(Overall!$A$34), ROWS(Overall!$L$35:O45))),"")</f>
        <v/>
      </c>
      <c r="E39" s="154" t="str" cm="1">
        <f t="array" ref="E39">IFERROR(INDEX(Overall!F$35:F$71,_xlfn.AGGREGATE(15,3,((Overall!$A$35:$A$71=9)/(Overall!$A$35:$A$71=9)*ROW(Overall!$A$35:$A$71))-ROW(Overall!$A$34), ROWS(Overall!$L$35:P45))),"")</f>
        <v/>
      </c>
      <c r="F39" s="155" t="str" cm="1">
        <f t="array" ref="F39">IFERROR(INDEX(Overall!G$35:G$71,_xlfn.AGGREGATE(15,3,((Overall!$A$35:$A$71=9)/(Overall!$A$35:$A$71=9)*ROW(Overall!$A$35:$A$71))-ROW(Overall!$A$34), ROWS(Overall!$L$35:Q45))),"")</f>
        <v/>
      </c>
      <c r="G39" s="117" t="str" cm="1">
        <f t="array" ref="G39">IFERROR(INDEX(Overall!H$35:H$71,_xlfn.AGGREGATE(15,3,((Overall!$A$35:$A$71=9)/(Overall!$A$35:$A$71=9)*ROW(Overall!$A$35:$A$71))-ROW(Overall!$A$34), ROWS(Overall!$L$35:R45))),"")</f>
        <v/>
      </c>
      <c r="H39" s="117" t="str" cm="1">
        <f t="array" ref="H39">IFERROR(INDEX(Overall!I$35:I$71,_xlfn.AGGREGATE(15,3,((Overall!$A$35:$A$71=9)/(Overall!$A$35:$A$71=9)*ROW(Overall!$A$35:$A$71))-ROW(Overall!$A$34), ROWS(Overall!$L$35:S45))),"")</f>
        <v/>
      </c>
      <c r="I39" s="73" t="str" cm="1">
        <f t="array" ref="I39">IFERROR(INDEX(Overall!J$35:J$71,_xlfn.AGGREGATE(15,3,((Overall!$A$35:$A$71=9)/(Overall!$A$35:$A$71=9)*ROW(Overall!$A$35:$A$71))-ROW(Overall!$A$34), ROWS(Overall!$L$35:T45))),"")</f>
        <v/>
      </c>
      <c r="J39" s="64" t="str" cm="1">
        <f t="array" ref="J39">IFERROR(INDEX(Overall!K$35:K$71,_xlfn.AGGREGATE(15,3,((Overall!$A$35:$A$71=9)/(Overall!$A$35:$A$71=9)*ROW(Overall!$A$35:$A$71))-ROW(Overall!$A$34), ROWS(Overall!$L$35:U45))),"")</f>
        <v/>
      </c>
    </row>
    <row r="40" spans="1:10" x14ac:dyDescent="0.25">
      <c r="A40" s="149" t="str" cm="1">
        <f t="array" ref="A40">IFERROR(INDEX(Overall!B$35:B$71,_xlfn.AGGREGATE(15,3,((Overall!$A$35:$A$71=9)/(Overall!$A$35:$A$71=9)*ROW(Overall!$A$35:$A$71))-ROW(Overall!$A$34), ROWS(Overall!$L$35:L46))),"")</f>
        <v/>
      </c>
      <c r="B40" s="71" t="str" cm="1">
        <f t="array" ref="B40">IFERROR(INDEX(Overall!C$35:C$71,_xlfn.AGGREGATE(15,3,((Overall!$A$35:$A$71=9)/(Overall!$A$35:$A$71=9)*ROW(Overall!$A$35:$A$71))-ROW(Overall!$A$34), ROWS(Overall!$L$35:M46))),"")</f>
        <v/>
      </c>
      <c r="C40" s="98" t="str" cm="1">
        <f t="array" ref="C40">IFERROR(INDEX(Overall!D$35:D$71,_xlfn.AGGREGATE(15,3,((Overall!$A$35:$A$71=9)/(Overall!$A$35:$A$71=9)*ROW(Overall!$A$35:$A$71))-ROW(Overall!$A$34), ROWS(Overall!$L$35:N46))),"")</f>
        <v/>
      </c>
      <c r="D40" s="73" t="str" cm="1">
        <f t="array" ref="D40">IFERROR(INDEX(Overall!E$35:E$71,_xlfn.AGGREGATE(15,3,((Overall!$A$35:$A$71=9)/(Overall!$A$35:$A$71=9)*ROW(Overall!$A$35:$A$71))-ROW(Overall!$A$34), ROWS(Overall!$L$35:O46))),"")</f>
        <v/>
      </c>
      <c r="E40" s="154" t="str" cm="1">
        <f t="array" ref="E40">IFERROR(INDEX(Overall!F$35:F$71,_xlfn.AGGREGATE(15,3,((Overall!$A$35:$A$71=9)/(Overall!$A$35:$A$71=9)*ROW(Overall!$A$35:$A$71))-ROW(Overall!$A$34), ROWS(Overall!$L$35:P46))),"")</f>
        <v/>
      </c>
      <c r="F40" s="155" t="str" cm="1">
        <f t="array" ref="F40">IFERROR(INDEX(Overall!G$35:G$71,_xlfn.AGGREGATE(15,3,((Overall!$A$35:$A$71=9)/(Overall!$A$35:$A$71=9)*ROW(Overall!$A$35:$A$71))-ROW(Overall!$A$34), ROWS(Overall!$L$35:Q46))),"")</f>
        <v/>
      </c>
      <c r="G40" s="117" t="str" cm="1">
        <f t="array" ref="G40">IFERROR(INDEX(Overall!H$35:H$71,_xlfn.AGGREGATE(15,3,((Overall!$A$35:$A$71=9)/(Overall!$A$35:$A$71=9)*ROW(Overall!$A$35:$A$71))-ROW(Overall!$A$34), ROWS(Overall!$L$35:R46))),"")</f>
        <v/>
      </c>
      <c r="H40" s="117" t="str" cm="1">
        <f t="array" ref="H40">IFERROR(INDEX(Overall!I$35:I$71,_xlfn.AGGREGATE(15,3,((Overall!$A$35:$A$71=9)/(Overall!$A$35:$A$71=9)*ROW(Overall!$A$35:$A$71))-ROW(Overall!$A$34), ROWS(Overall!$L$35:S46))),"")</f>
        <v/>
      </c>
      <c r="I40" s="73" t="str" cm="1">
        <f t="array" ref="I40">IFERROR(INDEX(Overall!J$35:J$71,_xlfn.AGGREGATE(15,3,((Overall!$A$35:$A$71=9)/(Overall!$A$35:$A$71=9)*ROW(Overall!$A$35:$A$71))-ROW(Overall!$A$34), ROWS(Overall!$L$35:T46))),"")</f>
        <v/>
      </c>
      <c r="J40" s="64" t="str" cm="1">
        <f t="array" ref="J40">IFERROR(INDEX(Overall!K$35:K$71,_xlfn.AGGREGATE(15,3,((Overall!$A$35:$A$71=9)/(Overall!$A$35:$A$71=9)*ROW(Overall!$A$35:$A$71))-ROW(Overall!$A$34), ROWS(Overall!$L$35:U46))),"")</f>
        <v/>
      </c>
    </row>
    <row r="41" spans="1:10" x14ac:dyDescent="0.25">
      <c r="A41" s="149" t="str" cm="1">
        <f t="array" ref="A41">IFERROR(INDEX(Overall!B$35:B$71,_xlfn.AGGREGATE(15,3,((Overall!$A$35:$A$71=9)/(Overall!$A$35:$A$71=9)*ROW(Overall!$A$35:$A$71))-ROW(Overall!$A$34), ROWS(Overall!$L$35:L47))),"")</f>
        <v/>
      </c>
      <c r="B41" s="71" t="str" cm="1">
        <f t="array" ref="B41">IFERROR(INDEX(Overall!C$35:C$71,_xlfn.AGGREGATE(15,3,((Overall!$A$35:$A$71=9)/(Overall!$A$35:$A$71=9)*ROW(Overall!$A$35:$A$71))-ROW(Overall!$A$34), ROWS(Overall!$L$35:M47))),"")</f>
        <v/>
      </c>
      <c r="C41" s="98" t="str" cm="1">
        <f t="array" ref="C41">IFERROR(INDEX(Overall!D$35:D$71,_xlfn.AGGREGATE(15,3,((Overall!$A$35:$A$71=9)/(Overall!$A$35:$A$71=9)*ROW(Overall!$A$35:$A$71))-ROW(Overall!$A$34), ROWS(Overall!$L$35:N47))),"")</f>
        <v/>
      </c>
      <c r="D41" s="73" t="str" cm="1">
        <f t="array" ref="D41">IFERROR(INDEX(Overall!E$35:E$71,_xlfn.AGGREGATE(15,3,((Overall!$A$35:$A$71=9)/(Overall!$A$35:$A$71=9)*ROW(Overall!$A$35:$A$71))-ROW(Overall!$A$34), ROWS(Overall!$L$35:O47))),"")</f>
        <v/>
      </c>
      <c r="E41" s="154" t="str" cm="1">
        <f t="array" ref="E41">IFERROR(INDEX(Overall!F$35:F$71,_xlfn.AGGREGATE(15,3,((Overall!$A$35:$A$71=9)/(Overall!$A$35:$A$71=9)*ROW(Overall!$A$35:$A$71))-ROW(Overall!$A$34), ROWS(Overall!$L$35:P47))),"")</f>
        <v/>
      </c>
      <c r="F41" s="155" t="str" cm="1">
        <f t="array" ref="F41">IFERROR(INDEX(Overall!G$35:G$71,_xlfn.AGGREGATE(15,3,((Overall!$A$35:$A$71=9)/(Overall!$A$35:$A$71=9)*ROW(Overall!$A$35:$A$71))-ROW(Overall!$A$34), ROWS(Overall!$L$35:Q47))),"")</f>
        <v/>
      </c>
      <c r="G41" s="117" t="str" cm="1">
        <f t="array" ref="G41">IFERROR(INDEX(Overall!H$35:H$71,_xlfn.AGGREGATE(15,3,((Overall!$A$35:$A$71=9)/(Overall!$A$35:$A$71=9)*ROW(Overall!$A$35:$A$71))-ROW(Overall!$A$34), ROWS(Overall!$L$35:R47))),"")</f>
        <v/>
      </c>
      <c r="H41" s="117" t="str" cm="1">
        <f t="array" ref="H41">IFERROR(INDEX(Overall!I$35:I$71,_xlfn.AGGREGATE(15,3,((Overall!$A$35:$A$71=9)/(Overall!$A$35:$A$71=9)*ROW(Overall!$A$35:$A$71))-ROW(Overall!$A$34), ROWS(Overall!$L$35:S47))),"")</f>
        <v/>
      </c>
      <c r="I41" s="73" t="str" cm="1">
        <f t="array" ref="I41">IFERROR(INDEX(Overall!J$35:J$71,_xlfn.AGGREGATE(15,3,((Overall!$A$35:$A$71=9)/(Overall!$A$35:$A$71=9)*ROW(Overall!$A$35:$A$71))-ROW(Overall!$A$34), ROWS(Overall!$L$35:T47))),"")</f>
        <v/>
      </c>
      <c r="J41" s="64" t="str" cm="1">
        <f t="array" ref="J41">IFERROR(INDEX(Overall!K$35:K$71,_xlfn.AGGREGATE(15,3,((Overall!$A$35:$A$71=9)/(Overall!$A$35:$A$71=9)*ROW(Overall!$A$35:$A$71))-ROW(Overall!$A$34), ROWS(Overall!$L$35:U47))),"")</f>
        <v/>
      </c>
    </row>
    <row r="42" spans="1:10" x14ac:dyDescent="0.25">
      <c r="A42" s="149" t="str" cm="1">
        <f t="array" ref="A42">IFERROR(INDEX(Overall!B$35:B$71,_xlfn.AGGREGATE(15,3,((Overall!$A$35:$A$71=9)/(Overall!$A$35:$A$71=9)*ROW(Overall!$A$35:$A$71))-ROW(Overall!$A$34), ROWS(Overall!$L$35:L48))),"")</f>
        <v/>
      </c>
      <c r="B42" s="71" t="str" cm="1">
        <f t="array" ref="B42">IFERROR(INDEX(Overall!C$35:C$71,_xlfn.AGGREGATE(15,3,((Overall!$A$35:$A$71=9)/(Overall!$A$35:$A$71=9)*ROW(Overall!$A$35:$A$71))-ROW(Overall!$A$34), ROWS(Overall!$L$35:M48))),"")</f>
        <v/>
      </c>
      <c r="C42" s="98" t="str" cm="1">
        <f t="array" ref="C42">IFERROR(INDEX(Overall!D$35:D$71,_xlfn.AGGREGATE(15,3,((Overall!$A$35:$A$71=9)/(Overall!$A$35:$A$71=9)*ROW(Overall!$A$35:$A$71))-ROW(Overall!$A$34), ROWS(Overall!$L$35:N48))),"")</f>
        <v/>
      </c>
      <c r="D42" s="73" t="str" cm="1">
        <f t="array" ref="D42">IFERROR(INDEX(Overall!E$35:E$71,_xlfn.AGGREGATE(15,3,((Overall!$A$35:$A$71=9)/(Overall!$A$35:$A$71=9)*ROW(Overall!$A$35:$A$71))-ROW(Overall!$A$34), ROWS(Overall!$L$35:O48))),"")</f>
        <v/>
      </c>
      <c r="E42" s="154" t="str" cm="1">
        <f t="array" ref="E42">IFERROR(INDEX(Overall!F$35:F$71,_xlfn.AGGREGATE(15,3,((Overall!$A$35:$A$71=9)/(Overall!$A$35:$A$71=9)*ROW(Overall!$A$35:$A$71))-ROW(Overall!$A$34), ROWS(Overall!$L$35:P48))),"")</f>
        <v/>
      </c>
      <c r="F42" s="155" t="str" cm="1">
        <f t="array" ref="F42">IFERROR(INDEX(Overall!G$35:G$71,_xlfn.AGGREGATE(15,3,((Overall!$A$35:$A$71=9)/(Overall!$A$35:$A$71=9)*ROW(Overall!$A$35:$A$71))-ROW(Overall!$A$34), ROWS(Overall!$L$35:Q48))),"")</f>
        <v/>
      </c>
      <c r="G42" s="117" t="str" cm="1">
        <f t="array" ref="G42">IFERROR(INDEX(Overall!H$35:H$71,_xlfn.AGGREGATE(15,3,((Overall!$A$35:$A$71=9)/(Overall!$A$35:$A$71=9)*ROW(Overall!$A$35:$A$71))-ROW(Overall!$A$34), ROWS(Overall!$L$35:R48))),"")</f>
        <v/>
      </c>
      <c r="H42" s="117" t="str" cm="1">
        <f t="array" ref="H42">IFERROR(INDEX(Overall!I$35:I$71,_xlfn.AGGREGATE(15,3,((Overall!$A$35:$A$71=9)/(Overall!$A$35:$A$71=9)*ROW(Overall!$A$35:$A$71))-ROW(Overall!$A$34), ROWS(Overall!$L$35:S48))),"")</f>
        <v/>
      </c>
      <c r="I42" s="73" t="str" cm="1">
        <f t="array" ref="I42">IFERROR(INDEX(Overall!J$35:J$71,_xlfn.AGGREGATE(15,3,((Overall!$A$35:$A$71=9)/(Overall!$A$35:$A$71=9)*ROW(Overall!$A$35:$A$71))-ROW(Overall!$A$34), ROWS(Overall!$L$35:T48))),"")</f>
        <v/>
      </c>
      <c r="J42" s="64" t="str" cm="1">
        <f t="array" ref="J42">IFERROR(INDEX(Overall!K$35:K$71,_xlfn.AGGREGATE(15,3,((Overall!$A$35:$A$71=9)/(Overall!$A$35:$A$71=9)*ROW(Overall!$A$35:$A$71))-ROW(Overall!$A$34), ROWS(Overall!$L$35:U48))),"")</f>
        <v/>
      </c>
    </row>
    <row r="43" spans="1:10" x14ac:dyDescent="0.25">
      <c r="A43" s="149" t="str" cm="1">
        <f t="array" ref="A43">IFERROR(INDEX(Overall!B$35:B$71,_xlfn.AGGREGATE(15,3,((Overall!$A$35:$A$71=9)/(Overall!$A$35:$A$71=9)*ROW(Overall!$A$35:$A$71))-ROW(Overall!$A$34), ROWS(Overall!$L$35:L49))),"")</f>
        <v/>
      </c>
      <c r="B43" s="71" t="str" cm="1">
        <f t="array" ref="B43">IFERROR(INDEX(Overall!C$35:C$71,_xlfn.AGGREGATE(15,3,((Overall!$A$35:$A$71=9)/(Overall!$A$35:$A$71=9)*ROW(Overall!$A$35:$A$71))-ROW(Overall!$A$34), ROWS(Overall!$L$35:M49))),"")</f>
        <v/>
      </c>
      <c r="C43" s="98" t="str" cm="1">
        <f t="array" ref="C43">IFERROR(INDEX(Overall!D$35:D$71,_xlfn.AGGREGATE(15,3,((Overall!$A$35:$A$71=9)/(Overall!$A$35:$A$71=9)*ROW(Overall!$A$35:$A$71))-ROW(Overall!$A$34), ROWS(Overall!$L$35:N49))),"")</f>
        <v/>
      </c>
      <c r="D43" s="73" t="str" cm="1">
        <f t="array" ref="D43">IFERROR(INDEX(Overall!E$35:E$71,_xlfn.AGGREGATE(15,3,((Overall!$A$35:$A$71=9)/(Overall!$A$35:$A$71=9)*ROW(Overall!$A$35:$A$71))-ROW(Overall!$A$34), ROWS(Overall!$L$35:O49))),"")</f>
        <v/>
      </c>
      <c r="E43" s="154" t="str" cm="1">
        <f t="array" ref="E43">IFERROR(INDEX(Overall!F$35:F$71,_xlfn.AGGREGATE(15,3,((Overall!$A$35:$A$71=9)/(Overall!$A$35:$A$71=9)*ROW(Overall!$A$35:$A$71))-ROW(Overall!$A$34), ROWS(Overall!$L$35:P49))),"")</f>
        <v/>
      </c>
      <c r="F43" s="155" t="str" cm="1">
        <f t="array" ref="F43">IFERROR(INDEX(Overall!G$35:G$71,_xlfn.AGGREGATE(15,3,((Overall!$A$35:$A$71=9)/(Overall!$A$35:$A$71=9)*ROW(Overall!$A$35:$A$71))-ROW(Overall!$A$34), ROWS(Overall!$L$35:Q49))),"")</f>
        <v/>
      </c>
      <c r="G43" s="117" t="str" cm="1">
        <f t="array" ref="G43">IFERROR(INDEX(Overall!H$35:H$71,_xlfn.AGGREGATE(15,3,((Overall!$A$35:$A$71=9)/(Overall!$A$35:$A$71=9)*ROW(Overall!$A$35:$A$71))-ROW(Overall!$A$34), ROWS(Overall!$L$35:R49))),"")</f>
        <v/>
      </c>
      <c r="H43" s="117" t="str" cm="1">
        <f t="array" ref="H43">IFERROR(INDEX(Overall!I$35:I$71,_xlfn.AGGREGATE(15,3,((Overall!$A$35:$A$71=9)/(Overall!$A$35:$A$71=9)*ROW(Overall!$A$35:$A$71))-ROW(Overall!$A$34), ROWS(Overall!$L$35:S49))),"")</f>
        <v/>
      </c>
      <c r="I43" s="73" t="str" cm="1">
        <f t="array" ref="I43">IFERROR(INDEX(Overall!J$35:J$71,_xlfn.AGGREGATE(15,3,((Overall!$A$35:$A$71=9)/(Overall!$A$35:$A$71=9)*ROW(Overall!$A$35:$A$71))-ROW(Overall!$A$34), ROWS(Overall!$L$35:T49))),"")</f>
        <v/>
      </c>
      <c r="J43" s="64" t="str" cm="1">
        <f t="array" ref="J43">IFERROR(INDEX(Overall!K$35:K$71,_xlfn.AGGREGATE(15,3,((Overall!$A$35:$A$71=9)/(Overall!$A$35:$A$71=9)*ROW(Overall!$A$35:$A$71))-ROW(Overall!$A$34), ROWS(Overall!$L$35:U49))),"")</f>
        <v/>
      </c>
    </row>
    <row r="44" spans="1:10" x14ac:dyDescent="0.25">
      <c r="A44" s="99" t="str" cm="1">
        <f t="array" ref="A44">IFERROR(INDEX(Overall!B$35:B$71,_xlfn.AGGREGATE(15,3,((Overall!$A$35:$A$71=9)/(Overall!$A$35:$A$71=9)*ROW(Overall!$A$35:$A$71))-ROW(Overall!$A$34), ROWS(Overall!$L$35:L50))),"")</f>
        <v/>
      </c>
      <c r="B44" s="72" t="str" cm="1">
        <f t="array" ref="B44">IFERROR(INDEX(Overall!C$35:C$71,_xlfn.AGGREGATE(15,3,((Overall!$A$35:$A$71=9)/(Overall!$A$35:$A$71=9)*ROW(Overall!$A$35:$A$71))-ROW(Overall!$A$34), ROWS(Overall!$L$35:M50))),"")</f>
        <v/>
      </c>
      <c r="C44" s="99" t="str" cm="1">
        <f t="array" ref="C44">IFERROR(INDEX(Overall!D$35:D$71,_xlfn.AGGREGATE(15,3,((Overall!$A$35:$A$71=9)/(Overall!$A$35:$A$71=9)*ROW(Overall!$A$35:$A$71))-ROW(Overall!$A$34), ROWS(Overall!$L$35:N50))),"")</f>
        <v/>
      </c>
      <c r="D44" s="74" t="str" cm="1">
        <f t="array" ref="D44">IFERROR(INDEX(Overall!E$35:E$71,_xlfn.AGGREGATE(15,3,((Overall!$A$35:$A$71=9)/(Overall!$A$35:$A$71=9)*ROW(Overall!$A$35:$A$71))-ROW(Overall!$A$34), ROWS(Overall!$L$35:O50))),"")</f>
        <v/>
      </c>
      <c r="E44" s="156" t="str" cm="1">
        <f t="array" ref="E44">IFERROR(INDEX(Overall!F$35:F$71,_xlfn.AGGREGATE(15,3,((Overall!$A$35:$A$71=9)/(Overall!$A$35:$A$71=9)*ROW(Overall!$A$35:$A$71))-ROW(Overall!$A$34), ROWS(Overall!$L$35:P50))),"")</f>
        <v/>
      </c>
      <c r="F44" s="157" t="str" cm="1">
        <f t="array" ref="F44">IFERROR(INDEX(Overall!G$35:G$71,_xlfn.AGGREGATE(15,3,((Overall!$A$35:$A$71=9)/(Overall!$A$35:$A$71=9)*ROW(Overall!$A$35:$A$71))-ROW(Overall!$A$34), ROWS(Overall!$L$35:Q50))),"")</f>
        <v/>
      </c>
      <c r="G44" s="118" t="str" cm="1">
        <f t="array" ref="G44">IFERROR(INDEX(Overall!H$35:H$71,_xlfn.AGGREGATE(15,3,((Overall!$A$35:$A$71=9)/(Overall!$A$35:$A$71=9)*ROW(Overall!$A$35:$A$71))-ROW(Overall!$A$34), ROWS(Overall!$L$35:R50))),"")</f>
        <v/>
      </c>
      <c r="H44" s="118" t="str" cm="1">
        <f t="array" ref="H44">IFERROR(INDEX(Overall!I$35:I$71,_xlfn.AGGREGATE(15,3,((Overall!$A$35:$A$71=9)/(Overall!$A$35:$A$71=9)*ROW(Overall!$A$35:$A$71))-ROW(Overall!$A$34), ROWS(Overall!$L$35:S50))),"")</f>
        <v/>
      </c>
      <c r="I44" s="76" t="str" cm="1">
        <f t="array" ref="I44">IFERROR(INDEX(Overall!J$35:J$71,_xlfn.AGGREGATE(15,3,((Overall!$A$35:$A$71=9)/(Overall!$A$35:$A$71=9)*ROW(Overall!$A$35:$A$71))-ROW(Overall!$A$34), ROWS(Overall!$L$35:T50))),"")</f>
        <v/>
      </c>
      <c r="J44" s="65" t="str" cm="1">
        <f t="array" ref="J44">IFERROR(INDEX(Overall!K$35:K$71,_xlfn.AGGREGATE(15,3,((Overall!$A$35:$A$71=9)/(Overall!$A$35:$A$71=9)*ROW(Overall!$A$35:$A$71))-ROW(Overall!$A$34), ROWS(Overall!$L$35:U50))),"")</f>
        <v/>
      </c>
    </row>
    <row r="46" spans="1:10" x14ac:dyDescent="0.25">
      <c r="A46" s="181" t="s">
        <v>11</v>
      </c>
      <c r="B46" s="181"/>
      <c r="C46" s="181"/>
      <c r="D46" s="181"/>
      <c r="E46" s="181"/>
      <c r="F46" s="181"/>
      <c r="G46" s="181"/>
      <c r="H46" s="181"/>
      <c r="I46" s="183" t="s">
        <v>12</v>
      </c>
      <c r="J46" s="185"/>
    </row>
    <row r="47" spans="1:10" x14ac:dyDescent="0.25">
      <c r="A47" s="123" t="s">
        <v>159</v>
      </c>
      <c r="B47" s="124" t="s">
        <v>46</v>
      </c>
      <c r="C47" s="200" t="s">
        <v>45</v>
      </c>
      <c r="D47" s="201"/>
      <c r="E47" s="192" t="s">
        <v>160</v>
      </c>
      <c r="F47" s="193"/>
      <c r="G47" s="193"/>
      <c r="H47" s="193"/>
      <c r="I47" s="61" t="s">
        <v>188</v>
      </c>
      <c r="J47" s="63"/>
    </row>
    <row r="48" spans="1:10" x14ac:dyDescent="0.25">
      <c r="A48" s="78"/>
      <c r="B48" s="83"/>
      <c r="C48" s="202"/>
      <c r="D48" s="203"/>
      <c r="E48" s="112"/>
      <c r="F48" s="112"/>
      <c r="G48" s="112"/>
      <c r="H48" s="113"/>
      <c r="I48" s="61" t="s">
        <v>189</v>
      </c>
      <c r="J48" s="63"/>
    </row>
    <row r="49" spans="1:10" x14ac:dyDescent="0.25">
      <c r="A49" s="78"/>
      <c r="B49" s="83"/>
      <c r="C49" s="204"/>
      <c r="D49" s="205"/>
      <c r="F49" s="112"/>
      <c r="G49" s="112"/>
      <c r="H49" s="113"/>
      <c r="I49" s="61"/>
      <c r="J49" s="63"/>
    </row>
    <row r="50" spans="1:10" x14ac:dyDescent="0.25">
      <c r="A50" s="78"/>
      <c r="B50" s="83"/>
      <c r="C50" s="204"/>
      <c r="D50" s="205"/>
      <c r="F50" s="112"/>
      <c r="G50" s="112"/>
      <c r="H50" s="126"/>
      <c r="I50" s="61"/>
      <c r="J50" s="63"/>
    </row>
    <row r="51" spans="1:10" x14ac:dyDescent="0.25">
      <c r="A51" s="78"/>
      <c r="B51" s="83"/>
      <c r="C51" s="194"/>
      <c r="D51" s="195"/>
      <c r="F51" s="188"/>
      <c r="G51" s="188"/>
      <c r="H51"/>
      <c r="I51" s="61"/>
      <c r="J51" s="63"/>
    </row>
    <row r="52" spans="1:10" x14ac:dyDescent="0.25">
      <c r="A52" s="78"/>
      <c r="B52" s="83"/>
      <c r="C52" s="194"/>
      <c r="D52" s="195"/>
      <c r="F52" s="188"/>
      <c r="G52" s="188"/>
      <c r="H52"/>
      <c r="I52" s="61"/>
      <c r="J52" s="63"/>
    </row>
    <row r="53" spans="1:10" x14ac:dyDescent="0.25">
      <c r="A53" s="78"/>
      <c r="B53" s="83"/>
      <c r="C53" s="194"/>
      <c r="D53" s="195"/>
      <c r="F53" s="188"/>
      <c r="G53" s="188"/>
      <c r="H53"/>
      <c r="I53" s="61"/>
      <c r="J53" s="63"/>
    </row>
    <row r="54" spans="1:10" x14ac:dyDescent="0.25">
      <c r="A54" s="78"/>
      <c r="B54" s="83"/>
      <c r="C54" s="194"/>
      <c r="D54" s="195"/>
      <c r="F54" s="188"/>
      <c r="G54" s="188"/>
      <c r="H54"/>
      <c r="I54" s="61"/>
      <c r="J54" s="63"/>
    </row>
    <row r="55" spans="1:10" x14ac:dyDescent="0.25">
      <c r="A55" s="78"/>
      <c r="B55" s="83"/>
      <c r="C55" s="194"/>
      <c r="D55" s="195"/>
      <c r="F55" s="188"/>
      <c r="G55" s="188"/>
      <c r="H55"/>
      <c r="I55" s="61"/>
      <c r="J55" s="63"/>
    </row>
    <row r="56" spans="1:10" x14ac:dyDescent="0.25">
      <c r="A56" s="78"/>
      <c r="B56" s="83"/>
      <c r="C56" s="194"/>
      <c r="D56" s="195"/>
      <c r="F56" s="188"/>
      <c r="G56" s="188"/>
      <c r="H56"/>
      <c r="I56" s="61"/>
      <c r="J56" s="63"/>
    </row>
    <row r="57" spans="1:10" x14ac:dyDescent="0.25">
      <c r="A57" s="78"/>
      <c r="B57" s="83"/>
      <c r="C57" s="194"/>
      <c r="D57" s="195"/>
      <c r="F57" s="188"/>
      <c r="G57" s="188"/>
      <c r="H57"/>
      <c r="I57" s="61"/>
      <c r="J57" s="63"/>
    </row>
    <row r="58" spans="1:10" x14ac:dyDescent="0.25">
      <c r="A58" s="78"/>
      <c r="B58" s="83"/>
      <c r="C58" s="194"/>
      <c r="D58" s="195"/>
      <c r="F58" s="188"/>
      <c r="G58" s="188"/>
      <c r="H58"/>
      <c r="I58" s="61"/>
      <c r="J58" s="63"/>
    </row>
    <row r="59" spans="1:10" x14ac:dyDescent="0.25">
      <c r="A59" s="78"/>
      <c r="B59" s="83"/>
      <c r="C59" s="196"/>
      <c r="D59" s="197"/>
      <c r="F59" s="208"/>
      <c r="G59" s="208"/>
      <c r="H59"/>
      <c r="I59" s="61"/>
      <c r="J59" s="63"/>
    </row>
    <row r="60" spans="1:10" x14ac:dyDescent="0.25">
      <c r="A60" s="78"/>
      <c r="B60" s="83"/>
      <c r="C60" s="196"/>
      <c r="D60" s="197"/>
      <c r="F60" s="208"/>
      <c r="G60" s="208"/>
      <c r="H60"/>
      <c r="I60" s="61"/>
      <c r="J60" s="63"/>
    </row>
    <row r="61" spans="1:10" x14ac:dyDescent="0.25">
      <c r="A61" s="79"/>
      <c r="B61" s="84"/>
      <c r="C61" s="198"/>
      <c r="D61" s="199"/>
      <c r="E61" s="120"/>
      <c r="F61" s="207"/>
      <c r="G61" s="207"/>
      <c r="H61" s="125"/>
      <c r="I61" s="62"/>
      <c r="J61" s="66"/>
    </row>
  </sheetData>
  <mergeCells count="47">
    <mergeCell ref="C53:D53"/>
    <mergeCell ref="C54:D54"/>
    <mergeCell ref="C55:D55"/>
    <mergeCell ref="C56:D56"/>
    <mergeCell ref="C47:D47"/>
    <mergeCell ref="C48:D48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F58:G58"/>
    <mergeCell ref="F59:G59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A46:H46"/>
    <mergeCell ref="E47:H47"/>
    <mergeCell ref="C60:D60"/>
    <mergeCell ref="C61:D61"/>
    <mergeCell ref="C57:D57"/>
    <mergeCell ref="C58:D58"/>
    <mergeCell ref="C59:D59"/>
  </mergeCells>
  <conditionalFormatting sqref="A29:J43">
    <cfRule type="cellIs" dxfId="5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EBCB-F425-4311-BD1F-CE568CE85637}">
  <sheetPr codeName="Sheet9">
    <pageSetUpPr autoPageBreaks="0"/>
  </sheetPr>
  <dimension ref="A1:J64"/>
  <sheetViews>
    <sheetView showGridLines="0" zoomScale="110" zoomScaleNormal="110" workbookViewId="0">
      <selection activeCell="K18" sqref="K18"/>
    </sheetView>
  </sheetViews>
  <sheetFormatPr defaultColWidth="8.85546875" defaultRowHeight="15" x14ac:dyDescent="0.25"/>
  <cols>
    <col min="1" max="1" width="12.85546875" style="58" customWidth="1"/>
    <col min="2" max="4" width="11.140625" style="58" customWidth="1"/>
    <col min="5" max="5" width="2.28515625" style="58" customWidth="1"/>
    <col min="6" max="8" width="11.140625" style="58" customWidth="1"/>
    <col min="9" max="9" width="11" style="58" customWidth="1"/>
    <col min="10" max="10" width="25.7109375" style="58" customWidth="1"/>
    <col min="11" max="11" width="6.28515625" style="58" customWidth="1"/>
    <col min="12" max="16384" width="8.85546875" style="58"/>
  </cols>
  <sheetData>
    <row r="1" spans="1:10" x14ac:dyDescent="0.25">
      <c r="A1" s="160" t="s">
        <v>0</v>
      </c>
      <c r="B1" s="181" t="str">
        <f>Overall!C1</f>
        <v>3/19/23-3/25/23</v>
      </c>
      <c r="C1" s="181"/>
    </row>
    <row r="2" spans="1:10" x14ac:dyDescent="0.25">
      <c r="A2" s="160" t="s">
        <v>177</v>
      </c>
      <c r="B2" s="182">
        <f ca="1">TODAY()</f>
        <v>45015</v>
      </c>
      <c r="C2" s="182"/>
      <c r="F2" s="183" t="s">
        <v>182</v>
      </c>
      <c r="G2" s="184"/>
      <c r="H2" s="184"/>
      <c r="I2" s="185"/>
    </row>
    <row r="3" spans="1:10" x14ac:dyDescent="0.25">
      <c r="A3" s="160" t="s">
        <v>1</v>
      </c>
      <c r="B3" s="206" t="s">
        <v>24</v>
      </c>
      <c r="C3" s="206"/>
      <c r="F3" s="85">
        <f>IFERROR(VLOOKUP($B$3,Totals!$B$3:$C$11,2,0),0)</f>
        <v>24034</v>
      </c>
      <c r="G3" s="188" t="s">
        <v>4</v>
      </c>
      <c r="H3" s="188"/>
      <c r="I3" s="189"/>
    </row>
    <row r="4" spans="1:10" x14ac:dyDescent="0.25">
      <c r="F4" s="85">
        <f>VLOOKUP($B$3,Totals!$E$3:$F$12,2,0)</f>
        <v>48002</v>
      </c>
      <c r="G4" s="188" t="s">
        <v>5</v>
      </c>
      <c r="H4" s="188"/>
      <c r="I4" s="189"/>
    </row>
    <row r="5" spans="1:10" x14ac:dyDescent="0.25">
      <c r="A5" s="180" t="s">
        <v>13</v>
      </c>
      <c r="B5" s="89" t="s">
        <v>14</v>
      </c>
      <c r="C5" s="90" t="s">
        <v>15</v>
      </c>
      <c r="D5" s="102" t="s">
        <v>16</v>
      </c>
      <c r="F5" s="86">
        <f>IFERROR(VLOOKUP($B$3,Totals!$B$3:$F$11,3,0),0)</f>
        <v>73992</v>
      </c>
      <c r="G5" s="190" t="s">
        <v>181</v>
      </c>
      <c r="H5" s="190"/>
      <c r="I5" s="191"/>
    </row>
    <row r="6" spans="1:10" x14ac:dyDescent="0.25">
      <c r="A6" s="180"/>
      <c r="B6" s="87">
        <f>VLOOKUP($B$3,Totals!$V$48:$Y$57,2,0)</f>
        <v>3</v>
      </c>
      <c r="C6" s="82">
        <f>VLOOKUP($B$3,Totals!$V$48:$Y$57,3,0)</f>
        <v>3</v>
      </c>
      <c r="D6" s="105">
        <f>VLOOKUP($B$3,Totals!$V$48:$Y$57,4,0)</f>
        <v>3</v>
      </c>
    </row>
    <row r="7" spans="1:10" x14ac:dyDescent="0.25">
      <c r="G7" s="109" t="s">
        <v>6</v>
      </c>
      <c r="H7" s="110">
        <f>F3/F4</f>
        <v>0.50068747135536018</v>
      </c>
    </row>
    <row r="8" spans="1:10" x14ac:dyDescent="0.25">
      <c r="A8" s="180" t="s">
        <v>2</v>
      </c>
      <c r="B8" s="89" t="s">
        <v>180</v>
      </c>
      <c r="C8" s="101" t="s">
        <v>152</v>
      </c>
      <c r="D8" s="96" t="s">
        <v>28</v>
      </c>
      <c r="G8" s="68" t="s">
        <v>7</v>
      </c>
      <c r="H8" s="67">
        <v>1</v>
      </c>
    </row>
    <row r="9" spans="1:10" x14ac:dyDescent="0.25">
      <c r="A9" s="180"/>
      <c r="B9" s="92">
        <f>IFERROR(VLOOKUP($B$3,Totals!$L$3:$N$11,2,0),0)</f>
        <v>6.729712987817468</v>
      </c>
      <c r="C9" s="93">
        <f>IFERROR(VLOOKUP($B$3,Totals!$L$3:$N$11,3,0),0)</f>
        <v>32.481889934046926</v>
      </c>
      <c r="D9" s="94">
        <f>IFERROR(VLOOKUP('10'!$B$3,Totals!$P$4:$Y$12,10,0),0)</f>
        <v>30.087901592188302</v>
      </c>
      <c r="G9" s="60"/>
      <c r="H9" s="60"/>
    </row>
    <row r="14" spans="1:10" x14ac:dyDescent="0.25">
      <c r="J14" s="60"/>
    </row>
    <row r="15" spans="1:10" x14ac:dyDescent="0.25">
      <c r="J15" s="60"/>
    </row>
    <row r="16" spans="1:10" x14ac:dyDescent="0.25">
      <c r="H16" s="60"/>
      <c r="I16" s="60"/>
      <c r="J16" s="60"/>
    </row>
    <row r="17" spans="1:10" x14ac:dyDescent="0.25">
      <c r="H17" s="60"/>
      <c r="I17" s="60"/>
      <c r="J17" s="60"/>
    </row>
    <row r="18" spans="1:10" x14ac:dyDescent="0.25">
      <c r="H18" s="60"/>
      <c r="I18" s="60"/>
      <c r="J18" s="60"/>
    </row>
    <row r="21" spans="1:10" x14ac:dyDescent="0.25">
      <c r="A21" s="183" t="s">
        <v>8</v>
      </c>
      <c r="B21" s="184"/>
      <c r="C21" s="184"/>
      <c r="D21" s="185"/>
      <c r="F21" s="183" t="s">
        <v>9</v>
      </c>
      <c r="G21" s="184"/>
      <c r="H21" s="184"/>
      <c r="I21" s="185"/>
    </row>
    <row r="22" spans="1:10" x14ac:dyDescent="0.25">
      <c r="A22" s="77">
        <v>1</v>
      </c>
      <c r="B22" s="80">
        <f>VLOOKUP($B$3&amp;A22,Totals!$G$49:$K$73,4,0)</f>
        <v>105</v>
      </c>
      <c r="C22" s="188" t="str">
        <f>VLOOKUP($B$3&amp;A22,Totals!$G$49:$K$73,5,0)</f>
        <v>Cleaner</v>
      </c>
      <c r="D22" s="189"/>
      <c r="F22" s="77">
        <v>1</v>
      </c>
      <c r="G22" s="80">
        <f>VLOOKUP($B$3&amp;F22,Totals!$M$49:$Q$73,4,0)</f>
        <v>326</v>
      </c>
      <c r="H22" s="188" t="str">
        <f>VLOOKUP($B$3&amp;F22,Totals!$M$49:$Q$73,5,0)</f>
        <v>Labeler</v>
      </c>
      <c r="I22" s="189"/>
    </row>
    <row r="23" spans="1:10" x14ac:dyDescent="0.25">
      <c r="A23" s="78">
        <v>2</v>
      </c>
      <c r="B23" s="81">
        <f>VLOOKUP($B$3&amp;A23,Totals!$G$49:$K$73,4,0)</f>
        <v>75</v>
      </c>
      <c r="C23" s="188" t="str">
        <f>VLOOKUP($B$3&amp;A23,Totals!$G$49:$K$73,5,0)</f>
        <v>Labeler</v>
      </c>
      <c r="D23" s="189"/>
      <c r="F23" s="78">
        <v>2</v>
      </c>
      <c r="G23" s="81">
        <f>VLOOKUP($B$3&amp;F23,Totals!$M$49:$Q$73,4,0)</f>
        <v>143</v>
      </c>
      <c r="H23" s="188" t="str">
        <f>VLOOKUP($B$3&amp;F23,Totals!$M$49:$Q$73,5,0)</f>
        <v>Cleaner</v>
      </c>
      <c r="I23" s="189"/>
    </row>
    <row r="24" spans="1:10" x14ac:dyDescent="0.25">
      <c r="A24" s="79">
        <v>3</v>
      </c>
      <c r="B24" s="82">
        <f>VLOOKUP($B$3&amp;A24,Totals!$G$49:$K$73,4,0)</f>
        <v>46</v>
      </c>
      <c r="C24" s="190" t="str">
        <f>VLOOKUP($B$3&amp;A24,Totals!$G$49:$K$73,5,0)</f>
        <v>Wash</v>
      </c>
      <c r="D24" s="191"/>
      <c r="F24" s="79">
        <v>3</v>
      </c>
      <c r="G24" s="82">
        <f>VLOOKUP($B$3&amp;F24,Totals!$M$49:$Q$73,4,0)</f>
        <v>103</v>
      </c>
      <c r="H24" s="190" t="str">
        <f>VLOOKUP($B$3&amp;F24,Totals!$M$49:$Q$73,5,0)</f>
        <v>Partitioner</v>
      </c>
      <c r="I24" s="191"/>
    </row>
    <row r="25" spans="1:10" x14ac:dyDescent="0.25">
      <c r="C25" s="21"/>
    </row>
    <row r="27" spans="1:10" x14ac:dyDescent="0.25">
      <c r="A27" s="181" t="s">
        <v>10</v>
      </c>
      <c r="B27" s="181"/>
      <c r="C27" s="181"/>
      <c r="D27" s="181"/>
      <c r="E27" s="181"/>
      <c r="F27" s="181"/>
      <c r="G27" s="181"/>
      <c r="H27" s="181"/>
      <c r="I27" s="181"/>
      <c r="J27" s="181"/>
    </row>
    <row r="28" spans="1:10" x14ac:dyDescent="0.25">
      <c r="A28" s="89" t="s">
        <v>46</v>
      </c>
      <c r="B28" s="90" t="s">
        <v>45</v>
      </c>
      <c r="C28" s="90" t="s">
        <v>155</v>
      </c>
      <c r="D28" s="90" t="s">
        <v>156</v>
      </c>
      <c r="E28" s="101"/>
      <c r="F28" s="97" t="s">
        <v>157</v>
      </c>
      <c r="G28" s="90" t="s">
        <v>183</v>
      </c>
      <c r="H28" s="90" t="s">
        <v>158</v>
      </c>
      <c r="I28" s="90" t="s">
        <v>178</v>
      </c>
      <c r="J28" s="102" t="s">
        <v>184</v>
      </c>
    </row>
    <row r="29" spans="1:10" x14ac:dyDescent="0.25">
      <c r="A29" s="149" t="str" cm="1">
        <f t="array" ref="A29">IFERROR(INDEX(Overall!B$35:B$71,_xlfn.AGGREGATE(15,3,((Overall!$A$35:$A$71=10)/(Overall!$A$35:$A$71=10)*ROW(Overall!$A$35:$A$71))-ROW(Overall!$A$34), ROWS(Overall!$L$35:L35))),"")</f>
        <v>C</v>
      </c>
      <c r="B29" s="71" cm="1">
        <f t="array" ref="B29">IFERROR(INDEX(Overall!C$35:C$71,_xlfn.AGGREGATE(15,3,((Overall!$A$35:$A$71=10)/(Overall!$A$35:$A$71=10)*ROW(Overall!$A$35:$A$71))-ROW(Overall!$A$34), ROWS(Overall!$L$35:M35))),"")</f>
        <v>45012</v>
      </c>
      <c r="C29" s="98" cm="1">
        <f t="array" ref="C29">IFERROR(INDEX(Overall!D$35:D$71,_xlfn.AGGREGATE(15,3,((Overall!$A$35:$A$71=10)/(Overall!$A$35:$A$71=10)*ROW(Overall!$A$35:$A$71))-ROW(Overall!$A$34), ROWS(Overall!$L$35:N35))),"")</f>
        <v>425872</v>
      </c>
      <c r="D29" s="73" t="str" cm="1">
        <f t="array" ref="D29">IFERROR(INDEX(Overall!E$35:E$71,_xlfn.AGGREGATE(15,3,((Overall!$A$35:$A$71=10)/(Overall!$A$35:$A$71=10)*ROW(Overall!$A$35:$A$71))-ROW(Overall!$A$34), ROWS(Overall!$L$35:O35))),"")</f>
        <v>BTL190907</v>
      </c>
      <c r="E29" s="154" cm="1">
        <f t="array" ref="E29">IFERROR(INDEX(Overall!F$35:F$71,_xlfn.AGGREGATE(15,3,((Overall!$A$35:$A$71=10)/(Overall!$A$35:$A$71=10)*ROW(Overall!$A$35:$A$71))-ROW(Overall!$A$34), ROWS(Overall!$L$35:P35))),"")</f>
        <v>0</v>
      </c>
      <c r="F29" s="155" cm="1">
        <f t="array" ref="F29">IFERROR(INDEX(Overall!G$35:G$71,_xlfn.AGGREGATE(15,3,((Overall!$A$35:$A$71=10)/(Overall!$A$35:$A$71=10)*ROW(Overall!$A$35:$A$71))-ROW(Overall!$A$34), ROWS(Overall!$L$35:Q35))),"")</f>
        <v>46414</v>
      </c>
      <c r="G29" s="117" cm="1">
        <f t="array" ref="G29">IFERROR(INDEX(Overall!H$35:H$71,_xlfn.AGGREGATE(15,3,((Overall!$A$35:$A$71=10)/(Overall!$A$35:$A$71=10)*ROW(Overall!$A$35:$A$71))-ROW(Overall!$A$34), ROWS(Overall!$L$35:R35))),"")</f>
        <v>33540</v>
      </c>
      <c r="H29" s="117" cm="1">
        <f t="array" ref="H29">IFERROR(INDEX(Overall!I$35:I$71,_xlfn.AGGREGATE(15,3,((Overall!$A$35:$A$71=10)/(Overall!$A$35:$A$71=10)*ROW(Overall!$A$35:$A$71))-ROW(Overall!$A$34), ROWS(Overall!$L$35:S35))),"")</f>
        <v>12874</v>
      </c>
      <c r="I29" s="73" t="str" cm="1">
        <f t="array" ref="I29">IFERROR(INDEX(Overall!J$35:J$71,_xlfn.AGGREGATE(15,3,((Overall!$A$35:$A$71=10)/(Overall!$A$35:$A$71=10)*ROW(Overall!$A$35:$A$71))-ROW(Overall!$A$34), ROWS(Overall!$L$35:T35))),"")</f>
        <v>DHOWAR01</v>
      </c>
      <c r="J29" s="64" cm="1">
        <f t="array" ref="J29">IFERROR(INDEX(Overall!K$35:K$71,_xlfn.AGGREGATE(15,3,((Overall!$A$35:$A$71=10)/(Overall!$A$35:$A$71=10)*ROW(Overall!$A$35:$A$71))-ROW(Overall!$A$34), ROWS(Overall!$L$35:U35))),"")</f>
        <v>0</v>
      </c>
    </row>
    <row r="30" spans="1:10" x14ac:dyDescent="0.25">
      <c r="A30" s="149" t="str" cm="1">
        <f t="array" ref="A30">IFERROR(INDEX(Overall!B$35:B$71,_xlfn.AGGREGATE(15,3,((Overall!$A$35:$A$71=10)/(Overall!$A$35:$A$71=10)*ROW(Overall!$A$35:$A$71))-ROW(Overall!$A$34), ROWS(Overall!$L$35:L36))),"")</f>
        <v>C</v>
      </c>
      <c r="B30" s="71" cm="1">
        <f t="array" ref="B30">IFERROR(INDEX(Overall!C$35:C$71,_xlfn.AGGREGATE(15,3,((Overall!$A$35:$A$71=10)/(Overall!$A$35:$A$71=10)*ROW(Overall!$A$35:$A$71))-ROW(Overall!$A$34), ROWS(Overall!$L$35:M36))),"")</f>
        <v>45013</v>
      </c>
      <c r="C30" s="98" cm="1">
        <f t="array" ref="C30">IFERROR(INDEX(Overall!D$35:D$71,_xlfn.AGGREGATE(15,3,((Overall!$A$35:$A$71=10)/(Overall!$A$35:$A$71=10)*ROW(Overall!$A$35:$A$71))-ROW(Overall!$A$34), ROWS(Overall!$L$35:N36))),"")</f>
        <v>417516</v>
      </c>
      <c r="D30" s="73" t="str" cm="1">
        <f t="array" ref="D30">IFERROR(INDEX(Overall!E$35:E$71,_xlfn.AGGREGATE(15,3,((Overall!$A$35:$A$71=10)/(Overall!$A$35:$A$71=10)*ROW(Overall!$A$35:$A$71))-ROW(Overall!$A$34), ROWS(Overall!$L$35:O36))),"")</f>
        <v>CLO203435</v>
      </c>
      <c r="E30" s="154" cm="1">
        <f t="array" ref="E30">IFERROR(INDEX(Overall!F$35:F$71,_xlfn.AGGREGATE(15,3,((Overall!$A$35:$A$71=10)/(Overall!$A$35:$A$71=10)*ROW(Overall!$A$35:$A$71))-ROW(Overall!$A$34), ROWS(Overall!$L$35:P36))),"")</f>
        <v>0</v>
      </c>
      <c r="F30" s="155" cm="1">
        <f t="array" ref="F30">IFERROR(INDEX(Overall!G$35:G$71,_xlfn.AGGREGATE(15,3,((Overall!$A$35:$A$71=10)/(Overall!$A$35:$A$71=10)*ROW(Overall!$A$35:$A$71))-ROW(Overall!$A$34), ROWS(Overall!$L$35:Q36))),"")</f>
        <v>82405</v>
      </c>
      <c r="G30" s="117" cm="1">
        <f t="array" ref="G30">IFERROR(INDEX(Overall!H$35:H$71,_xlfn.AGGREGATE(15,3,((Overall!$A$35:$A$71=10)/(Overall!$A$35:$A$71=10)*ROW(Overall!$A$35:$A$71))-ROW(Overall!$A$34), ROWS(Overall!$L$35:R36))),"")</f>
        <v>88639</v>
      </c>
      <c r="H30" s="117" cm="1">
        <f t="array" ref="H30">IFERROR(INDEX(Overall!I$35:I$71,_xlfn.AGGREGATE(15,3,((Overall!$A$35:$A$71=10)/(Overall!$A$35:$A$71=10)*ROW(Overall!$A$35:$A$71))-ROW(Overall!$A$34), ROWS(Overall!$L$35:S36))),"")</f>
        <v>-6234</v>
      </c>
      <c r="I30" s="73" t="str" cm="1">
        <f t="array" ref="I30">IFERROR(INDEX(Overall!J$35:J$71,_xlfn.AGGREGATE(15,3,((Overall!$A$35:$A$71=10)/(Overall!$A$35:$A$71=10)*ROW(Overall!$A$35:$A$71))-ROW(Overall!$A$34), ROWS(Overall!$L$35:T36))),"")</f>
        <v>PR043354</v>
      </c>
      <c r="J30" s="64" cm="1">
        <f t="array" ref="J30">IFERROR(INDEX(Overall!K$35:K$71,_xlfn.AGGREGATE(15,3,((Overall!$A$35:$A$71=10)/(Overall!$A$35:$A$71=10)*ROW(Overall!$A$35:$A$71))-ROW(Overall!$A$34), ROWS(Overall!$L$35:U36))),"")</f>
        <v>0</v>
      </c>
    </row>
    <row r="31" spans="1:10" x14ac:dyDescent="0.25">
      <c r="A31" s="149" t="str" cm="1">
        <f t="array" ref="A31">IFERROR(INDEX(Overall!B$35:B$71,_xlfn.AGGREGATE(15,3,((Overall!$A$35:$A$71=10)/(Overall!$A$35:$A$71=10)*ROW(Overall!$A$35:$A$71))-ROW(Overall!$A$34), ROWS(Overall!$L$35:L37))),"")</f>
        <v>B &amp; C</v>
      </c>
      <c r="B31" s="71" cm="1">
        <f t="array" ref="B31">IFERROR(INDEX(Overall!C$35:C$71,_xlfn.AGGREGATE(15,3,((Overall!$A$35:$A$71=10)/(Overall!$A$35:$A$71=10)*ROW(Overall!$A$35:$A$71))-ROW(Overall!$A$34), ROWS(Overall!$L$35:M37))),"")</f>
        <v>45014</v>
      </c>
      <c r="C31" s="98" cm="1">
        <f t="array" ref="C31">IFERROR(INDEX(Overall!D$35:D$71,_xlfn.AGGREGATE(15,3,((Overall!$A$35:$A$71=10)/(Overall!$A$35:$A$71=10)*ROW(Overall!$A$35:$A$71))-ROW(Overall!$A$34), ROWS(Overall!$L$35:N37))),"")</f>
        <v>425332</v>
      </c>
      <c r="D31" s="73" t="str" cm="1">
        <f t="array" ref="D31">IFERROR(INDEX(Overall!E$35:E$71,_xlfn.AGGREGATE(15,3,((Overall!$A$35:$A$71=10)/(Overall!$A$35:$A$71=10)*ROW(Overall!$A$35:$A$71))-ROW(Overall!$A$34), ROWS(Overall!$L$35:O37))),"")</f>
        <v>PTN194560</v>
      </c>
      <c r="E31" s="154" cm="1">
        <f t="array" ref="E31">IFERROR(INDEX(Overall!F$35:F$71,_xlfn.AGGREGATE(15,3,((Overall!$A$35:$A$71=10)/(Overall!$A$35:$A$71=10)*ROW(Overall!$A$35:$A$71))-ROW(Overall!$A$34), ROWS(Overall!$L$35:P37))),"")</f>
        <v>0</v>
      </c>
      <c r="F31" s="155" cm="1">
        <f t="array" ref="F31">IFERROR(INDEX(Overall!G$35:G$71,_xlfn.AGGREGATE(15,3,((Overall!$A$35:$A$71=10)/(Overall!$A$35:$A$71=10)*ROW(Overall!$A$35:$A$71))-ROW(Overall!$A$34), ROWS(Overall!$L$35:Q37))),"")</f>
        <v>477</v>
      </c>
      <c r="G31" s="117" cm="1">
        <f t="array" ref="G31">IFERROR(INDEX(Overall!H$35:H$71,_xlfn.AGGREGATE(15,3,((Overall!$A$35:$A$71=10)/(Overall!$A$35:$A$71=10)*ROW(Overall!$A$35:$A$71))-ROW(Overall!$A$34), ROWS(Overall!$L$35:R37))),"")</f>
        <v>1391</v>
      </c>
      <c r="H31" s="117" cm="1">
        <f t="array" ref="H31">IFERROR(INDEX(Overall!I$35:I$71,_xlfn.AGGREGATE(15,3,((Overall!$A$35:$A$71=10)/(Overall!$A$35:$A$71=10)*ROW(Overall!$A$35:$A$71))-ROW(Overall!$A$34), ROWS(Overall!$L$35:S37))),"")</f>
        <v>-914</v>
      </c>
      <c r="I31" s="73" t="str" cm="1">
        <f t="array" ref="I31">IFERROR(INDEX(Overall!J$35:J$71,_xlfn.AGGREGATE(15,3,((Overall!$A$35:$A$71=10)/(Overall!$A$35:$A$71=10)*ROW(Overall!$A$35:$A$71))-ROW(Overall!$A$34), ROWS(Overall!$L$35:T37))),"")</f>
        <v>PR055469</v>
      </c>
      <c r="J31" s="64" cm="1">
        <f t="array" ref="J31">IFERROR(INDEX(Overall!K$35:K$71,_xlfn.AGGREGATE(15,3,((Overall!$A$35:$A$71=10)/(Overall!$A$35:$A$71=10)*ROW(Overall!$A$35:$A$71))-ROW(Overall!$A$34), ROWS(Overall!$L$35:U37))),"")</f>
        <v>0</v>
      </c>
    </row>
    <row r="32" spans="1:10" x14ac:dyDescent="0.25">
      <c r="A32" s="149" t="str" cm="1">
        <f t="array" ref="A32">IFERROR(INDEX(Overall!B$35:B$71,_xlfn.AGGREGATE(15,3,((Overall!$A$35:$A$71=10)/(Overall!$A$35:$A$71=10)*ROW(Overall!$A$35:$A$71))-ROW(Overall!$A$34), ROWS(Overall!$L$35:L38))),"")</f>
        <v/>
      </c>
      <c r="B32" s="71" t="str" cm="1">
        <f t="array" ref="B32">IFERROR(INDEX(Overall!C$35:C$71,_xlfn.AGGREGATE(15,3,((Overall!$A$35:$A$71=10)/(Overall!$A$35:$A$71=10)*ROW(Overall!$A$35:$A$71))-ROW(Overall!$A$34), ROWS(Overall!$L$35:M38))),"")</f>
        <v/>
      </c>
      <c r="C32" s="98" t="str" cm="1">
        <f t="array" ref="C32">IFERROR(INDEX(Overall!D$35:D$71,_xlfn.AGGREGATE(15,3,((Overall!$A$35:$A$71=10)/(Overall!$A$35:$A$71=10)*ROW(Overall!$A$35:$A$71))-ROW(Overall!$A$34), ROWS(Overall!$L$35:N38))),"")</f>
        <v/>
      </c>
      <c r="D32" s="73" t="str" cm="1">
        <f t="array" ref="D32">IFERROR(INDEX(Overall!E$35:E$71,_xlfn.AGGREGATE(15,3,((Overall!$A$35:$A$71=10)/(Overall!$A$35:$A$71=10)*ROW(Overall!$A$35:$A$71))-ROW(Overall!$A$34), ROWS(Overall!$L$35:O38))),"")</f>
        <v/>
      </c>
      <c r="E32" s="154" t="str" cm="1">
        <f t="array" ref="E32">IFERROR(INDEX(Overall!F$35:F$71,_xlfn.AGGREGATE(15,3,((Overall!$A$35:$A$71=10)/(Overall!$A$35:$A$71=10)*ROW(Overall!$A$35:$A$71))-ROW(Overall!$A$34), ROWS(Overall!$L$35:P38))),"")</f>
        <v/>
      </c>
      <c r="F32" s="155" t="str" cm="1">
        <f t="array" ref="F32">IFERROR(INDEX(Overall!G$35:G$71,_xlfn.AGGREGATE(15,3,((Overall!$A$35:$A$71=10)/(Overall!$A$35:$A$71=10)*ROW(Overall!$A$35:$A$71))-ROW(Overall!$A$34), ROWS(Overall!$L$35:Q38))),"")</f>
        <v/>
      </c>
      <c r="G32" s="117" t="str" cm="1">
        <f t="array" ref="G32">IFERROR(INDEX(Overall!H$35:H$71,_xlfn.AGGREGATE(15,3,((Overall!$A$35:$A$71=10)/(Overall!$A$35:$A$71=10)*ROW(Overall!$A$35:$A$71))-ROW(Overall!$A$34), ROWS(Overall!$L$35:R38))),"")</f>
        <v/>
      </c>
      <c r="H32" s="117" t="str" cm="1">
        <f t="array" ref="H32">IFERROR(INDEX(Overall!I$35:I$71,_xlfn.AGGREGATE(15,3,((Overall!$A$35:$A$71=10)/(Overall!$A$35:$A$71=10)*ROW(Overall!$A$35:$A$71))-ROW(Overall!$A$34), ROWS(Overall!$L$35:S38))),"")</f>
        <v/>
      </c>
      <c r="I32" s="73" t="str" cm="1">
        <f t="array" ref="I32">IFERROR(INDEX(Overall!J$35:J$71,_xlfn.AGGREGATE(15,3,((Overall!$A$35:$A$71=10)/(Overall!$A$35:$A$71=10)*ROW(Overall!$A$35:$A$71))-ROW(Overall!$A$34), ROWS(Overall!$L$35:T38))),"")</f>
        <v/>
      </c>
      <c r="J32" s="64" t="str" cm="1">
        <f t="array" ref="J32">IFERROR(INDEX(Overall!K$35:K$71,_xlfn.AGGREGATE(15,3,((Overall!$A$35:$A$71=10)/(Overall!$A$35:$A$71=10)*ROW(Overall!$A$35:$A$71))-ROW(Overall!$A$34), ROWS(Overall!$L$35:U38))),"")</f>
        <v/>
      </c>
    </row>
    <row r="33" spans="1:10" x14ac:dyDescent="0.25">
      <c r="A33" s="149" t="str" cm="1">
        <f t="array" ref="A33">IFERROR(INDEX(Overall!B$35:B$71,_xlfn.AGGREGATE(15,3,((Overall!$A$35:$A$71=10)/(Overall!$A$35:$A$71=10)*ROW(Overall!$A$35:$A$71))-ROW(Overall!$A$34), ROWS(Overall!$L$35:L39))),"")</f>
        <v/>
      </c>
      <c r="B33" s="71" t="str" cm="1">
        <f t="array" ref="B33">IFERROR(INDEX(Overall!C$35:C$71,_xlfn.AGGREGATE(15,3,((Overall!$A$35:$A$71=10)/(Overall!$A$35:$A$71=10)*ROW(Overall!$A$35:$A$71))-ROW(Overall!$A$34), ROWS(Overall!$L$35:M39))),"")</f>
        <v/>
      </c>
      <c r="C33" s="98" t="str" cm="1">
        <f t="array" ref="C33">IFERROR(INDEX(Overall!D$35:D$71,_xlfn.AGGREGATE(15,3,((Overall!$A$35:$A$71=10)/(Overall!$A$35:$A$71=10)*ROW(Overall!$A$35:$A$71))-ROW(Overall!$A$34), ROWS(Overall!$L$35:N39))),"")</f>
        <v/>
      </c>
      <c r="D33" s="73" t="str" cm="1">
        <f t="array" ref="D33">IFERROR(INDEX(Overall!E$35:E$71,_xlfn.AGGREGATE(15,3,((Overall!$A$35:$A$71=10)/(Overall!$A$35:$A$71=10)*ROW(Overall!$A$35:$A$71))-ROW(Overall!$A$34), ROWS(Overall!$L$35:O39))),"")</f>
        <v/>
      </c>
      <c r="E33" s="154" t="str" cm="1">
        <f t="array" ref="E33">IFERROR(INDEX(Overall!F$35:F$71,_xlfn.AGGREGATE(15,3,((Overall!$A$35:$A$71=10)/(Overall!$A$35:$A$71=10)*ROW(Overall!$A$35:$A$71))-ROW(Overall!$A$34), ROWS(Overall!$L$35:P39))),"")</f>
        <v/>
      </c>
      <c r="F33" s="155" t="str" cm="1">
        <f t="array" ref="F33">IFERROR(INDEX(Overall!G$35:G$71,_xlfn.AGGREGATE(15,3,((Overall!$A$35:$A$71=10)/(Overall!$A$35:$A$71=10)*ROW(Overall!$A$35:$A$71))-ROW(Overall!$A$34), ROWS(Overall!$L$35:Q39))),"")</f>
        <v/>
      </c>
      <c r="G33" s="117" t="str" cm="1">
        <f t="array" ref="G33">IFERROR(INDEX(Overall!H$35:H$71,_xlfn.AGGREGATE(15,3,((Overall!$A$35:$A$71=10)/(Overall!$A$35:$A$71=10)*ROW(Overall!$A$35:$A$71))-ROW(Overall!$A$34), ROWS(Overall!$L$35:R39))),"")</f>
        <v/>
      </c>
      <c r="H33" s="117" t="str" cm="1">
        <f t="array" ref="H33">IFERROR(INDEX(Overall!I$35:I$71,_xlfn.AGGREGATE(15,3,((Overall!$A$35:$A$71=10)/(Overall!$A$35:$A$71=10)*ROW(Overall!$A$35:$A$71))-ROW(Overall!$A$34), ROWS(Overall!$L$35:S39))),"")</f>
        <v/>
      </c>
      <c r="I33" s="73" t="str" cm="1">
        <f t="array" ref="I33">IFERROR(INDEX(Overall!J$35:J$71,_xlfn.AGGREGATE(15,3,((Overall!$A$35:$A$71=10)/(Overall!$A$35:$A$71=10)*ROW(Overall!$A$35:$A$71))-ROW(Overall!$A$34), ROWS(Overall!$L$35:T39))),"")</f>
        <v/>
      </c>
      <c r="J33" s="64" t="str" cm="1">
        <f t="array" ref="J33">IFERROR(INDEX(Overall!K$35:K$71,_xlfn.AGGREGATE(15,3,((Overall!$A$35:$A$71=10)/(Overall!$A$35:$A$71=10)*ROW(Overall!$A$35:$A$71))-ROW(Overall!$A$34), ROWS(Overall!$L$35:U39))),"")</f>
        <v/>
      </c>
    </row>
    <row r="34" spans="1:10" x14ac:dyDescent="0.25">
      <c r="A34" s="149" t="str" cm="1">
        <f t="array" ref="A34">IFERROR(INDEX(Overall!B$35:B$71,_xlfn.AGGREGATE(15,3,((Overall!$A$35:$A$71=10)/(Overall!$A$35:$A$71=10)*ROW(Overall!$A$35:$A$71))-ROW(Overall!$A$34), ROWS(Overall!$L$35:L40))),"")</f>
        <v/>
      </c>
      <c r="B34" s="71" t="str" cm="1">
        <f t="array" ref="B34">IFERROR(INDEX(Overall!C$35:C$71,_xlfn.AGGREGATE(15,3,((Overall!$A$35:$A$71=10)/(Overall!$A$35:$A$71=10)*ROW(Overall!$A$35:$A$71))-ROW(Overall!$A$34), ROWS(Overall!$L$35:M40))),"")</f>
        <v/>
      </c>
      <c r="C34" s="98" t="str" cm="1">
        <f t="array" ref="C34">IFERROR(INDEX(Overall!D$35:D$71,_xlfn.AGGREGATE(15,3,((Overall!$A$35:$A$71=10)/(Overall!$A$35:$A$71=10)*ROW(Overall!$A$35:$A$71))-ROW(Overall!$A$34), ROWS(Overall!$L$35:N40))),"")</f>
        <v/>
      </c>
      <c r="D34" s="73" t="str" cm="1">
        <f t="array" ref="D34">IFERROR(INDEX(Overall!E$35:E$71,_xlfn.AGGREGATE(15,3,((Overall!$A$35:$A$71=10)/(Overall!$A$35:$A$71=10)*ROW(Overall!$A$35:$A$71))-ROW(Overall!$A$34), ROWS(Overall!$L$35:O40))),"")</f>
        <v/>
      </c>
      <c r="E34" s="154" t="str" cm="1">
        <f t="array" ref="E34">IFERROR(INDEX(Overall!F$35:F$71,_xlfn.AGGREGATE(15,3,((Overall!$A$35:$A$71=10)/(Overall!$A$35:$A$71=10)*ROW(Overall!$A$35:$A$71))-ROW(Overall!$A$34), ROWS(Overall!$L$35:P40))),"")</f>
        <v/>
      </c>
      <c r="F34" s="155" t="str" cm="1">
        <f t="array" ref="F34">IFERROR(INDEX(Overall!G$35:G$71,_xlfn.AGGREGATE(15,3,((Overall!$A$35:$A$71=10)/(Overall!$A$35:$A$71=10)*ROW(Overall!$A$35:$A$71))-ROW(Overall!$A$34), ROWS(Overall!$L$35:Q40))),"")</f>
        <v/>
      </c>
      <c r="G34" s="117" t="str" cm="1">
        <f t="array" ref="G34">IFERROR(INDEX(Overall!H$35:H$71,_xlfn.AGGREGATE(15,3,((Overall!$A$35:$A$71=10)/(Overall!$A$35:$A$71=10)*ROW(Overall!$A$35:$A$71))-ROW(Overall!$A$34), ROWS(Overall!$L$35:R40))),"")</f>
        <v/>
      </c>
      <c r="H34" s="117" t="str" cm="1">
        <f t="array" ref="H34">IFERROR(INDEX(Overall!I$35:I$71,_xlfn.AGGREGATE(15,3,((Overall!$A$35:$A$71=10)/(Overall!$A$35:$A$71=10)*ROW(Overall!$A$35:$A$71))-ROW(Overall!$A$34), ROWS(Overall!$L$35:S40))),"")</f>
        <v/>
      </c>
      <c r="I34" s="73" t="str" cm="1">
        <f t="array" ref="I34">IFERROR(INDEX(Overall!J$35:J$71,_xlfn.AGGREGATE(15,3,((Overall!$A$35:$A$71=10)/(Overall!$A$35:$A$71=10)*ROW(Overall!$A$35:$A$71))-ROW(Overall!$A$34), ROWS(Overall!$L$35:T40))),"")</f>
        <v/>
      </c>
      <c r="J34" s="64" t="str" cm="1">
        <f t="array" ref="J34">IFERROR(INDEX(Overall!K$35:K$71,_xlfn.AGGREGATE(15,3,((Overall!$A$35:$A$71=10)/(Overall!$A$35:$A$71=10)*ROW(Overall!$A$35:$A$71))-ROW(Overall!$A$34), ROWS(Overall!$L$35:U40))),"")</f>
        <v/>
      </c>
    </row>
    <row r="35" spans="1:10" x14ac:dyDescent="0.25">
      <c r="A35" s="149" t="str" cm="1">
        <f t="array" ref="A35">IFERROR(INDEX(Overall!B$35:B$71,_xlfn.AGGREGATE(15,3,((Overall!$A$35:$A$71=10)/(Overall!$A$35:$A$71=10)*ROW(Overall!$A$35:$A$71))-ROW(Overall!$A$34), ROWS(Overall!$L$35:L41))),"")</f>
        <v/>
      </c>
      <c r="B35" s="71" t="str" cm="1">
        <f t="array" ref="B35">IFERROR(INDEX(Overall!C$35:C$71,_xlfn.AGGREGATE(15,3,((Overall!$A$35:$A$71=10)/(Overall!$A$35:$A$71=10)*ROW(Overall!$A$35:$A$71))-ROW(Overall!$A$34), ROWS(Overall!$L$35:M41))),"")</f>
        <v/>
      </c>
      <c r="C35" s="98" t="str" cm="1">
        <f t="array" ref="C35">IFERROR(INDEX(Overall!D$35:D$71,_xlfn.AGGREGATE(15,3,((Overall!$A$35:$A$71=10)/(Overall!$A$35:$A$71=10)*ROW(Overall!$A$35:$A$71))-ROW(Overall!$A$34), ROWS(Overall!$L$35:N41))),"")</f>
        <v/>
      </c>
      <c r="D35" s="73" t="str" cm="1">
        <f t="array" ref="D35">IFERROR(INDEX(Overall!E$35:E$71,_xlfn.AGGREGATE(15,3,((Overall!$A$35:$A$71=10)/(Overall!$A$35:$A$71=10)*ROW(Overall!$A$35:$A$71))-ROW(Overall!$A$34), ROWS(Overall!$L$35:O41))),"")</f>
        <v/>
      </c>
      <c r="E35" s="154" t="str" cm="1">
        <f t="array" ref="E35">IFERROR(INDEX(Overall!F$35:F$71,_xlfn.AGGREGATE(15,3,((Overall!$A$35:$A$71=10)/(Overall!$A$35:$A$71=10)*ROW(Overall!$A$35:$A$71))-ROW(Overall!$A$34), ROWS(Overall!$L$35:P41))),"")</f>
        <v/>
      </c>
      <c r="F35" s="155" t="str" cm="1">
        <f t="array" ref="F35">IFERROR(INDEX(Overall!G$35:G$71,_xlfn.AGGREGATE(15,3,((Overall!$A$35:$A$71=10)/(Overall!$A$35:$A$71=10)*ROW(Overall!$A$35:$A$71))-ROW(Overall!$A$34), ROWS(Overall!$L$35:Q41))),"")</f>
        <v/>
      </c>
      <c r="G35" s="117" t="str" cm="1">
        <f t="array" ref="G35">IFERROR(INDEX(Overall!H$35:H$71,_xlfn.AGGREGATE(15,3,((Overall!$A$35:$A$71=10)/(Overall!$A$35:$A$71=10)*ROW(Overall!$A$35:$A$71))-ROW(Overall!$A$34), ROWS(Overall!$L$35:R41))),"")</f>
        <v/>
      </c>
      <c r="H35" s="117" t="str" cm="1">
        <f t="array" ref="H35">IFERROR(INDEX(Overall!I$35:I$71,_xlfn.AGGREGATE(15,3,((Overall!$A$35:$A$71=10)/(Overall!$A$35:$A$71=10)*ROW(Overall!$A$35:$A$71))-ROW(Overall!$A$34), ROWS(Overall!$L$35:S41))),"")</f>
        <v/>
      </c>
      <c r="I35" s="73" t="str" cm="1">
        <f t="array" ref="I35">IFERROR(INDEX(Overall!J$35:J$71,_xlfn.AGGREGATE(15,3,((Overall!$A$35:$A$71=10)/(Overall!$A$35:$A$71=10)*ROW(Overall!$A$35:$A$71))-ROW(Overall!$A$34), ROWS(Overall!$L$35:T41))),"")</f>
        <v/>
      </c>
      <c r="J35" s="64" t="str" cm="1">
        <f t="array" ref="J35">IFERROR(INDEX(Overall!K$35:K$71,_xlfn.AGGREGATE(15,3,((Overall!$A$35:$A$71=10)/(Overall!$A$35:$A$71=10)*ROW(Overall!$A$35:$A$71))-ROW(Overall!$A$34), ROWS(Overall!$L$35:U41))),"")</f>
        <v/>
      </c>
    </row>
    <row r="36" spans="1:10" x14ac:dyDescent="0.25">
      <c r="A36" s="149" t="str" cm="1">
        <f t="array" ref="A36">IFERROR(INDEX(Overall!B$35:B$71,_xlfn.AGGREGATE(15,3,((Overall!$A$35:$A$71=10)/(Overall!$A$35:$A$71=10)*ROW(Overall!$A$35:$A$71))-ROW(Overall!$A$34), ROWS(Overall!$L$35:L42))),"")</f>
        <v/>
      </c>
      <c r="B36" s="71" t="str" cm="1">
        <f t="array" ref="B36">IFERROR(INDEX(Overall!C$35:C$71,_xlfn.AGGREGATE(15,3,((Overall!$A$35:$A$71=10)/(Overall!$A$35:$A$71=10)*ROW(Overall!$A$35:$A$71))-ROW(Overall!$A$34), ROWS(Overall!$L$35:M42))),"")</f>
        <v/>
      </c>
      <c r="C36" s="98" t="str" cm="1">
        <f t="array" ref="C36">IFERROR(INDEX(Overall!D$35:D$71,_xlfn.AGGREGATE(15,3,((Overall!$A$35:$A$71=10)/(Overall!$A$35:$A$71=10)*ROW(Overall!$A$35:$A$71))-ROW(Overall!$A$34), ROWS(Overall!$L$35:N42))),"")</f>
        <v/>
      </c>
      <c r="D36" s="73" t="str" cm="1">
        <f t="array" ref="D36">IFERROR(INDEX(Overall!E$35:E$71,_xlfn.AGGREGATE(15,3,((Overall!$A$35:$A$71=10)/(Overall!$A$35:$A$71=10)*ROW(Overall!$A$35:$A$71))-ROW(Overall!$A$34), ROWS(Overall!$L$35:O42))),"")</f>
        <v/>
      </c>
      <c r="E36" s="154" t="str" cm="1">
        <f t="array" ref="E36">IFERROR(INDEX(Overall!F$35:F$71,_xlfn.AGGREGATE(15,3,((Overall!$A$35:$A$71=10)/(Overall!$A$35:$A$71=10)*ROW(Overall!$A$35:$A$71))-ROW(Overall!$A$34), ROWS(Overall!$L$35:P42))),"")</f>
        <v/>
      </c>
      <c r="F36" s="155" t="str" cm="1">
        <f t="array" ref="F36">IFERROR(INDEX(Overall!G$35:G$71,_xlfn.AGGREGATE(15,3,((Overall!$A$35:$A$71=10)/(Overall!$A$35:$A$71=10)*ROW(Overall!$A$35:$A$71))-ROW(Overall!$A$34), ROWS(Overall!$L$35:Q42))),"")</f>
        <v/>
      </c>
      <c r="G36" s="117" t="str" cm="1">
        <f t="array" ref="G36">IFERROR(INDEX(Overall!H$35:H$71,_xlfn.AGGREGATE(15,3,((Overall!$A$35:$A$71=10)/(Overall!$A$35:$A$71=10)*ROW(Overall!$A$35:$A$71))-ROW(Overall!$A$34), ROWS(Overall!$L$35:R42))),"")</f>
        <v/>
      </c>
      <c r="H36" s="117" t="str" cm="1">
        <f t="array" ref="H36">IFERROR(INDEX(Overall!I$35:I$71,_xlfn.AGGREGATE(15,3,((Overall!$A$35:$A$71=10)/(Overall!$A$35:$A$71=10)*ROW(Overall!$A$35:$A$71))-ROW(Overall!$A$34), ROWS(Overall!$L$35:S42))),"")</f>
        <v/>
      </c>
      <c r="I36" s="73" t="str" cm="1">
        <f t="array" ref="I36">IFERROR(INDEX(Overall!J$35:J$71,_xlfn.AGGREGATE(15,3,((Overall!$A$35:$A$71=10)/(Overall!$A$35:$A$71=10)*ROW(Overall!$A$35:$A$71))-ROW(Overall!$A$34), ROWS(Overall!$L$35:T42))),"")</f>
        <v/>
      </c>
      <c r="J36" s="64" t="str" cm="1">
        <f t="array" ref="J36">IFERROR(INDEX(Overall!K$35:K$71,_xlfn.AGGREGATE(15,3,((Overall!$A$35:$A$71=10)/(Overall!$A$35:$A$71=10)*ROW(Overall!$A$35:$A$71))-ROW(Overall!$A$34), ROWS(Overall!$L$35:U42))),"")</f>
        <v/>
      </c>
    </row>
    <row r="37" spans="1:10" x14ac:dyDescent="0.25">
      <c r="A37" s="149" t="str" cm="1">
        <f t="array" ref="A37">IFERROR(INDEX(Overall!B$35:B$71,_xlfn.AGGREGATE(15,3,((Overall!$A$35:$A$71=10)/(Overall!$A$35:$A$71=10)*ROW(Overall!$A$35:$A$71))-ROW(Overall!$A$34), ROWS(Overall!$L$35:L43))),"")</f>
        <v/>
      </c>
      <c r="B37" s="71" t="str" cm="1">
        <f t="array" ref="B37">IFERROR(INDEX(Overall!C$35:C$71,_xlfn.AGGREGATE(15,3,((Overall!$A$35:$A$71=10)/(Overall!$A$35:$A$71=10)*ROW(Overall!$A$35:$A$71))-ROW(Overall!$A$34), ROWS(Overall!$L$35:M43))),"")</f>
        <v/>
      </c>
      <c r="C37" s="98" t="str" cm="1">
        <f t="array" ref="C37">IFERROR(INDEX(Overall!D$35:D$71,_xlfn.AGGREGATE(15,3,((Overall!$A$35:$A$71=10)/(Overall!$A$35:$A$71=10)*ROW(Overall!$A$35:$A$71))-ROW(Overall!$A$34), ROWS(Overall!$L$35:N43))),"")</f>
        <v/>
      </c>
      <c r="D37" s="73" t="str" cm="1">
        <f t="array" ref="D37">IFERROR(INDEX(Overall!E$35:E$71,_xlfn.AGGREGATE(15,3,((Overall!$A$35:$A$71=10)/(Overall!$A$35:$A$71=10)*ROW(Overall!$A$35:$A$71))-ROW(Overall!$A$34), ROWS(Overall!$L$35:O43))),"")</f>
        <v/>
      </c>
      <c r="E37" s="154" t="str" cm="1">
        <f t="array" ref="E37">IFERROR(INDEX(Overall!F$35:F$71,_xlfn.AGGREGATE(15,3,((Overall!$A$35:$A$71=10)/(Overall!$A$35:$A$71=10)*ROW(Overall!$A$35:$A$71))-ROW(Overall!$A$34), ROWS(Overall!$L$35:P43))),"")</f>
        <v/>
      </c>
      <c r="F37" s="155" t="str" cm="1">
        <f t="array" ref="F37">IFERROR(INDEX(Overall!G$35:G$71,_xlfn.AGGREGATE(15,3,((Overall!$A$35:$A$71=10)/(Overall!$A$35:$A$71=10)*ROW(Overall!$A$35:$A$71))-ROW(Overall!$A$34), ROWS(Overall!$L$35:Q43))),"")</f>
        <v/>
      </c>
      <c r="G37" s="117" t="str" cm="1">
        <f t="array" ref="G37">IFERROR(INDEX(Overall!H$35:H$71,_xlfn.AGGREGATE(15,3,((Overall!$A$35:$A$71=10)/(Overall!$A$35:$A$71=10)*ROW(Overall!$A$35:$A$71))-ROW(Overall!$A$34), ROWS(Overall!$L$35:R43))),"")</f>
        <v/>
      </c>
      <c r="H37" s="117" t="str" cm="1">
        <f t="array" ref="H37">IFERROR(INDEX(Overall!I$35:I$71,_xlfn.AGGREGATE(15,3,((Overall!$A$35:$A$71=10)/(Overall!$A$35:$A$71=10)*ROW(Overall!$A$35:$A$71))-ROW(Overall!$A$34), ROWS(Overall!$L$35:S43))),"")</f>
        <v/>
      </c>
      <c r="I37" s="73" t="str" cm="1">
        <f t="array" ref="I37">IFERROR(INDEX(Overall!J$35:J$71,_xlfn.AGGREGATE(15,3,((Overall!$A$35:$A$71=10)/(Overall!$A$35:$A$71=10)*ROW(Overall!$A$35:$A$71))-ROW(Overall!$A$34), ROWS(Overall!$L$35:T43))),"")</f>
        <v/>
      </c>
      <c r="J37" s="64" t="str" cm="1">
        <f t="array" ref="J37">IFERROR(INDEX(Overall!K$35:K$71,_xlfn.AGGREGATE(15,3,((Overall!$A$35:$A$71=10)/(Overall!$A$35:$A$71=10)*ROW(Overall!$A$35:$A$71))-ROW(Overall!$A$34), ROWS(Overall!$L$35:U43))),"")</f>
        <v/>
      </c>
    </row>
    <row r="38" spans="1:10" x14ac:dyDescent="0.25">
      <c r="A38" s="149" t="str" cm="1">
        <f t="array" ref="A38">IFERROR(INDEX(Overall!B$35:B$71,_xlfn.AGGREGATE(15,3,((Overall!$A$35:$A$71=10)/(Overall!$A$35:$A$71=10)*ROW(Overall!$A$35:$A$71))-ROW(Overall!$A$34), ROWS(Overall!$L$35:L44))),"")</f>
        <v/>
      </c>
      <c r="B38" s="71" t="str" cm="1">
        <f t="array" ref="B38">IFERROR(INDEX(Overall!C$35:C$71,_xlfn.AGGREGATE(15,3,((Overall!$A$35:$A$71=10)/(Overall!$A$35:$A$71=10)*ROW(Overall!$A$35:$A$71))-ROW(Overall!$A$34), ROWS(Overall!$L$35:M44))),"")</f>
        <v/>
      </c>
      <c r="C38" s="98" t="str" cm="1">
        <f t="array" ref="C38">IFERROR(INDEX(Overall!D$35:D$71,_xlfn.AGGREGATE(15,3,((Overall!$A$35:$A$71=10)/(Overall!$A$35:$A$71=10)*ROW(Overall!$A$35:$A$71))-ROW(Overall!$A$34), ROWS(Overall!$L$35:N44))),"")</f>
        <v/>
      </c>
      <c r="D38" s="73" t="str" cm="1">
        <f t="array" ref="D38">IFERROR(INDEX(Overall!E$35:E$71,_xlfn.AGGREGATE(15,3,((Overall!$A$35:$A$71=10)/(Overall!$A$35:$A$71=10)*ROW(Overall!$A$35:$A$71))-ROW(Overall!$A$34), ROWS(Overall!$L$35:O44))),"")</f>
        <v/>
      </c>
      <c r="E38" s="154" t="str" cm="1">
        <f t="array" ref="E38">IFERROR(INDEX(Overall!F$35:F$71,_xlfn.AGGREGATE(15,3,((Overall!$A$35:$A$71=10)/(Overall!$A$35:$A$71=10)*ROW(Overall!$A$35:$A$71))-ROW(Overall!$A$34), ROWS(Overall!$L$35:P44))),"")</f>
        <v/>
      </c>
      <c r="F38" s="155" t="str" cm="1">
        <f t="array" ref="F38">IFERROR(INDEX(Overall!G$35:G$71,_xlfn.AGGREGATE(15,3,((Overall!$A$35:$A$71=10)/(Overall!$A$35:$A$71=10)*ROW(Overall!$A$35:$A$71))-ROW(Overall!$A$34), ROWS(Overall!$L$35:Q44))),"")</f>
        <v/>
      </c>
      <c r="G38" s="117" t="str" cm="1">
        <f t="array" ref="G38">IFERROR(INDEX(Overall!H$35:H$71,_xlfn.AGGREGATE(15,3,((Overall!$A$35:$A$71=10)/(Overall!$A$35:$A$71=10)*ROW(Overall!$A$35:$A$71))-ROW(Overall!$A$34), ROWS(Overall!$L$35:R44))),"")</f>
        <v/>
      </c>
      <c r="H38" s="117" t="str" cm="1">
        <f t="array" ref="H38">IFERROR(INDEX(Overall!I$35:I$71,_xlfn.AGGREGATE(15,3,((Overall!$A$35:$A$71=10)/(Overall!$A$35:$A$71=10)*ROW(Overall!$A$35:$A$71))-ROW(Overall!$A$34), ROWS(Overall!$L$35:S44))),"")</f>
        <v/>
      </c>
      <c r="I38" s="73" t="str" cm="1">
        <f t="array" ref="I38">IFERROR(INDEX(Overall!J$35:J$71,_xlfn.AGGREGATE(15,3,((Overall!$A$35:$A$71=10)/(Overall!$A$35:$A$71=10)*ROW(Overall!$A$35:$A$71))-ROW(Overall!$A$34), ROWS(Overall!$L$35:T44))),"")</f>
        <v/>
      </c>
      <c r="J38" s="64" t="str" cm="1">
        <f t="array" ref="J38">IFERROR(INDEX(Overall!K$35:K$71,_xlfn.AGGREGATE(15,3,((Overall!$A$35:$A$71=10)/(Overall!$A$35:$A$71=10)*ROW(Overall!$A$35:$A$71))-ROW(Overall!$A$34), ROWS(Overall!$L$35:U44))),"")</f>
        <v/>
      </c>
    </row>
    <row r="39" spans="1:10" x14ac:dyDescent="0.25">
      <c r="A39" s="149" t="str" cm="1">
        <f t="array" ref="A39">IFERROR(INDEX(Overall!B$35:B$71,_xlfn.AGGREGATE(15,3,((Overall!$A$35:$A$71=10)/(Overall!$A$35:$A$71=10)*ROW(Overall!$A$35:$A$71))-ROW(Overall!$A$34), ROWS(Overall!$L$35:L45))),"")</f>
        <v/>
      </c>
      <c r="B39" s="71" t="str" cm="1">
        <f t="array" ref="B39">IFERROR(INDEX(Overall!C$35:C$71,_xlfn.AGGREGATE(15,3,((Overall!$A$35:$A$71=10)/(Overall!$A$35:$A$71=10)*ROW(Overall!$A$35:$A$71))-ROW(Overall!$A$34), ROWS(Overall!$L$35:M45))),"")</f>
        <v/>
      </c>
      <c r="C39" s="98" t="str" cm="1">
        <f t="array" ref="C39">IFERROR(INDEX(Overall!D$35:D$71,_xlfn.AGGREGATE(15,3,((Overall!$A$35:$A$71=10)/(Overall!$A$35:$A$71=10)*ROW(Overall!$A$35:$A$71))-ROW(Overall!$A$34), ROWS(Overall!$L$35:N45))),"")</f>
        <v/>
      </c>
      <c r="D39" s="73" t="str" cm="1">
        <f t="array" ref="D39">IFERROR(INDEX(Overall!E$35:E$71,_xlfn.AGGREGATE(15,3,((Overall!$A$35:$A$71=10)/(Overall!$A$35:$A$71=10)*ROW(Overall!$A$35:$A$71))-ROW(Overall!$A$34), ROWS(Overall!$L$35:O45))),"")</f>
        <v/>
      </c>
      <c r="E39" s="154" t="str" cm="1">
        <f t="array" ref="E39">IFERROR(INDEX(Overall!F$35:F$71,_xlfn.AGGREGATE(15,3,((Overall!$A$35:$A$71=10)/(Overall!$A$35:$A$71=10)*ROW(Overall!$A$35:$A$71))-ROW(Overall!$A$34), ROWS(Overall!$L$35:P45))),"")</f>
        <v/>
      </c>
      <c r="F39" s="155" t="str" cm="1">
        <f t="array" ref="F39">IFERROR(INDEX(Overall!G$35:G$71,_xlfn.AGGREGATE(15,3,((Overall!$A$35:$A$71=10)/(Overall!$A$35:$A$71=10)*ROW(Overall!$A$35:$A$71))-ROW(Overall!$A$34), ROWS(Overall!$L$35:Q45))),"")</f>
        <v/>
      </c>
      <c r="G39" s="117" t="str" cm="1">
        <f t="array" ref="G39">IFERROR(INDEX(Overall!H$35:H$71,_xlfn.AGGREGATE(15,3,((Overall!$A$35:$A$71=10)/(Overall!$A$35:$A$71=10)*ROW(Overall!$A$35:$A$71))-ROW(Overall!$A$34), ROWS(Overall!$L$35:R45))),"")</f>
        <v/>
      </c>
      <c r="H39" s="117" t="str" cm="1">
        <f t="array" ref="H39">IFERROR(INDEX(Overall!I$35:I$71,_xlfn.AGGREGATE(15,3,((Overall!$A$35:$A$71=10)/(Overall!$A$35:$A$71=10)*ROW(Overall!$A$35:$A$71))-ROW(Overall!$A$34), ROWS(Overall!$L$35:S45))),"")</f>
        <v/>
      </c>
      <c r="I39" s="73" t="str" cm="1">
        <f t="array" ref="I39">IFERROR(INDEX(Overall!J$35:J$71,_xlfn.AGGREGATE(15,3,((Overall!$A$35:$A$71=10)/(Overall!$A$35:$A$71=10)*ROW(Overall!$A$35:$A$71))-ROW(Overall!$A$34), ROWS(Overall!$L$35:T45))),"")</f>
        <v/>
      </c>
      <c r="J39" s="64" t="str" cm="1">
        <f t="array" ref="J39">IFERROR(INDEX(Overall!K$35:K$71,_xlfn.AGGREGATE(15,3,((Overall!$A$35:$A$71=10)/(Overall!$A$35:$A$71=10)*ROW(Overall!$A$35:$A$71))-ROW(Overall!$A$34), ROWS(Overall!$L$35:U45))),"")</f>
        <v/>
      </c>
    </row>
    <row r="40" spans="1:10" x14ac:dyDescent="0.25">
      <c r="A40" s="149" t="str" cm="1">
        <f t="array" ref="A40">IFERROR(INDEX(Overall!B$35:B$71,_xlfn.AGGREGATE(15,3,((Overall!$A$35:$A$71=10)/(Overall!$A$35:$A$71=10)*ROW(Overall!$A$35:$A$71))-ROW(Overall!$A$34), ROWS(Overall!$L$35:L46))),"")</f>
        <v/>
      </c>
      <c r="B40" s="71" t="str" cm="1">
        <f t="array" ref="B40">IFERROR(INDEX(Overall!C$35:C$71,_xlfn.AGGREGATE(15,3,((Overall!$A$35:$A$71=10)/(Overall!$A$35:$A$71=10)*ROW(Overall!$A$35:$A$71))-ROW(Overall!$A$34), ROWS(Overall!$L$35:M46))),"")</f>
        <v/>
      </c>
      <c r="C40" s="98" t="str" cm="1">
        <f t="array" ref="C40">IFERROR(INDEX(Overall!D$35:D$71,_xlfn.AGGREGATE(15,3,((Overall!$A$35:$A$71=10)/(Overall!$A$35:$A$71=10)*ROW(Overall!$A$35:$A$71))-ROW(Overall!$A$34), ROWS(Overall!$L$35:N46))),"")</f>
        <v/>
      </c>
      <c r="D40" s="73" t="str" cm="1">
        <f t="array" ref="D40">IFERROR(INDEX(Overall!E$35:E$71,_xlfn.AGGREGATE(15,3,((Overall!$A$35:$A$71=10)/(Overall!$A$35:$A$71=10)*ROW(Overall!$A$35:$A$71))-ROW(Overall!$A$34), ROWS(Overall!$L$35:O46))),"")</f>
        <v/>
      </c>
      <c r="E40" s="154" t="str" cm="1">
        <f t="array" ref="E40">IFERROR(INDEX(Overall!F$35:F$71,_xlfn.AGGREGATE(15,3,((Overall!$A$35:$A$71=10)/(Overall!$A$35:$A$71=10)*ROW(Overall!$A$35:$A$71))-ROW(Overall!$A$34), ROWS(Overall!$L$35:P46))),"")</f>
        <v/>
      </c>
      <c r="F40" s="155" t="str" cm="1">
        <f t="array" ref="F40">IFERROR(INDEX(Overall!G$35:G$71,_xlfn.AGGREGATE(15,3,((Overall!$A$35:$A$71=10)/(Overall!$A$35:$A$71=10)*ROW(Overall!$A$35:$A$71))-ROW(Overall!$A$34), ROWS(Overall!$L$35:Q46))),"")</f>
        <v/>
      </c>
      <c r="G40" s="117" t="str" cm="1">
        <f t="array" ref="G40">IFERROR(INDEX(Overall!H$35:H$71,_xlfn.AGGREGATE(15,3,((Overall!$A$35:$A$71=10)/(Overall!$A$35:$A$71=10)*ROW(Overall!$A$35:$A$71))-ROW(Overall!$A$34), ROWS(Overall!$L$35:R46))),"")</f>
        <v/>
      </c>
      <c r="H40" s="117" t="str" cm="1">
        <f t="array" ref="H40">IFERROR(INDEX(Overall!I$35:I$71,_xlfn.AGGREGATE(15,3,((Overall!$A$35:$A$71=10)/(Overall!$A$35:$A$71=10)*ROW(Overall!$A$35:$A$71))-ROW(Overall!$A$34), ROWS(Overall!$L$35:S46))),"")</f>
        <v/>
      </c>
      <c r="I40" s="73" t="str" cm="1">
        <f t="array" ref="I40">IFERROR(INDEX(Overall!J$35:J$71,_xlfn.AGGREGATE(15,3,((Overall!$A$35:$A$71=10)/(Overall!$A$35:$A$71=10)*ROW(Overall!$A$35:$A$71))-ROW(Overall!$A$34), ROWS(Overall!$L$35:T46))),"")</f>
        <v/>
      </c>
      <c r="J40" s="64" t="str" cm="1">
        <f t="array" ref="J40">IFERROR(INDEX(Overall!K$35:K$71,_xlfn.AGGREGATE(15,3,((Overall!$A$35:$A$71=10)/(Overall!$A$35:$A$71=10)*ROW(Overall!$A$35:$A$71))-ROW(Overall!$A$34), ROWS(Overall!$L$35:U46))),"")</f>
        <v/>
      </c>
    </row>
    <row r="41" spans="1:10" x14ac:dyDescent="0.25">
      <c r="A41" s="149" t="str" cm="1">
        <f t="array" ref="A41">IFERROR(INDEX(Overall!B$35:B$71,_xlfn.AGGREGATE(15,3,((Overall!$A$35:$A$71=10)/(Overall!$A$35:$A$71=10)*ROW(Overall!$A$35:$A$71))-ROW(Overall!$A$34), ROWS(Overall!$L$35:L47))),"")</f>
        <v/>
      </c>
      <c r="B41" s="71" t="str" cm="1">
        <f t="array" ref="B41">IFERROR(INDEX(Overall!C$35:C$71,_xlfn.AGGREGATE(15,3,((Overall!$A$35:$A$71=10)/(Overall!$A$35:$A$71=10)*ROW(Overall!$A$35:$A$71))-ROW(Overall!$A$34), ROWS(Overall!$L$35:M47))),"")</f>
        <v/>
      </c>
      <c r="C41" s="98" t="str" cm="1">
        <f t="array" ref="C41">IFERROR(INDEX(Overall!D$35:D$71,_xlfn.AGGREGATE(15,3,((Overall!$A$35:$A$71=10)/(Overall!$A$35:$A$71=10)*ROW(Overall!$A$35:$A$71))-ROW(Overall!$A$34), ROWS(Overall!$L$35:N47))),"")</f>
        <v/>
      </c>
      <c r="D41" s="73" t="str" cm="1">
        <f t="array" ref="D41">IFERROR(INDEX(Overall!E$35:E$71,_xlfn.AGGREGATE(15,3,((Overall!$A$35:$A$71=10)/(Overall!$A$35:$A$71=10)*ROW(Overall!$A$35:$A$71))-ROW(Overall!$A$34), ROWS(Overall!$L$35:O47))),"")</f>
        <v/>
      </c>
      <c r="E41" s="154" t="str" cm="1">
        <f t="array" ref="E41">IFERROR(INDEX(Overall!F$35:F$71,_xlfn.AGGREGATE(15,3,((Overall!$A$35:$A$71=10)/(Overall!$A$35:$A$71=10)*ROW(Overall!$A$35:$A$71))-ROW(Overall!$A$34), ROWS(Overall!$L$35:P47))),"")</f>
        <v/>
      </c>
      <c r="F41" s="155" t="str" cm="1">
        <f t="array" ref="F41">IFERROR(INDEX(Overall!G$35:G$71,_xlfn.AGGREGATE(15,3,((Overall!$A$35:$A$71=10)/(Overall!$A$35:$A$71=10)*ROW(Overall!$A$35:$A$71))-ROW(Overall!$A$34), ROWS(Overall!$L$35:Q47))),"")</f>
        <v/>
      </c>
      <c r="G41" s="117" t="str" cm="1">
        <f t="array" ref="G41">IFERROR(INDEX(Overall!H$35:H$71,_xlfn.AGGREGATE(15,3,((Overall!$A$35:$A$71=10)/(Overall!$A$35:$A$71=10)*ROW(Overall!$A$35:$A$71))-ROW(Overall!$A$34), ROWS(Overall!$L$35:R47))),"")</f>
        <v/>
      </c>
      <c r="H41" s="117" t="str" cm="1">
        <f t="array" ref="H41">IFERROR(INDEX(Overall!I$35:I$71,_xlfn.AGGREGATE(15,3,((Overall!$A$35:$A$71=10)/(Overall!$A$35:$A$71=10)*ROW(Overall!$A$35:$A$71))-ROW(Overall!$A$34), ROWS(Overall!$L$35:S47))),"")</f>
        <v/>
      </c>
      <c r="I41" s="73" t="str" cm="1">
        <f t="array" ref="I41">IFERROR(INDEX(Overall!J$35:J$71,_xlfn.AGGREGATE(15,3,((Overall!$A$35:$A$71=10)/(Overall!$A$35:$A$71=10)*ROW(Overall!$A$35:$A$71))-ROW(Overall!$A$34), ROWS(Overall!$L$35:T47))),"")</f>
        <v/>
      </c>
      <c r="J41" s="64" t="str" cm="1">
        <f t="array" ref="J41">IFERROR(INDEX(Overall!K$35:K$71,_xlfn.AGGREGATE(15,3,((Overall!$A$35:$A$71=10)/(Overall!$A$35:$A$71=10)*ROW(Overall!$A$35:$A$71))-ROW(Overall!$A$34), ROWS(Overall!$L$35:U47))),"")</f>
        <v/>
      </c>
    </row>
    <row r="42" spans="1:10" x14ac:dyDescent="0.25">
      <c r="A42" s="149" t="str" cm="1">
        <f t="array" ref="A42">IFERROR(INDEX(Overall!B$35:B$71,_xlfn.AGGREGATE(15,3,((Overall!$A$35:$A$71=10)/(Overall!$A$35:$A$71=10)*ROW(Overall!$A$35:$A$71))-ROW(Overall!$A$34), ROWS(Overall!$L$35:L48))),"")</f>
        <v/>
      </c>
      <c r="B42" s="71" t="str" cm="1">
        <f t="array" ref="B42">IFERROR(INDEX(Overall!C$35:C$71,_xlfn.AGGREGATE(15,3,((Overall!$A$35:$A$71=10)/(Overall!$A$35:$A$71=10)*ROW(Overall!$A$35:$A$71))-ROW(Overall!$A$34), ROWS(Overall!$L$35:M48))),"")</f>
        <v/>
      </c>
      <c r="C42" s="98" t="str" cm="1">
        <f t="array" ref="C42">IFERROR(INDEX(Overall!D$35:D$71,_xlfn.AGGREGATE(15,3,((Overall!$A$35:$A$71=10)/(Overall!$A$35:$A$71=10)*ROW(Overall!$A$35:$A$71))-ROW(Overall!$A$34), ROWS(Overall!$L$35:N48))),"")</f>
        <v/>
      </c>
      <c r="D42" s="73" t="str" cm="1">
        <f t="array" ref="D42">IFERROR(INDEX(Overall!E$35:E$71,_xlfn.AGGREGATE(15,3,((Overall!$A$35:$A$71=10)/(Overall!$A$35:$A$71=10)*ROW(Overall!$A$35:$A$71))-ROW(Overall!$A$34), ROWS(Overall!$L$35:O48))),"")</f>
        <v/>
      </c>
      <c r="E42" s="154" t="str" cm="1">
        <f t="array" ref="E42">IFERROR(INDEX(Overall!F$35:F$71,_xlfn.AGGREGATE(15,3,((Overall!$A$35:$A$71=10)/(Overall!$A$35:$A$71=10)*ROW(Overall!$A$35:$A$71))-ROW(Overall!$A$34), ROWS(Overall!$L$35:P48))),"")</f>
        <v/>
      </c>
      <c r="F42" s="155" t="str" cm="1">
        <f t="array" ref="F42">IFERROR(INDEX(Overall!G$35:G$71,_xlfn.AGGREGATE(15,3,((Overall!$A$35:$A$71=10)/(Overall!$A$35:$A$71=10)*ROW(Overall!$A$35:$A$71))-ROW(Overall!$A$34), ROWS(Overall!$L$35:Q48))),"")</f>
        <v/>
      </c>
      <c r="G42" s="117" t="str" cm="1">
        <f t="array" ref="G42">IFERROR(INDEX(Overall!H$35:H$71,_xlfn.AGGREGATE(15,3,((Overall!$A$35:$A$71=10)/(Overall!$A$35:$A$71=10)*ROW(Overall!$A$35:$A$71))-ROW(Overall!$A$34), ROWS(Overall!$L$35:R48))),"")</f>
        <v/>
      </c>
      <c r="H42" s="117" t="str" cm="1">
        <f t="array" ref="H42">IFERROR(INDEX(Overall!I$35:I$71,_xlfn.AGGREGATE(15,3,((Overall!$A$35:$A$71=10)/(Overall!$A$35:$A$71=10)*ROW(Overall!$A$35:$A$71))-ROW(Overall!$A$34), ROWS(Overall!$L$35:S48))),"")</f>
        <v/>
      </c>
      <c r="I42" s="73" t="str" cm="1">
        <f t="array" ref="I42">IFERROR(INDEX(Overall!J$35:J$71,_xlfn.AGGREGATE(15,3,((Overall!$A$35:$A$71=10)/(Overall!$A$35:$A$71=10)*ROW(Overall!$A$35:$A$71))-ROW(Overall!$A$34), ROWS(Overall!$L$35:T48))),"")</f>
        <v/>
      </c>
      <c r="J42" s="64" t="str" cm="1">
        <f t="array" ref="J42">IFERROR(INDEX(Overall!K$35:K$71,_xlfn.AGGREGATE(15,3,((Overall!$A$35:$A$71=10)/(Overall!$A$35:$A$71=10)*ROW(Overall!$A$35:$A$71))-ROW(Overall!$A$34), ROWS(Overall!$L$35:U48))),"")</f>
        <v/>
      </c>
    </row>
    <row r="43" spans="1:10" x14ac:dyDescent="0.25">
      <c r="A43" s="149" t="str" cm="1">
        <f t="array" ref="A43">IFERROR(INDEX(Overall!B$35:B$71,_xlfn.AGGREGATE(15,3,((Overall!$A$35:$A$71=10)/(Overall!$A$35:$A$71=10)*ROW(Overall!$A$35:$A$71))-ROW(Overall!$A$34), ROWS(Overall!$L$35:L49))),"")</f>
        <v/>
      </c>
      <c r="B43" s="71" t="str" cm="1">
        <f t="array" ref="B43">IFERROR(INDEX(Overall!C$35:C$71,_xlfn.AGGREGATE(15,3,((Overall!$A$35:$A$71=10)/(Overall!$A$35:$A$71=10)*ROW(Overall!$A$35:$A$71))-ROW(Overall!$A$34), ROWS(Overall!$L$35:M49))),"")</f>
        <v/>
      </c>
      <c r="C43" s="98" t="str" cm="1">
        <f t="array" ref="C43">IFERROR(INDEX(Overall!D$35:D$71,_xlfn.AGGREGATE(15,3,((Overall!$A$35:$A$71=10)/(Overall!$A$35:$A$71=10)*ROW(Overall!$A$35:$A$71))-ROW(Overall!$A$34), ROWS(Overall!$L$35:N49))),"")</f>
        <v/>
      </c>
      <c r="D43" s="73" t="str" cm="1">
        <f t="array" ref="D43">IFERROR(INDEX(Overall!E$35:E$71,_xlfn.AGGREGATE(15,3,((Overall!$A$35:$A$71=10)/(Overall!$A$35:$A$71=10)*ROW(Overall!$A$35:$A$71))-ROW(Overall!$A$34), ROWS(Overall!$L$35:O49))),"")</f>
        <v/>
      </c>
      <c r="E43" s="154" t="str" cm="1">
        <f t="array" ref="E43">IFERROR(INDEX(Overall!F$35:F$71,_xlfn.AGGREGATE(15,3,((Overall!$A$35:$A$71=10)/(Overall!$A$35:$A$71=10)*ROW(Overall!$A$35:$A$71))-ROW(Overall!$A$34), ROWS(Overall!$L$35:P49))),"")</f>
        <v/>
      </c>
      <c r="F43" s="155" t="str" cm="1">
        <f t="array" ref="F43">IFERROR(INDEX(Overall!G$35:G$71,_xlfn.AGGREGATE(15,3,((Overall!$A$35:$A$71=10)/(Overall!$A$35:$A$71=10)*ROW(Overall!$A$35:$A$71))-ROW(Overall!$A$34), ROWS(Overall!$L$35:Q49))),"")</f>
        <v/>
      </c>
      <c r="G43" s="117" t="str" cm="1">
        <f t="array" ref="G43">IFERROR(INDEX(Overall!H$35:H$71,_xlfn.AGGREGATE(15,3,((Overall!$A$35:$A$71=10)/(Overall!$A$35:$A$71=10)*ROW(Overall!$A$35:$A$71))-ROW(Overall!$A$34), ROWS(Overall!$L$35:R49))),"")</f>
        <v/>
      </c>
      <c r="H43" s="117" t="str" cm="1">
        <f t="array" ref="H43">IFERROR(INDEX(Overall!I$35:I$71,_xlfn.AGGREGATE(15,3,((Overall!$A$35:$A$71=10)/(Overall!$A$35:$A$71=10)*ROW(Overall!$A$35:$A$71))-ROW(Overall!$A$34), ROWS(Overall!$L$35:S49))),"")</f>
        <v/>
      </c>
      <c r="I43" s="73" t="str" cm="1">
        <f t="array" ref="I43">IFERROR(INDEX(Overall!J$35:J$71,_xlfn.AGGREGATE(15,3,((Overall!$A$35:$A$71=10)/(Overall!$A$35:$A$71=10)*ROW(Overall!$A$35:$A$71))-ROW(Overall!$A$34), ROWS(Overall!$L$35:T49))),"")</f>
        <v/>
      </c>
      <c r="J43" s="64" t="str" cm="1">
        <f t="array" ref="J43">IFERROR(INDEX(Overall!K$35:K$71,_xlfn.AGGREGATE(15,3,((Overall!$A$35:$A$71=10)/(Overall!$A$35:$A$71=10)*ROW(Overall!$A$35:$A$71))-ROW(Overall!$A$34), ROWS(Overall!$L$35:U49))),"")</f>
        <v/>
      </c>
    </row>
    <row r="44" spans="1:10" x14ac:dyDescent="0.25">
      <c r="A44" s="99" t="str" cm="1">
        <f t="array" ref="A44">IFERROR(INDEX(Overall!B$35:B$71,_xlfn.AGGREGATE(15,3,((Overall!$A$35:$A$71=10)/(Overall!$A$35:$A$71=10)*ROW(Overall!$A$35:$A$71))-ROW(Overall!$A$34), ROWS(Overall!$L$35:L50))),"")</f>
        <v/>
      </c>
      <c r="B44" s="72" t="str" cm="1">
        <f t="array" ref="B44">IFERROR(INDEX(Overall!C$35:C$71,_xlfn.AGGREGATE(15,3,((Overall!$A$35:$A$71=10)/(Overall!$A$35:$A$71=10)*ROW(Overall!$A$35:$A$71))-ROW(Overall!$A$34), ROWS(Overall!$L$35:M50))),"")</f>
        <v/>
      </c>
      <c r="C44" s="99" t="str" cm="1">
        <f t="array" ref="C44">IFERROR(INDEX(Overall!D$35:D$71,_xlfn.AGGREGATE(15,3,((Overall!$A$35:$A$71=10)/(Overall!$A$35:$A$71=10)*ROW(Overall!$A$35:$A$71))-ROW(Overall!$A$34), ROWS(Overall!$L$35:N50))),"")</f>
        <v/>
      </c>
      <c r="D44" s="74" t="str" cm="1">
        <f t="array" ref="D44">IFERROR(INDEX(Overall!E$35:E$71,_xlfn.AGGREGATE(15,3,((Overall!$A$35:$A$71=10)/(Overall!$A$35:$A$71=10)*ROW(Overall!$A$35:$A$71))-ROW(Overall!$A$34), ROWS(Overall!$L$35:O50))),"")</f>
        <v/>
      </c>
      <c r="E44" s="156" t="str" cm="1">
        <f t="array" ref="E44">IFERROR(INDEX(Overall!F$35:F$71,_xlfn.AGGREGATE(15,3,((Overall!$A$35:$A$71=10)/(Overall!$A$35:$A$71=10)*ROW(Overall!$A$35:$A$71))-ROW(Overall!$A$34), ROWS(Overall!$L$35:P50))),"")</f>
        <v/>
      </c>
      <c r="F44" s="157" t="str" cm="1">
        <f t="array" ref="F44">IFERROR(INDEX(Overall!G$35:G$71,_xlfn.AGGREGATE(15,3,((Overall!$A$35:$A$71=10)/(Overall!$A$35:$A$71=10)*ROW(Overall!$A$35:$A$71))-ROW(Overall!$A$34), ROWS(Overall!$L$35:Q50))),"")</f>
        <v/>
      </c>
      <c r="G44" s="118" t="str" cm="1">
        <f t="array" ref="G44">IFERROR(INDEX(Overall!H$35:H$71,_xlfn.AGGREGATE(15,3,((Overall!$A$35:$A$71=10)/(Overall!$A$35:$A$71=10)*ROW(Overall!$A$35:$A$71))-ROW(Overall!$A$34), ROWS(Overall!$L$35:R50))),"")</f>
        <v/>
      </c>
      <c r="H44" s="118" t="str" cm="1">
        <f t="array" ref="H44">IFERROR(INDEX(Overall!I$35:I$71,_xlfn.AGGREGATE(15,3,((Overall!$A$35:$A$71=10)/(Overall!$A$35:$A$71=10)*ROW(Overall!$A$35:$A$71))-ROW(Overall!$A$34), ROWS(Overall!$L$35:S50))),"")</f>
        <v/>
      </c>
      <c r="I44" s="76" t="str" cm="1">
        <f t="array" ref="I44">IFERROR(INDEX(Overall!J$35:J$71,_xlfn.AGGREGATE(15,3,((Overall!$A$35:$A$71=10)/(Overall!$A$35:$A$71=10)*ROW(Overall!$A$35:$A$71))-ROW(Overall!$A$34), ROWS(Overall!$L$35:T50))),"")</f>
        <v/>
      </c>
      <c r="J44" s="65" t="str" cm="1">
        <f t="array" ref="J44">IFERROR(INDEX(Overall!K$35:K$71,_xlfn.AGGREGATE(15,3,((Overall!$A$35:$A$71=10)/(Overall!$A$35:$A$71=10)*ROW(Overall!$A$35:$A$71))-ROW(Overall!$A$34), ROWS(Overall!$L$35:U50))),"")</f>
        <v/>
      </c>
    </row>
    <row r="46" spans="1:10" x14ac:dyDescent="0.25">
      <c r="A46" s="181" t="s">
        <v>11</v>
      </c>
      <c r="B46" s="181"/>
      <c r="C46" s="181"/>
      <c r="D46" s="181"/>
      <c r="E46" s="181"/>
      <c r="F46" s="181"/>
      <c r="G46" s="181"/>
      <c r="H46" s="181"/>
      <c r="I46" s="183" t="s">
        <v>12</v>
      </c>
      <c r="J46" s="185"/>
    </row>
    <row r="47" spans="1:10" x14ac:dyDescent="0.25">
      <c r="A47" s="123" t="s">
        <v>159</v>
      </c>
      <c r="B47" s="124" t="s">
        <v>46</v>
      </c>
      <c r="C47" s="200" t="s">
        <v>45</v>
      </c>
      <c r="D47" s="201"/>
      <c r="E47" s="192" t="s">
        <v>160</v>
      </c>
      <c r="F47" s="193"/>
      <c r="G47" s="193"/>
      <c r="H47" s="193"/>
      <c r="I47" s="61" t="s">
        <v>185</v>
      </c>
      <c r="J47" s="63"/>
    </row>
    <row r="48" spans="1:10" x14ac:dyDescent="0.25">
      <c r="A48" s="78"/>
      <c r="B48" s="83"/>
      <c r="C48" s="202"/>
      <c r="D48" s="203"/>
      <c r="E48" s="112"/>
      <c r="F48" s="112"/>
      <c r="G48" s="112"/>
      <c r="H48" s="113"/>
      <c r="I48" s="61"/>
      <c r="J48" s="63"/>
    </row>
    <row r="49" spans="1:10" x14ac:dyDescent="0.25">
      <c r="A49" s="78"/>
      <c r="B49" s="83"/>
      <c r="C49" s="204"/>
      <c r="D49" s="205"/>
      <c r="F49" s="112"/>
      <c r="G49" s="112"/>
      <c r="H49" s="113"/>
      <c r="I49" s="61"/>
      <c r="J49" s="63"/>
    </row>
    <row r="50" spans="1:10" x14ac:dyDescent="0.25">
      <c r="A50" s="78"/>
      <c r="B50" s="83"/>
      <c r="C50" s="204"/>
      <c r="D50" s="205"/>
      <c r="F50" s="112"/>
      <c r="G50" s="112"/>
      <c r="H50" s="126"/>
      <c r="I50" s="61"/>
      <c r="J50" s="63"/>
    </row>
    <row r="51" spans="1:10" x14ac:dyDescent="0.25">
      <c r="A51" s="78"/>
      <c r="B51" s="83"/>
      <c r="C51" s="194"/>
      <c r="D51" s="195"/>
      <c r="F51" s="188"/>
      <c r="G51" s="188"/>
      <c r="H51"/>
      <c r="I51" s="61"/>
      <c r="J51" s="63"/>
    </row>
    <row r="52" spans="1:10" x14ac:dyDescent="0.25">
      <c r="A52" s="78"/>
      <c r="B52" s="83"/>
      <c r="C52" s="194"/>
      <c r="D52" s="195"/>
      <c r="F52" s="188"/>
      <c r="G52" s="188"/>
      <c r="H52"/>
      <c r="I52" s="61"/>
      <c r="J52" s="63"/>
    </row>
    <row r="53" spans="1:10" x14ac:dyDescent="0.25">
      <c r="A53" s="78"/>
      <c r="B53" s="83"/>
      <c r="C53" s="194"/>
      <c r="D53" s="195"/>
      <c r="F53" s="188"/>
      <c r="G53" s="188"/>
      <c r="H53"/>
      <c r="I53" s="61"/>
      <c r="J53" s="63"/>
    </row>
    <row r="54" spans="1:10" x14ac:dyDescent="0.25">
      <c r="A54" s="78"/>
      <c r="B54" s="83"/>
      <c r="C54" s="194"/>
      <c r="D54" s="195"/>
      <c r="F54" s="188"/>
      <c r="G54" s="188"/>
      <c r="H54"/>
      <c r="I54" s="61"/>
      <c r="J54" s="63"/>
    </row>
    <row r="55" spans="1:10" x14ac:dyDescent="0.25">
      <c r="A55" s="78"/>
      <c r="B55" s="83"/>
      <c r="C55" s="194"/>
      <c r="D55" s="195"/>
      <c r="F55" s="188"/>
      <c r="G55" s="188"/>
      <c r="H55"/>
      <c r="I55" s="61"/>
      <c r="J55" s="63"/>
    </row>
    <row r="56" spans="1:10" x14ac:dyDescent="0.25">
      <c r="A56" s="78"/>
      <c r="B56" s="83"/>
      <c r="C56" s="194"/>
      <c r="D56" s="195"/>
      <c r="F56" s="188"/>
      <c r="G56" s="188"/>
      <c r="H56"/>
      <c r="I56" s="61"/>
      <c r="J56" s="63"/>
    </row>
    <row r="57" spans="1:10" x14ac:dyDescent="0.25">
      <c r="A57" s="78"/>
      <c r="B57" s="83"/>
      <c r="C57" s="194"/>
      <c r="D57" s="195"/>
      <c r="F57" s="188"/>
      <c r="G57" s="188"/>
      <c r="H57"/>
      <c r="I57" s="61"/>
      <c r="J57" s="63"/>
    </row>
    <row r="58" spans="1:10" x14ac:dyDescent="0.25">
      <c r="A58" s="78"/>
      <c r="B58" s="83"/>
      <c r="C58" s="194"/>
      <c r="D58" s="195"/>
      <c r="F58" s="188"/>
      <c r="G58" s="188"/>
      <c r="H58"/>
      <c r="I58" s="61"/>
      <c r="J58" s="63"/>
    </row>
    <row r="59" spans="1:10" x14ac:dyDescent="0.25">
      <c r="A59" s="78"/>
      <c r="B59" s="83"/>
      <c r="C59" s="196"/>
      <c r="D59" s="197"/>
      <c r="F59" s="208"/>
      <c r="G59" s="208"/>
      <c r="H59"/>
      <c r="I59" s="61"/>
      <c r="J59" s="63"/>
    </row>
    <row r="60" spans="1:10" x14ac:dyDescent="0.25">
      <c r="A60" s="78"/>
      <c r="B60" s="83"/>
      <c r="C60" s="196"/>
      <c r="D60" s="197"/>
      <c r="F60" s="208"/>
      <c r="G60" s="208"/>
      <c r="H60"/>
      <c r="I60" s="61"/>
      <c r="J60" s="63"/>
    </row>
    <row r="61" spans="1:10" x14ac:dyDescent="0.25">
      <c r="A61" s="79"/>
      <c r="B61" s="84"/>
      <c r="C61" s="198"/>
      <c r="D61" s="199"/>
      <c r="E61" s="120"/>
      <c r="F61" s="207"/>
      <c r="G61" s="207"/>
      <c r="H61" s="125"/>
      <c r="I61" s="62"/>
      <c r="J61" s="66"/>
    </row>
    <row r="64" spans="1:10" x14ac:dyDescent="0.25">
      <c r="A64"/>
      <c r="B64"/>
      <c r="C64"/>
      <c r="D64"/>
      <c r="E64"/>
      <c r="F64"/>
      <c r="G64"/>
    </row>
  </sheetData>
  <mergeCells count="47">
    <mergeCell ref="G4:I4"/>
    <mergeCell ref="A27:J27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B1:C1"/>
    <mergeCell ref="B2:C2"/>
    <mergeCell ref="F2:I2"/>
    <mergeCell ref="B3:C3"/>
    <mergeCell ref="G3:I3"/>
    <mergeCell ref="C59:D59"/>
    <mergeCell ref="I46:J46"/>
    <mergeCell ref="F51:G51"/>
    <mergeCell ref="F52:G52"/>
    <mergeCell ref="C47:D47"/>
    <mergeCell ref="C48:D48"/>
    <mergeCell ref="C49:D49"/>
    <mergeCell ref="A46:H46"/>
    <mergeCell ref="E47:H47"/>
    <mergeCell ref="C50:D50"/>
    <mergeCell ref="C51:D51"/>
    <mergeCell ref="C52:D52"/>
    <mergeCell ref="F59:G59"/>
    <mergeCell ref="F60:G60"/>
    <mergeCell ref="F61:G61"/>
    <mergeCell ref="F53:G53"/>
    <mergeCell ref="C53:D53"/>
    <mergeCell ref="C54:D54"/>
    <mergeCell ref="C55:D55"/>
    <mergeCell ref="C56:D56"/>
    <mergeCell ref="F58:G58"/>
    <mergeCell ref="F54:G54"/>
    <mergeCell ref="F55:G55"/>
    <mergeCell ref="F56:G56"/>
    <mergeCell ref="F57:G57"/>
    <mergeCell ref="C60:D60"/>
    <mergeCell ref="C61:D61"/>
    <mergeCell ref="C57:D57"/>
    <mergeCell ref="C58:D58"/>
  </mergeCells>
  <conditionalFormatting sqref="A29:J43">
    <cfRule type="cellIs" dxfId="4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44CC-F524-4690-B421-1C539833D49B}">
  <sheetPr codeName="Sheet10">
    <pageSetUpPr autoPageBreaks="0"/>
  </sheetPr>
  <dimension ref="A1:J61"/>
  <sheetViews>
    <sheetView showGridLines="0" zoomScale="110" zoomScaleNormal="110" workbookViewId="0">
      <selection activeCell="L15" sqref="L15"/>
    </sheetView>
  </sheetViews>
  <sheetFormatPr defaultColWidth="8.85546875" defaultRowHeight="15" x14ac:dyDescent="0.25"/>
  <cols>
    <col min="1" max="1" width="12.85546875" style="58" customWidth="1"/>
    <col min="2" max="4" width="11.140625" style="58" customWidth="1"/>
    <col min="5" max="5" width="2.28515625" style="58" customWidth="1"/>
    <col min="6" max="8" width="11.140625" style="58" customWidth="1"/>
    <col min="9" max="9" width="11" style="58" customWidth="1"/>
    <col min="10" max="10" width="25.7109375" style="58" customWidth="1"/>
    <col min="11" max="11" width="6.28515625" style="58" customWidth="1"/>
    <col min="12" max="16384" width="8.85546875" style="58"/>
  </cols>
  <sheetData>
    <row r="1" spans="1:10" x14ac:dyDescent="0.25">
      <c r="A1" s="160" t="s">
        <v>0</v>
      </c>
      <c r="B1" s="181" t="str">
        <f>Overall!C1</f>
        <v>3/19/23-3/25/23</v>
      </c>
      <c r="C1" s="181"/>
    </row>
    <row r="2" spans="1:10" x14ac:dyDescent="0.25">
      <c r="A2" s="160" t="s">
        <v>177</v>
      </c>
      <c r="B2" s="182">
        <f ca="1">TODAY()</f>
        <v>45015</v>
      </c>
      <c r="C2" s="182"/>
      <c r="F2" s="183" t="s">
        <v>182</v>
      </c>
      <c r="G2" s="184"/>
      <c r="H2" s="184"/>
      <c r="I2" s="185"/>
    </row>
    <row r="3" spans="1:10" x14ac:dyDescent="0.25">
      <c r="A3" s="160" t="s">
        <v>1</v>
      </c>
      <c r="B3" s="206" t="s">
        <v>25</v>
      </c>
      <c r="C3" s="206"/>
      <c r="F3" s="85">
        <f>IFERROR(VLOOKUP($B$3,Totals!$B$3:$C$11,2,0),0)</f>
        <v>19571</v>
      </c>
      <c r="G3" s="188" t="s">
        <v>4</v>
      </c>
      <c r="H3" s="188"/>
      <c r="I3" s="189"/>
    </row>
    <row r="4" spans="1:10" x14ac:dyDescent="0.25">
      <c r="F4" s="85">
        <f>VLOOKUP($B$3,Totals!$E$3:$F$12,2,0)</f>
        <v>51366</v>
      </c>
      <c r="G4" s="188" t="s">
        <v>5</v>
      </c>
      <c r="H4" s="188"/>
      <c r="I4" s="189"/>
    </row>
    <row r="5" spans="1:10" x14ac:dyDescent="0.25">
      <c r="A5" s="180" t="s">
        <v>13</v>
      </c>
      <c r="B5" s="89" t="s">
        <v>14</v>
      </c>
      <c r="C5" s="90" t="s">
        <v>15</v>
      </c>
      <c r="D5" s="102" t="s">
        <v>16</v>
      </c>
      <c r="F5" s="86">
        <f>IFERROR(VLOOKUP($B$3,Totals!$B$3:$F$11,3,0),0)</f>
        <v>41600</v>
      </c>
      <c r="G5" s="190" t="s">
        <v>181</v>
      </c>
      <c r="H5" s="190"/>
      <c r="I5" s="191"/>
    </row>
    <row r="6" spans="1:10" x14ac:dyDescent="0.25">
      <c r="A6" s="180"/>
      <c r="B6" s="87">
        <f>VLOOKUP($B$3,Totals!$V$48:$Y$57,2,0)</f>
        <v>3</v>
      </c>
      <c r="C6" s="82">
        <f>VLOOKUP($B$3,Totals!$V$48:$Y$57,3,0)</f>
        <v>3</v>
      </c>
      <c r="D6" s="105">
        <f>VLOOKUP($B$3,Totals!$V$48:$Y$57,4,0)</f>
        <v>1</v>
      </c>
    </row>
    <row r="7" spans="1:10" x14ac:dyDescent="0.25">
      <c r="G7" s="109" t="s">
        <v>6</v>
      </c>
      <c r="H7" s="110">
        <f>F3/F4</f>
        <v>0.38101078534439126</v>
      </c>
    </row>
    <row r="8" spans="1:10" x14ac:dyDescent="0.25">
      <c r="A8" s="180" t="s">
        <v>2</v>
      </c>
      <c r="B8" s="89" t="s">
        <v>180</v>
      </c>
      <c r="C8" s="101" t="s">
        <v>152</v>
      </c>
      <c r="D8" s="96" t="s">
        <v>28</v>
      </c>
      <c r="G8" s="68" t="s">
        <v>7</v>
      </c>
      <c r="H8" s="67">
        <v>1</v>
      </c>
    </row>
    <row r="9" spans="1:10" x14ac:dyDescent="0.25">
      <c r="A9" s="180"/>
      <c r="B9" s="92">
        <f>IFERROR(VLOOKUP($B$3,Totals!$L$3:$N$11,2,0),0)</f>
        <v>68.34319526627219</v>
      </c>
      <c r="C9" s="93">
        <f>IFERROR(VLOOKUP($B$3,Totals!$L$3:$N$11,3,0),0)</f>
        <v>47.04567307692308</v>
      </c>
      <c r="D9" s="94">
        <f>IFERROR(VLOOKUP('12'!$B$3,Totals!$P$4:$Y$12,10,0),0)</f>
        <v>37.432069387554044</v>
      </c>
      <c r="G9" s="60"/>
      <c r="H9" s="60"/>
    </row>
    <row r="14" spans="1:10" x14ac:dyDescent="0.25">
      <c r="J14" s="60"/>
    </row>
    <row r="15" spans="1:10" x14ac:dyDescent="0.25">
      <c r="J15" s="60"/>
    </row>
    <row r="16" spans="1:10" x14ac:dyDescent="0.25">
      <c r="H16" s="60"/>
      <c r="I16" s="60"/>
      <c r="J16" s="60"/>
    </row>
    <row r="17" spans="1:10" x14ac:dyDescent="0.25">
      <c r="H17" s="60"/>
      <c r="I17" s="60"/>
      <c r="J17" s="60"/>
    </row>
    <row r="18" spans="1:10" x14ac:dyDescent="0.25">
      <c r="H18" s="60"/>
      <c r="I18" s="60"/>
      <c r="J18" s="60"/>
    </row>
    <row r="21" spans="1:10" x14ac:dyDescent="0.25">
      <c r="A21" s="183" t="s">
        <v>8</v>
      </c>
      <c r="B21" s="184"/>
      <c r="C21" s="184"/>
      <c r="D21" s="185"/>
      <c r="F21" s="183" t="s">
        <v>9</v>
      </c>
      <c r="G21" s="184"/>
      <c r="H21" s="184"/>
      <c r="I21" s="185"/>
    </row>
    <row r="22" spans="1:10" x14ac:dyDescent="0.25">
      <c r="A22" s="77">
        <v>1</v>
      </c>
      <c r="B22" s="80">
        <f>VLOOKUP($B$3&amp;A22,Totals!$G$49:$K$73,4,0)</f>
        <v>11</v>
      </c>
      <c r="C22" s="188" t="str">
        <f>VLOOKUP($B$3&amp;A22,Totals!$G$49:$K$73,5,0)</f>
        <v>Labeler</v>
      </c>
      <c r="D22" s="189"/>
      <c r="F22" s="77">
        <v>1</v>
      </c>
      <c r="G22" s="80">
        <f>VLOOKUP($B$3&amp;F22,Totals!$M$49:$Q$73,4,0)</f>
        <v>325</v>
      </c>
      <c r="H22" s="188" t="str">
        <f>VLOOKUP($B$3&amp;F22,Totals!$M$49:$Q$73,5,0)</f>
        <v>Manning/Supplies</v>
      </c>
      <c r="I22" s="189"/>
    </row>
    <row r="23" spans="1:10" x14ac:dyDescent="0.25">
      <c r="A23" s="78">
        <v>2</v>
      </c>
      <c r="B23" s="81">
        <f>VLOOKUP($B$3&amp;A23,Totals!$G$49:$K$73,4,0)</f>
        <v>11</v>
      </c>
      <c r="C23" s="188" t="str">
        <f>VLOOKUP($B$3&amp;A23,Totals!$G$49:$K$73,5,0)</f>
        <v>Labeler</v>
      </c>
      <c r="D23" s="189"/>
      <c r="F23" s="78">
        <v>2</v>
      </c>
      <c r="G23" s="81">
        <f>VLOOKUP($B$3&amp;F23,Totals!$M$49:$Q$73,4,0)</f>
        <v>158</v>
      </c>
      <c r="H23" s="188" t="str">
        <f>VLOOKUP($B$3&amp;F23,Totals!$M$49:$Q$73,5,0)</f>
        <v>QA External</v>
      </c>
      <c r="I23" s="189"/>
    </row>
    <row r="24" spans="1:10" x14ac:dyDescent="0.25">
      <c r="A24" s="79">
        <v>3</v>
      </c>
      <c r="B24" s="82">
        <f>VLOOKUP($B$3&amp;A24,Totals!$G$49:$K$73,4,0)</f>
        <v>4</v>
      </c>
      <c r="C24" s="190" t="str">
        <f>VLOOKUP($B$3&amp;A24,Totals!$G$49:$K$73,5,0)</f>
        <v>Capper</v>
      </c>
      <c r="D24" s="191"/>
      <c r="F24" s="79">
        <v>3</v>
      </c>
      <c r="G24" s="82">
        <f>VLOOKUP($B$3&amp;F24,Totals!$M$49:$Q$73,4,0)</f>
        <v>154</v>
      </c>
      <c r="H24" s="190" t="str">
        <f>VLOOKUP($B$3&amp;F24,Totals!$M$49:$Q$73,5,0)</f>
        <v>Case Packer</v>
      </c>
      <c r="I24" s="191"/>
    </row>
    <row r="25" spans="1:10" x14ac:dyDescent="0.25">
      <c r="C25" s="21"/>
    </row>
    <row r="27" spans="1:10" x14ac:dyDescent="0.25">
      <c r="A27" s="181" t="s">
        <v>10</v>
      </c>
      <c r="B27" s="181"/>
      <c r="C27" s="181"/>
      <c r="D27" s="181"/>
      <c r="E27" s="181"/>
      <c r="F27" s="181"/>
      <c r="G27" s="181"/>
      <c r="H27" s="181"/>
      <c r="I27" s="181"/>
      <c r="J27" s="181"/>
    </row>
    <row r="28" spans="1:10" x14ac:dyDescent="0.25">
      <c r="A28" s="89" t="s">
        <v>46</v>
      </c>
      <c r="B28" s="90" t="s">
        <v>45</v>
      </c>
      <c r="C28" s="90" t="s">
        <v>155</v>
      </c>
      <c r="D28" s="90" t="s">
        <v>156</v>
      </c>
      <c r="E28" s="101"/>
      <c r="F28" s="97" t="s">
        <v>157</v>
      </c>
      <c r="G28" s="90" t="s">
        <v>183</v>
      </c>
      <c r="H28" s="90" t="s">
        <v>158</v>
      </c>
      <c r="I28" s="90" t="s">
        <v>178</v>
      </c>
      <c r="J28" s="102" t="s">
        <v>184</v>
      </c>
    </row>
    <row r="29" spans="1:10" x14ac:dyDescent="0.25">
      <c r="A29" s="149" t="str" cm="1">
        <f t="array" ref="A29">IFERROR(INDEX(Overall!B$35:B$71,_xlfn.AGGREGATE(15,3,((Overall!$A$35:$A$71=12)/(Overall!$A$35:$A$71=12)*ROW(Overall!$A$35:$A$71))-ROW(Overall!$A$34), ROWS(Overall!$L$35:L35))),"")</f>
        <v>C</v>
      </c>
      <c r="B29" s="71" cm="1">
        <f t="array" ref="B29">IFERROR(INDEX(Overall!C$35:C$71,_xlfn.AGGREGATE(15,3,((Overall!$A$35:$A$71=12)/(Overall!$A$35:$A$71=12)*ROW(Overall!$A$35:$A$71))-ROW(Overall!$A$34), ROWS(Overall!$L$35:M35))),"")</f>
        <v>45012</v>
      </c>
      <c r="C29" s="98" cm="1">
        <f t="array" ref="C29">IFERROR(INDEX(Overall!D$35:D$71,_xlfn.AGGREGATE(15,3,((Overall!$A$35:$A$71=12)/(Overall!$A$35:$A$71=12)*ROW(Overall!$A$35:$A$71))-ROW(Overall!$A$34), ROWS(Overall!$L$35:N35))),"")</f>
        <v>417600</v>
      </c>
      <c r="D29" s="73" t="str" cm="1">
        <f t="array" ref="D29">IFERROR(INDEX(Overall!E$35:E$71,_xlfn.AGGREGATE(15,3,((Overall!$A$35:$A$71=12)/(Overall!$A$35:$A$71=12)*ROW(Overall!$A$35:$A$71))-ROW(Overall!$A$34), ROWS(Overall!$L$35:O35))),"")</f>
        <v>BTL201988</v>
      </c>
      <c r="E29" s="154" cm="1">
        <f t="array" ref="E29">IFERROR(INDEX(Overall!F$35:F$71,_xlfn.AGGREGATE(15,3,((Overall!$A$35:$A$71=12)/(Overall!$A$35:$A$71=12)*ROW(Overall!$A$35:$A$71))-ROW(Overall!$A$34), ROWS(Overall!$L$35:P35))),"")</f>
        <v>0</v>
      </c>
      <c r="F29" s="155" cm="1">
        <f t="array" ref="F29">IFERROR(INDEX(Overall!G$35:G$71,_xlfn.AGGREGATE(15,3,((Overall!$A$35:$A$71=12)/(Overall!$A$35:$A$71=12)*ROW(Overall!$A$35:$A$71))-ROW(Overall!$A$34), ROWS(Overall!$L$35:Q35))),"")</f>
        <v>7092</v>
      </c>
      <c r="G29" s="117" cm="1">
        <f t="array" ref="G29">IFERROR(INDEX(Overall!H$35:H$71,_xlfn.AGGREGATE(15,3,((Overall!$A$35:$A$71=12)/(Overall!$A$35:$A$71=12)*ROW(Overall!$A$35:$A$71))-ROW(Overall!$A$34), ROWS(Overall!$L$35:R35))),"")</f>
        <v>0</v>
      </c>
      <c r="H29" s="117" cm="1">
        <f t="array" ref="H29">IFERROR(INDEX(Overall!I$35:I$71,_xlfn.AGGREGATE(15,3,((Overall!$A$35:$A$71=12)/(Overall!$A$35:$A$71=12)*ROW(Overall!$A$35:$A$71))-ROW(Overall!$A$34), ROWS(Overall!$L$35:S35))),"")</f>
        <v>7092</v>
      </c>
      <c r="I29" s="73" t="str" cm="1">
        <f t="array" ref="I29">IFERROR(INDEX(Overall!J$35:J$71,_xlfn.AGGREGATE(15,3,((Overall!$A$35:$A$71=12)/(Overall!$A$35:$A$71=12)*ROW(Overall!$A$35:$A$71))-ROW(Overall!$A$34), ROWS(Overall!$L$35:T35))),"")</f>
        <v>PCLARK01</v>
      </c>
      <c r="J29" s="64" cm="1">
        <f t="array" ref="J29">IFERROR(INDEX(Overall!K$35:K$71,_xlfn.AGGREGATE(15,3,((Overall!$A$35:$A$71=12)/(Overall!$A$35:$A$71=12)*ROW(Overall!$A$35:$A$71))-ROW(Overall!$A$34), ROWS(Overall!$L$35:U35))),"")</f>
        <v>0</v>
      </c>
    </row>
    <row r="30" spans="1:10" x14ac:dyDescent="0.25">
      <c r="A30" s="149" t="str" cm="1">
        <f t="array" ref="A30">IFERROR(INDEX(Overall!B$35:B$71,_xlfn.AGGREGATE(15,3,((Overall!$A$35:$A$71=12)/(Overall!$A$35:$A$71=12)*ROW(Overall!$A$35:$A$71))-ROW(Overall!$A$34), ROWS(Overall!$L$35:L36))),"")</f>
        <v>C</v>
      </c>
      <c r="B30" s="71" cm="1">
        <f t="array" ref="B30">IFERROR(INDEX(Overall!C$35:C$71,_xlfn.AGGREGATE(15,3,((Overall!$A$35:$A$71=12)/(Overall!$A$35:$A$71=12)*ROW(Overall!$A$35:$A$71))-ROW(Overall!$A$34), ROWS(Overall!$L$35:M36))),"")</f>
        <v>45012</v>
      </c>
      <c r="C30" s="98" cm="1">
        <f t="array" ref="C30">IFERROR(INDEX(Overall!D$35:D$71,_xlfn.AGGREGATE(15,3,((Overall!$A$35:$A$71=12)/(Overall!$A$35:$A$71=12)*ROW(Overall!$A$35:$A$71))-ROW(Overall!$A$34), ROWS(Overall!$L$35:N36))),"")</f>
        <v>417600</v>
      </c>
      <c r="D30" s="73" t="str" cm="1">
        <f t="array" ref="D30">IFERROR(INDEX(Overall!E$35:E$71,_xlfn.AGGREGATE(15,3,((Overall!$A$35:$A$71=12)/(Overall!$A$35:$A$71=12)*ROW(Overall!$A$35:$A$71))-ROW(Overall!$A$34), ROWS(Overall!$L$35:O36))),"")</f>
        <v>CLO188023</v>
      </c>
      <c r="E30" s="154" cm="1">
        <f t="array" ref="E30">IFERROR(INDEX(Overall!F$35:F$71,_xlfn.AGGREGATE(15,3,((Overall!$A$35:$A$71=12)/(Overall!$A$35:$A$71=12)*ROW(Overall!$A$35:$A$71))-ROW(Overall!$A$34), ROWS(Overall!$L$35:P36))),"")</f>
        <v>0</v>
      </c>
      <c r="F30" s="155" cm="1">
        <f t="array" ref="F30">IFERROR(INDEX(Overall!G$35:G$71,_xlfn.AGGREGATE(15,3,((Overall!$A$35:$A$71=12)/(Overall!$A$35:$A$71=12)*ROW(Overall!$A$35:$A$71))-ROW(Overall!$A$34), ROWS(Overall!$L$35:Q36))),"")</f>
        <v>7304</v>
      </c>
      <c r="G30" s="117" cm="1">
        <f t="array" ref="G30">IFERROR(INDEX(Overall!H$35:H$71,_xlfn.AGGREGATE(15,3,((Overall!$A$35:$A$71=12)/(Overall!$A$35:$A$71=12)*ROW(Overall!$A$35:$A$71))-ROW(Overall!$A$34), ROWS(Overall!$L$35:R36))),"")</f>
        <v>10100</v>
      </c>
      <c r="H30" s="117" cm="1">
        <f t="array" ref="H30">IFERROR(INDEX(Overall!I$35:I$71,_xlfn.AGGREGATE(15,3,((Overall!$A$35:$A$71=12)/(Overall!$A$35:$A$71=12)*ROW(Overall!$A$35:$A$71))-ROW(Overall!$A$34), ROWS(Overall!$L$35:S36))),"")</f>
        <v>-2796</v>
      </c>
      <c r="I30" s="73" t="str" cm="1">
        <f t="array" ref="I30">IFERROR(INDEX(Overall!J$35:J$71,_xlfn.AGGREGATE(15,3,((Overall!$A$35:$A$71=12)/(Overall!$A$35:$A$71=12)*ROW(Overall!$A$35:$A$71))-ROW(Overall!$A$34), ROWS(Overall!$L$35:T36))),"")</f>
        <v>PR048208</v>
      </c>
      <c r="J30" s="64" cm="1">
        <f t="array" ref="J30">IFERROR(INDEX(Overall!K$35:K$71,_xlfn.AGGREGATE(15,3,((Overall!$A$35:$A$71=12)/(Overall!$A$35:$A$71=12)*ROW(Overall!$A$35:$A$71))-ROW(Overall!$A$34), ROWS(Overall!$L$35:U36))),"")</f>
        <v>0</v>
      </c>
    </row>
    <row r="31" spans="1:10" x14ac:dyDescent="0.25">
      <c r="A31" s="149" t="str" cm="1">
        <f t="array" ref="A31">IFERROR(INDEX(Overall!B$35:B$71,_xlfn.AGGREGATE(15,3,((Overall!$A$35:$A$71=12)/(Overall!$A$35:$A$71=12)*ROW(Overall!$A$35:$A$71))-ROW(Overall!$A$34), ROWS(Overall!$L$35:L37))),"")</f>
        <v>B</v>
      </c>
      <c r="B31" s="71" cm="1">
        <f t="array" ref="B31">IFERROR(INDEX(Overall!C$35:C$71,_xlfn.AGGREGATE(15,3,((Overall!$A$35:$A$71=12)/(Overall!$A$35:$A$71=12)*ROW(Overall!$A$35:$A$71))-ROW(Overall!$A$34), ROWS(Overall!$L$35:M37))),"")</f>
        <v>45014</v>
      </c>
      <c r="C31" s="98" cm="1">
        <f t="array" ref="C31">IFERROR(INDEX(Overall!D$35:D$71,_xlfn.AGGREGATE(15,3,((Overall!$A$35:$A$71=12)/(Overall!$A$35:$A$71=12)*ROW(Overall!$A$35:$A$71))-ROW(Overall!$A$34), ROWS(Overall!$L$35:N37))),"")</f>
        <v>417611</v>
      </c>
      <c r="D31" s="73" t="str" cm="1">
        <f t="array" ref="D31">IFERROR(INDEX(Overall!E$35:E$71,_xlfn.AGGREGATE(15,3,((Overall!$A$35:$A$71=12)/(Overall!$A$35:$A$71=12)*ROW(Overall!$A$35:$A$71))-ROW(Overall!$A$34), ROWS(Overall!$L$35:O37))),"")</f>
        <v>BTL201988</v>
      </c>
      <c r="E31" s="154" cm="1">
        <f t="array" ref="E31">IFERROR(INDEX(Overall!F$35:F$71,_xlfn.AGGREGATE(15,3,((Overall!$A$35:$A$71=12)/(Overall!$A$35:$A$71=12)*ROW(Overall!$A$35:$A$71))-ROW(Overall!$A$34), ROWS(Overall!$L$35:P37))),"")</f>
        <v>0</v>
      </c>
      <c r="F31" s="155" cm="1">
        <f t="array" ref="F31">IFERROR(INDEX(Overall!G$35:G$71,_xlfn.AGGREGATE(15,3,((Overall!$A$35:$A$71=12)/(Overall!$A$35:$A$71=12)*ROW(Overall!$A$35:$A$71))-ROW(Overall!$A$34), ROWS(Overall!$L$35:Q37))),"")</f>
        <v>100686</v>
      </c>
      <c r="G31" s="117" cm="1">
        <f t="array" ref="G31">IFERROR(INDEX(Overall!H$35:H$71,_xlfn.AGGREGATE(15,3,((Overall!$A$35:$A$71=12)/(Overall!$A$35:$A$71=12)*ROW(Overall!$A$35:$A$71))-ROW(Overall!$A$34), ROWS(Overall!$L$35:R37))),"")</f>
        <v>34615</v>
      </c>
      <c r="H31" s="117" cm="1">
        <f t="array" ref="H31">IFERROR(INDEX(Overall!I$35:I$71,_xlfn.AGGREGATE(15,3,((Overall!$A$35:$A$71=12)/(Overall!$A$35:$A$71=12)*ROW(Overall!$A$35:$A$71))-ROW(Overall!$A$34), ROWS(Overall!$L$35:S37))),"")</f>
        <v>66071</v>
      </c>
      <c r="I31" s="73" t="str" cm="1">
        <f t="array" ref="I31">IFERROR(INDEX(Overall!J$35:J$71,_xlfn.AGGREGATE(15,3,((Overall!$A$35:$A$71=12)/(Overall!$A$35:$A$71=12)*ROW(Overall!$A$35:$A$71))-ROW(Overall!$A$34), ROWS(Overall!$L$35:T37))),"")</f>
        <v>PCLARK01</v>
      </c>
      <c r="J31" s="64" cm="1">
        <f t="array" ref="J31">IFERROR(INDEX(Overall!K$35:K$71,_xlfn.AGGREGATE(15,3,((Overall!$A$35:$A$71=12)/(Overall!$A$35:$A$71=12)*ROW(Overall!$A$35:$A$71))-ROW(Overall!$A$34), ROWS(Overall!$L$35:U37))),"")</f>
        <v>0</v>
      </c>
    </row>
    <row r="32" spans="1:10" x14ac:dyDescent="0.25">
      <c r="A32" s="149" t="str" cm="1">
        <f t="array" ref="A32">IFERROR(INDEX(Overall!B$35:B$71,_xlfn.AGGREGATE(15,3,((Overall!$A$35:$A$71=12)/(Overall!$A$35:$A$71=12)*ROW(Overall!$A$35:$A$71))-ROW(Overall!$A$34), ROWS(Overall!$L$35:L38))),"")</f>
        <v/>
      </c>
      <c r="B32" s="71" t="str" cm="1">
        <f t="array" ref="B32">IFERROR(INDEX(Overall!C$35:C$71,_xlfn.AGGREGATE(15,3,((Overall!$A$35:$A$71=12)/(Overall!$A$35:$A$71=12)*ROW(Overall!$A$35:$A$71))-ROW(Overall!$A$34), ROWS(Overall!$L$35:M38))),"")</f>
        <v/>
      </c>
      <c r="C32" s="98" t="str" cm="1">
        <f t="array" ref="C32">IFERROR(INDEX(Overall!D$35:D$71,_xlfn.AGGREGATE(15,3,((Overall!$A$35:$A$71=12)/(Overall!$A$35:$A$71=12)*ROW(Overall!$A$35:$A$71))-ROW(Overall!$A$34), ROWS(Overall!$L$35:N38))),"")</f>
        <v/>
      </c>
      <c r="D32" s="73" t="str" cm="1">
        <f t="array" ref="D32">IFERROR(INDEX(Overall!E$35:E$71,_xlfn.AGGREGATE(15,3,((Overall!$A$35:$A$71=12)/(Overall!$A$35:$A$71=12)*ROW(Overall!$A$35:$A$71))-ROW(Overall!$A$34), ROWS(Overall!$L$35:O38))),"")</f>
        <v/>
      </c>
      <c r="E32" s="154" t="str" cm="1">
        <f t="array" ref="E32">IFERROR(INDEX(Overall!F$35:F$71,_xlfn.AGGREGATE(15,3,((Overall!$A$35:$A$71=12)/(Overall!$A$35:$A$71=12)*ROW(Overall!$A$35:$A$71))-ROW(Overall!$A$34), ROWS(Overall!$L$35:P38))),"")</f>
        <v/>
      </c>
      <c r="F32" s="155" t="str" cm="1">
        <f t="array" ref="F32">IFERROR(INDEX(Overall!G$35:G$71,_xlfn.AGGREGATE(15,3,((Overall!$A$35:$A$71=12)/(Overall!$A$35:$A$71=12)*ROW(Overall!$A$35:$A$71))-ROW(Overall!$A$34), ROWS(Overall!$L$35:Q38))),"")</f>
        <v/>
      </c>
      <c r="G32" s="117" t="str" cm="1">
        <f t="array" ref="G32">IFERROR(INDEX(Overall!H$35:H$71,_xlfn.AGGREGATE(15,3,((Overall!$A$35:$A$71=12)/(Overall!$A$35:$A$71=12)*ROW(Overall!$A$35:$A$71))-ROW(Overall!$A$34), ROWS(Overall!$L$35:R38))),"")</f>
        <v/>
      </c>
      <c r="H32" s="117" t="str" cm="1">
        <f t="array" ref="H32">IFERROR(INDEX(Overall!I$35:I$71,_xlfn.AGGREGATE(15,3,((Overall!$A$35:$A$71=12)/(Overall!$A$35:$A$71=12)*ROW(Overall!$A$35:$A$71))-ROW(Overall!$A$34), ROWS(Overall!$L$35:S38))),"")</f>
        <v/>
      </c>
      <c r="I32" s="73" t="str" cm="1">
        <f t="array" ref="I32">IFERROR(INDEX(Overall!J$35:J$71,_xlfn.AGGREGATE(15,3,((Overall!$A$35:$A$71=12)/(Overall!$A$35:$A$71=12)*ROW(Overall!$A$35:$A$71))-ROW(Overall!$A$34), ROWS(Overall!$L$35:T38))),"")</f>
        <v/>
      </c>
      <c r="J32" s="64" t="str" cm="1">
        <f t="array" ref="J32">IFERROR(INDEX(Overall!K$35:K$71,_xlfn.AGGREGATE(15,3,((Overall!$A$35:$A$71=12)/(Overall!$A$35:$A$71=12)*ROW(Overall!$A$35:$A$71))-ROW(Overall!$A$34), ROWS(Overall!$L$35:U38))),"")</f>
        <v/>
      </c>
    </row>
    <row r="33" spans="1:10" x14ac:dyDescent="0.25">
      <c r="A33" s="149" t="str" cm="1">
        <f t="array" ref="A33">IFERROR(INDEX(Overall!B$35:B$71,_xlfn.AGGREGATE(15,3,((Overall!$A$35:$A$71=12)/(Overall!$A$35:$A$71=12)*ROW(Overall!$A$35:$A$71))-ROW(Overall!$A$34), ROWS(Overall!$L$35:L39))),"")</f>
        <v/>
      </c>
      <c r="B33" s="71" t="str" cm="1">
        <f t="array" ref="B33">IFERROR(INDEX(Overall!C$35:C$71,_xlfn.AGGREGATE(15,3,((Overall!$A$35:$A$71=12)/(Overall!$A$35:$A$71=12)*ROW(Overall!$A$35:$A$71))-ROW(Overall!$A$34), ROWS(Overall!$L$35:M39))),"")</f>
        <v/>
      </c>
      <c r="C33" s="98" t="str" cm="1">
        <f t="array" ref="C33">IFERROR(INDEX(Overall!D$35:D$71,_xlfn.AGGREGATE(15,3,((Overall!$A$35:$A$71=12)/(Overall!$A$35:$A$71=12)*ROW(Overall!$A$35:$A$71))-ROW(Overall!$A$34), ROWS(Overall!$L$35:N39))),"")</f>
        <v/>
      </c>
      <c r="D33" s="73" t="str" cm="1">
        <f t="array" ref="D33">IFERROR(INDEX(Overall!E$35:E$71,_xlfn.AGGREGATE(15,3,((Overall!$A$35:$A$71=12)/(Overall!$A$35:$A$71=12)*ROW(Overall!$A$35:$A$71))-ROW(Overall!$A$34), ROWS(Overall!$L$35:O39))),"")</f>
        <v/>
      </c>
      <c r="E33" s="154" t="str" cm="1">
        <f t="array" ref="E33">IFERROR(INDEX(Overall!F$35:F$71,_xlfn.AGGREGATE(15,3,((Overall!$A$35:$A$71=12)/(Overall!$A$35:$A$71=12)*ROW(Overall!$A$35:$A$71))-ROW(Overall!$A$34), ROWS(Overall!$L$35:P39))),"")</f>
        <v/>
      </c>
      <c r="F33" s="155" t="str" cm="1">
        <f t="array" ref="F33">IFERROR(INDEX(Overall!G$35:G$71,_xlfn.AGGREGATE(15,3,((Overall!$A$35:$A$71=12)/(Overall!$A$35:$A$71=12)*ROW(Overall!$A$35:$A$71))-ROW(Overall!$A$34), ROWS(Overall!$L$35:Q39))),"")</f>
        <v/>
      </c>
      <c r="G33" s="117" t="str" cm="1">
        <f t="array" ref="G33">IFERROR(INDEX(Overall!H$35:H$71,_xlfn.AGGREGATE(15,3,((Overall!$A$35:$A$71=12)/(Overall!$A$35:$A$71=12)*ROW(Overall!$A$35:$A$71))-ROW(Overall!$A$34), ROWS(Overall!$L$35:R39))),"")</f>
        <v/>
      </c>
      <c r="H33" s="117" t="str" cm="1">
        <f t="array" ref="H33">IFERROR(INDEX(Overall!I$35:I$71,_xlfn.AGGREGATE(15,3,((Overall!$A$35:$A$71=12)/(Overall!$A$35:$A$71=12)*ROW(Overall!$A$35:$A$71))-ROW(Overall!$A$34), ROWS(Overall!$L$35:S39))),"")</f>
        <v/>
      </c>
      <c r="I33" s="73" t="str" cm="1">
        <f t="array" ref="I33">IFERROR(INDEX(Overall!J$35:J$71,_xlfn.AGGREGATE(15,3,((Overall!$A$35:$A$71=12)/(Overall!$A$35:$A$71=12)*ROW(Overall!$A$35:$A$71))-ROW(Overall!$A$34), ROWS(Overall!$L$35:T39))),"")</f>
        <v/>
      </c>
      <c r="J33" s="64" t="str" cm="1">
        <f t="array" ref="J33">IFERROR(INDEX(Overall!K$35:K$71,_xlfn.AGGREGATE(15,3,((Overall!$A$35:$A$71=12)/(Overall!$A$35:$A$71=12)*ROW(Overall!$A$35:$A$71))-ROW(Overall!$A$34), ROWS(Overall!$L$35:U39))),"")</f>
        <v/>
      </c>
    </row>
    <row r="34" spans="1:10" x14ac:dyDescent="0.25">
      <c r="A34" s="149" t="str" cm="1">
        <f t="array" ref="A34">IFERROR(INDEX(Overall!B$35:B$71,_xlfn.AGGREGATE(15,3,((Overall!$A$35:$A$71=12)/(Overall!$A$35:$A$71=12)*ROW(Overall!$A$35:$A$71))-ROW(Overall!$A$34), ROWS(Overall!$L$35:L40))),"")</f>
        <v/>
      </c>
      <c r="B34" s="71" t="str" cm="1">
        <f t="array" ref="B34">IFERROR(INDEX(Overall!C$35:C$71,_xlfn.AGGREGATE(15,3,((Overall!$A$35:$A$71=12)/(Overall!$A$35:$A$71=12)*ROW(Overall!$A$35:$A$71))-ROW(Overall!$A$34), ROWS(Overall!$L$35:M40))),"")</f>
        <v/>
      </c>
      <c r="C34" s="98" t="str" cm="1">
        <f t="array" ref="C34">IFERROR(INDEX(Overall!D$35:D$71,_xlfn.AGGREGATE(15,3,((Overall!$A$35:$A$71=12)/(Overall!$A$35:$A$71=12)*ROW(Overall!$A$35:$A$71))-ROW(Overall!$A$34), ROWS(Overall!$L$35:N40))),"")</f>
        <v/>
      </c>
      <c r="D34" s="73" t="str" cm="1">
        <f t="array" ref="D34">IFERROR(INDEX(Overall!E$35:E$71,_xlfn.AGGREGATE(15,3,((Overall!$A$35:$A$71=12)/(Overall!$A$35:$A$71=12)*ROW(Overall!$A$35:$A$71))-ROW(Overall!$A$34), ROWS(Overall!$L$35:O40))),"")</f>
        <v/>
      </c>
      <c r="E34" s="154" t="str" cm="1">
        <f t="array" ref="E34">IFERROR(INDEX(Overall!F$35:F$71,_xlfn.AGGREGATE(15,3,((Overall!$A$35:$A$71=12)/(Overall!$A$35:$A$71=12)*ROW(Overall!$A$35:$A$71))-ROW(Overall!$A$34), ROWS(Overall!$L$35:P40))),"")</f>
        <v/>
      </c>
      <c r="F34" s="155" t="str" cm="1">
        <f t="array" ref="F34">IFERROR(INDEX(Overall!G$35:G$71,_xlfn.AGGREGATE(15,3,((Overall!$A$35:$A$71=12)/(Overall!$A$35:$A$71=12)*ROW(Overall!$A$35:$A$71))-ROW(Overall!$A$34), ROWS(Overall!$L$35:Q40))),"")</f>
        <v/>
      </c>
      <c r="G34" s="117" t="str" cm="1">
        <f t="array" ref="G34">IFERROR(INDEX(Overall!H$35:H$71,_xlfn.AGGREGATE(15,3,((Overall!$A$35:$A$71=12)/(Overall!$A$35:$A$71=12)*ROW(Overall!$A$35:$A$71))-ROW(Overall!$A$34), ROWS(Overall!$L$35:R40))),"")</f>
        <v/>
      </c>
      <c r="H34" s="117" t="str" cm="1">
        <f t="array" ref="H34">IFERROR(INDEX(Overall!I$35:I$71,_xlfn.AGGREGATE(15,3,((Overall!$A$35:$A$71=12)/(Overall!$A$35:$A$71=12)*ROW(Overall!$A$35:$A$71))-ROW(Overall!$A$34), ROWS(Overall!$L$35:S40))),"")</f>
        <v/>
      </c>
      <c r="I34" s="73" t="str" cm="1">
        <f t="array" ref="I34">IFERROR(INDEX(Overall!J$35:J$71,_xlfn.AGGREGATE(15,3,((Overall!$A$35:$A$71=12)/(Overall!$A$35:$A$71=12)*ROW(Overall!$A$35:$A$71))-ROW(Overall!$A$34), ROWS(Overall!$L$35:T40))),"")</f>
        <v/>
      </c>
      <c r="J34" s="64" t="str" cm="1">
        <f t="array" ref="J34">IFERROR(INDEX(Overall!K$35:K$71,_xlfn.AGGREGATE(15,3,((Overall!$A$35:$A$71=12)/(Overall!$A$35:$A$71=12)*ROW(Overall!$A$35:$A$71))-ROW(Overall!$A$34), ROWS(Overall!$L$35:U40))),"")</f>
        <v/>
      </c>
    </row>
    <row r="35" spans="1:10" x14ac:dyDescent="0.25">
      <c r="A35" s="149" t="str" cm="1">
        <f t="array" ref="A35">IFERROR(INDEX(Overall!B$35:B$71,_xlfn.AGGREGATE(15,3,((Overall!$A$35:$A$71=12)/(Overall!$A$35:$A$71=12)*ROW(Overall!$A$35:$A$71))-ROW(Overall!$A$34), ROWS(Overall!$L$35:L41))),"")</f>
        <v/>
      </c>
      <c r="B35" s="71" t="str" cm="1">
        <f t="array" ref="B35">IFERROR(INDEX(Overall!C$35:C$71,_xlfn.AGGREGATE(15,3,((Overall!$A$35:$A$71=12)/(Overall!$A$35:$A$71=12)*ROW(Overall!$A$35:$A$71))-ROW(Overall!$A$34), ROWS(Overall!$L$35:M41))),"")</f>
        <v/>
      </c>
      <c r="C35" s="98" t="str" cm="1">
        <f t="array" ref="C35">IFERROR(INDEX(Overall!D$35:D$71,_xlfn.AGGREGATE(15,3,((Overall!$A$35:$A$71=12)/(Overall!$A$35:$A$71=12)*ROW(Overall!$A$35:$A$71))-ROW(Overall!$A$34), ROWS(Overall!$L$35:N41))),"")</f>
        <v/>
      </c>
      <c r="D35" s="73" t="str" cm="1">
        <f t="array" ref="D35">IFERROR(INDEX(Overall!E$35:E$71,_xlfn.AGGREGATE(15,3,((Overall!$A$35:$A$71=12)/(Overall!$A$35:$A$71=12)*ROW(Overall!$A$35:$A$71))-ROW(Overall!$A$34), ROWS(Overall!$L$35:O41))),"")</f>
        <v/>
      </c>
      <c r="E35" s="154" t="str" cm="1">
        <f t="array" ref="E35">IFERROR(INDEX(Overall!F$35:F$71,_xlfn.AGGREGATE(15,3,((Overall!$A$35:$A$71=12)/(Overall!$A$35:$A$71=12)*ROW(Overall!$A$35:$A$71))-ROW(Overall!$A$34), ROWS(Overall!$L$35:P41))),"")</f>
        <v/>
      </c>
      <c r="F35" s="155" t="str" cm="1">
        <f t="array" ref="F35">IFERROR(INDEX(Overall!G$35:G$71,_xlfn.AGGREGATE(15,3,((Overall!$A$35:$A$71=12)/(Overall!$A$35:$A$71=12)*ROW(Overall!$A$35:$A$71))-ROW(Overall!$A$34), ROWS(Overall!$L$35:Q41))),"")</f>
        <v/>
      </c>
      <c r="G35" s="117" t="str" cm="1">
        <f t="array" ref="G35">IFERROR(INDEX(Overall!H$35:H$71,_xlfn.AGGREGATE(15,3,((Overall!$A$35:$A$71=12)/(Overall!$A$35:$A$71=12)*ROW(Overall!$A$35:$A$71))-ROW(Overall!$A$34), ROWS(Overall!$L$35:R41))),"")</f>
        <v/>
      </c>
      <c r="H35" s="117" t="str" cm="1">
        <f t="array" ref="H35">IFERROR(INDEX(Overall!I$35:I$71,_xlfn.AGGREGATE(15,3,((Overall!$A$35:$A$71=12)/(Overall!$A$35:$A$71=12)*ROW(Overall!$A$35:$A$71))-ROW(Overall!$A$34), ROWS(Overall!$L$35:S41))),"")</f>
        <v/>
      </c>
      <c r="I35" s="73" t="str" cm="1">
        <f t="array" ref="I35">IFERROR(INDEX(Overall!J$35:J$71,_xlfn.AGGREGATE(15,3,((Overall!$A$35:$A$71=12)/(Overall!$A$35:$A$71=12)*ROW(Overall!$A$35:$A$71))-ROW(Overall!$A$34), ROWS(Overall!$L$35:T41))),"")</f>
        <v/>
      </c>
      <c r="J35" s="64" t="str" cm="1">
        <f t="array" ref="J35">IFERROR(INDEX(Overall!K$35:K$71,_xlfn.AGGREGATE(15,3,((Overall!$A$35:$A$71=12)/(Overall!$A$35:$A$71=12)*ROW(Overall!$A$35:$A$71))-ROW(Overall!$A$34), ROWS(Overall!$L$35:U41))),"")</f>
        <v/>
      </c>
    </row>
    <row r="36" spans="1:10" x14ac:dyDescent="0.25">
      <c r="A36" s="149" t="str" cm="1">
        <f t="array" ref="A36">IFERROR(INDEX(Overall!B$35:B$71,_xlfn.AGGREGATE(15,3,((Overall!$A$35:$A$71=12)/(Overall!$A$35:$A$71=12)*ROW(Overall!$A$35:$A$71))-ROW(Overall!$A$34), ROWS(Overall!$L$35:L42))),"")</f>
        <v/>
      </c>
      <c r="B36" s="71" t="str" cm="1">
        <f t="array" ref="B36">IFERROR(INDEX(Overall!C$35:C$71,_xlfn.AGGREGATE(15,3,((Overall!$A$35:$A$71=12)/(Overall!$A$35:$A$71=12)*ROW(Overall!$A$35:$A$71))-ROW(Overall!$A$34), ROWS(Overall!$L$35:M42))),"")</f>
        <v/>
      </c>
      <c r="C36" s="98" t="str" cm="1">
        <f t="array" ref="C36">IFERROR(INDEX(Overall!D$35:D$71,_xlfn.AGGREGATE(15,3,((Overall!$A$35:$A$71=12)/(Overall!$A$35:$A$71=12)*ROW(Overall!$A$35:$A$71))-ROW(Overall!$A$34), ROWS(Overall!$L$35:N42))),"")</f>
        <v/>
      </c>
      <c r="D36" s="73" t="str" cm="1">
        <f t="array" ref="D36">IFERROR(INDEX(Overall!E$35:E$71,_xlfn.AGGREGATE(15,3,((Overall!$A$35:$A$71=12)/(Overall!$A$35:$A$71=12)*ROW(Overall!$A$35:$A$71))-ROW(Overall!$A$34), ROWS(Overall!$L$35:O42))),"")</f>
        <v/>
      </c>
      <c r="E36" s="154" t="str" cm="1">
        <f t="array" ref="E36">IFERROR(INDEX(Overall!F$35:F$71,_xlfn.AGGREGATE(15,3,((Overall!$A$35:$A$71=12)/(Overall!$A$35:$A$71=12)*ROW(Overall!$A$35:$A$71))-ROW(Overall!$A$34), ROWS(Overall!$L$35:P42))),"")</f>
        <v/>
      </c>
      <c r="F36" s="155" t="str" cm="1">
        <f t="array" ref="F36">IFERROR(INDEX(Overall!G$35:G$71,_xlfn.AGGREGATE(15,3,((Overall!$A$35:$A$71=12)/(Overall!$A$35:$A$71=12)*ROW(Overall!$A$35:$A$71))-ROW(Overall!$A$34), ROWS(Overall!$L$35:Q42))),"")</f>
        <v/>
      </c>
      <c r="G36" s="117" t="str" cm="1">
        <f t="array" ref="G36">IFERROR(INDEX(Overall!H$35:H$71,_xlfn.AGGREGATE(15,3,((Overall!$A$35:$A$71=12)/(Overall!$A$35:$A$71=12)*ROW(Overall!$A$35:$A$71))-ROW(Overall!$A$34), ROWS(Overall!$L$35:R42))),"")</f>
        <v/>
      </c>
      <c r="H36" s="117" t="str" cm="1">
        <f t="array" ref="H36">IFERROR(INDEX(Overall!I$35:I$71,_xlfn.AGGREGATE(15,3,((Overall!$A$35:$A$71=12)/(Overall!$A$35:$A$71=12)*ROW(Overall!$A$35:$A$71))-ROW(Overall!$A$34), ROWS(Overall!$L$35:S42))),"")</f>
        <v/>
      </c>
      <c r="I36" s="73" t="str" cm="1">
        <f t="array" ref="I36">IFERROR(INDEX(Overall!J$35:J$71,_xlfn.AGGREGATE(15,3,((Overall!$A$35:$A$71=12)/(Overall!$A$35:$A$71=12)*ROW(Overall!$A$35:$A$71))-ROW(Overall!$A$34), ROWS(Overall!$L$35:T42))),"")</f>
        <v/>
      </c>
      <c r="J36" s="64" t="str" cm="1">
        <f t="array" ref="J36">IFERROR(INDEX(Overall!K$35:K$71,_xlfn.AGGREGATE(15,3,((Overall!$A$35:$A$71=12)/(Overall!$A$35:$A$71=12)*ROW(Overall!$A$35:$A$71))-ROW(Overall!$A$34), ROWS(Overall!$L$35:U42))),"")</f>
        <v/>
      </c>
    </row>
    <row r="37" spans="1:10" x14ac:dyDescent="0.25">
      <c r="A37" s="149" t="str" cm="1">
        <f t="array" ref="A37">IFERROR(INDEX(Overall!B$35:B$71,_xlfn.AGGREGATE(15,3,((Overall!$A$35:$A$71=12)/(Overall!$A$35:$A$71=12)*ROW(Overall!$A$35:$A$71))-ROW(Overall!$A$34), ROWS(Overall!$L$35:L43))),"")</f>
        <v/>
      </c>
      <c r="B37" s="71" t="str" cm="1">
        <f t="array" ref="B37">IFERROR(INDEX(Overall!C$35:C$71,_xlfn.AGGREGATE(15,3,((Overall!$A$35:$A$71=12)/(Overall!$A$35:$A$71=12)*ROW(Overall!$A$35:$A$71))-ROW(Overall!$A$34), ROWS(Overall!$L$35:M43))),"")</f>
        <v/>
      </c>
      <c r="C37" s="98" t="str" cm="1">
        <f t="array" ref="C37">IFERROR(INDEX(Overall!D$35:D$71,_xlfn.AGGREGATE(15,3,((Overall!$A$35:$A$71=12)/(Overall!$A$35:$A$71=12)*ROW(Overall!$A$35:$A$71))-ROW(Overall!$A$34), ROWS(Overall!$L$35:N43))),"")</f>
        <v/>
      </c>
      <c r="D37" s="73" t="str" cm="1">
        <f t="array" ref="D37">IFERROR(INDEX(Overall!E$35:E$71,_xlfn.AGGREGATE(15,3,((Overall!$A$35:$A$71=12)/(Overall!$A$35:$A$71=12)*ROW(Overall!$A$35:$A$71))-ROW(Overall!$A$34), ROWS(Overall!$L$35:O43))),"")</f>
        <v/>
      </c>
      <c r="E37" s="154" t="str" cm="1">
        <f t="array" ref="E37">IFERROR(INDEX(Overall!F$35:F$71,_xlfn.AGGREGATE(15,3,((Overall!$A$35:$A$71=12)/(Overall!$A$35:$A$71=12)*ROW(Overall!$A$35:$A$71))-ROW(Overall!$A$34), ROWS(Overall!$L$35:P43))),"")</f>
        <v/>
      </c>
      <c r="F37" s="155" t="str" cm="1">
        <f t="array" ref="F37">IFERROR(INDEX(Overall!G$35:G$71,_xlfn.AGGREGATE(15,3,((Overall!$A$35:$A$71=12)/(Overall!$A$35:$A$71=12)*ROW(Overall!$A$35:$A$71))-ROW(Overall!$A$34), ROWS(Overall!$L$35:Q43))),"")</f>
        <v/>
      </c>
      <c r="G37" s="117" t="str" cm="1">
        <f t="array" ref="G37">IFERROR(INDEX(Overall!H$35:H$71,_xlfn.AGGREGATE(15,3,((Overall!$A$35:$A$71=12)/(Overall!$A$35:$A$71=12)*ROW(Overall!$A$35:$A$71))-ROW(Overall!$A$34), ROWS(Overall!$L$35:R43))),"")</f>
        <v/>
      </c>
      <c r="H37" s="117" t="str" cm="1">
        <f t="array" ref="H37">IFERROR(INDEX(Overall!I$35:I$71,_xlfn.AGGREGATE(15,3,((Overall!$A$35:$A$71=12)/(Overall!$A$35:$A$71=12)*ROW(Overall!$A$35:$A$71))-ROW(Overall!$A$34), ROWS(Overall!$L$35:S43))),"")</f>
        <v/>
      </c>
      <c r="I37" s="73" t="str" cm="1">
        <f t="array" ref="I37">IFERROR(INDEX(Overall!J$35:J$71,_xlfn.AGGREGATE(15,3,((Overall!$A$35:$A$71=12)/(Overall!$A$35:$A$71=12)*ROW(Overall!$A$35:$A$71))-ROW(Overall!$A$34), ROWS(Overall!$L$35:T43))),"")</f>
        <v/>
      </c>
      <c r="J37" s="64" t="str" cm="1">
        <f t="array" ref="J37">IFERROR(INDEX(Overall!K$35:K$71,_xlfn.AGGREGATE(15,3,((Overall!$A$35:$A$71=12)/(Overall!$A$35:$A$71=12)*ROW(Overall!$A$35:$A$71))-ROW(Overall!$A$34), ROWS(Overall!$L$35:U43))),"")</f>
        <v/>
      </c>
    </row>
    <row r="38" spans="1:10" x14ac:dyDescent="0.25">
      <c r="A38" s="149" t="str" cm="1">
        <f t="array" ref="A38">IFERROR(INDEX(Overall!B$35:B$71,_xlfn.AGGREGATE(15,3,((Overall!$A$35:$A$71=12)/(Overall!$A$35:$A$71=12)*ROW(Overall!$A$35:$A$71))-ROW(Overall!$A$34), ROWS(Overall!$L$35:L44))),"")</f>
        <v/>
      </c>
      <c r="B38" s="71" t="str" cm="1">
        <f t="array" ref="B38">IFERROR(INDEX(Overall!C$35:C$71,_xlfn.AGGREGATE(15,3,((Overall!$A$35:$A$71=12)/(Overall!$A$35:$A$71=12)*ROW(Overall!$A$35:$A$71))-ROW(Overall!$A$34), ROWS(Overall!$L$35:M44))),"")</f>
        <v/>
      </c>
      <c r="C38" s="98" t="str" cm="1">
        <f t="array" ref="C38">IFERROR(INDEX(Overall!D$35:D$71,_xlfn.AGGREGATE(15,3,((Overall!$A$35:$A$71=12)/(Overall!$A$35:$A$71=12)*ROW(Overall!$A$35:$A$71))-ROW(Overall!$A$34), ROWS(Overall!$L$35:N44))),"")</f>
        <v/>
      </c>
      <c r="D38" s="73" t="str" cm="1">
        <f t="array" ref="D38">IFERROR(INDEX(Overall!E$35:E$71,_xlfn.AGGREGATE(15,3,((Overall!$A$35:$A$71=12)/(Overall!$A$35:$A$71=12)*ROW(Overall!$A$35:$A$71))-ROW(Overall!$A$34), ROWS(Overall!$L$35:O44))),"")</f>
        <v/>
      </c>
      <c r="E38" s="154" t="str" cm="1">
        <f t="array" ref="E38">IFERROR(INDEX(Overall!F$35:F$71,_xlfn.AGGREGATE(15,3,((Overall!$A$35:$A$71=12)/(Overall!$A$35:$A$71=12)*ROW(Overall!$A$35:$A$71))-ROW(Overall!$A$34), ROWS(Overall!$L$35:P44))),"")</f>
        <v/>
      </c>
      <c r="F38" s="155" t="str" cm="1">
        <f t="array" ref="F38">IFERROR(INDEX(Overall!G$35:G$71,_xlfn.AGGREGATE(15,3,((Overall!$A$35:$A$71=12)/(Overall!$A$35:$A$71=12)*ROW(Overall!$A$35:$A$71))-ROW(Overall!$A$34), ROWS(Overall!$L$35:Q44))),"")</f>
        <v/>
      </c>
      <c r="G38" s="117" t="str" cm="1">
        <f t="array" ref="G38">IFERROR(INDEX(Overall!H$35:H$71,_xlfn.AGGREGATE(15,3,((Overall!$A$35:$A$71=12)/(Overall!$A$35:$A$71=12)*ROW(Overall!$A$35:$A$71))-ROW(Overall!$A$34), ROWS(Overall!$L$35:R44))),"")</f>
        <v/>
      </c>
      <c r="H38" s="117" t="str" cm="1">
        <f t="array" ref="H38">IFERROR(INDEX(Overall!I$35:I$71,_xlfn.AGGREGATE(15,3,((Overall!$A$35:$A$71=12)/(Overall!$A$35:$A$71=12)*ROW(Overall!$A$35:$A$71))-ROW(Overall!$A$34), ROWS(Overall!$L$35:S44))),"")</f>
        <v/>
      </c>
      <c r="I38" s="73" t="str" cm="1">
        <f t="array" ref="I38">IFERROR(INDEX(Overall!J$35:J$71,_xlfn.AGGREGATE(15,3,((Overall!$A$35:$A$71=12)/(Overall!$A$35:$A$71=12)*ROW(Overall!$A$35:$A$71))-ROW(Overall!$A$34), ROWS(Overall!$L$35:T44))),"")</f>
        <v/>
      </c>
      <c r="J38" s="64" t="str" cm="1">
        <f t="array" ref="J38">IFERROR(INDEX(Overall!K$35:K$71,_xlfn.AGGREGATE(15,3,((Overall!$A$35:$A$71=12)/(Overall!$A$35:$A$71=12)*ROW(Overall!$A$35:$A$71))-ROW(Overall!$A$34), ROWS(Overall!$L$35:U44))),"")</f>
        <v/>
      </c>
    </row>
    <row r="39" spans="1:10" x14ac:dyDescent="0.25">
      <c r="A39" s="149" t="str" cm="1">
        <f t="array" ref="A39">IFERROR(INDEX(Overall!B$35:B$71,_xlfn.AGGREGATE(15,3,((Overall!$A$35:$A$71=12)/(Overall!$A$35:$A$71=12)*ROW(Overall!$A$35:$A$71))-ROW(Overall!$A$34), ROWS(Overall!$L$35:L45))),"")</f>
        <v/>
      </c>
      <c r="B39" s="71" t="str" cm="1">
        <f t="array" ref="B39">IFERROR(INDEX(Overall!C$35:C$71,_xlfn.AGGREGATE(15,3,((Overall!$A$35:$A$71=12)/(Overall!$A$35:$A$71=12)*ROW(Overall!$A$35:$A$71))-ROW(Overall!$A$34), ROWS(Overall!$L$35:M45))),"")</f>
        <v/>
      </c>
      <c r="C39" s="98" t="str" cm="1">
        <f t="array" ref="C39">IFERROR(INDEX(Overall!D$35:D$71,_xlfn.AGGREGATE(15,3,((Overall!$A$35:$A$71=12)/(Overall!$A$35:$A$71=12)*ROW(Overall!$A$35:$A$71))-ROW(Overall!$A$34), ROWS(Overall!$L$35:N45))),"")</f>
        <v/>
      </c>
      <c r="D39" s="73" t="str" cm="1">
        <f t="array" ref="D39">IFERROR(INDEX(Overall!E$35:E$71,_xlfn.AGGREGATE(15,3,((Overall!$A$35:$A$71=12)/(Overall!$A$35:$A$71=12)*ROW(Overall!$A$35:$A$71))-ROW(Overall!$A$34), ROWS(Overall!$L$35:O45))),"")</f>
        <v/>
      </c>
      <c r="E39" s="154" t="str" cm="1">
        <f t="array" ref="E39">IFERROR(INDEX(Overall!F$35:F$71,_xlfn.AGGREGATE(15,3,((Overall!$A$35:$A$71=12)/(Overall!$A$35:$A$71=12)*ROW(Overall!$A$35:$A$71))-ROW(Overall!$A$34), ROWS(Overall!$L$35:P45))),"")</f>
        <v/>
      </c>
      <c r="F39" s="155" t="str" cm="1">
        <f t="array" ref="F39">IFERROR(INDEX(Overall!G$35:G$71,_xlfn.AGGREGATE(15,3,((Overall!$A$35:$A$71=12)/(Overall!$A$35:$A$71=12)*ROW(Overall!$A$35:$A$71))-ROW(Overall!$A$34), ROWS(Overall!$L$35:Q45))),"")</f>
        <v/>
      </c>
      <c r="G39" s="117" t="str" cm="1">
        <f t="array" ref="G39">IFERROR(INDEX(Overall!H$35:H$71,_xlfn.AGGREGATE(15,3,((Overall!$A$35:$A$71=12)/(Overall!$A$35:$A$71=12)*ROW(Overall!$A$35:$A$71))-ROW(Overall!$A$34), ROWS(Overall!$L$35:R45))),"")</f>
        <v/>
      </c>
      <c r="H39" s="117" t="str" cm="1">
        <f t="array" ref="H39">IFERROR(INDEX(Overall!I$35:I$71,_xlfn.AGGREGATE(15,3,((Overall!$A$35:$A$71=12)/(Overall!$A$35:$A$71=12)*ROW(Overall!$A$35:$A$71))-ROW(Overall!$A$34), ROWS(Overall!$L$35:S45))),"")</f>
        <v/>
      </c>
      <c r="I39" s="73" t="str" cm="1">
        <f t="array" ref="I39">IFERROR(INDEX(Overall!J$35:J$71,_xlfn.AGGREGATE(15,3,((Overall!$A$35:$A$71=12)/(Overall!$A$35:$A$71=12)*ROW(Overall!$A$35:$A$71))-ROW(Overall!$A$34), ROWS(Overall!$L$35:T45))),"")</f>
        <v/>
      </c>
      <c r="J39" s="64" t="str" cm="1">
        <f t="array" ref="J39">IFERROR(INDEX(Overall!K$35:K$71,_xlfn.AGGREGATE(15,3,((Overall!$A$35:$A$71=12)/(Overall!$A$35:$A$71=12)*ROW(Overall!$A$35:$A$71))-ROW(Overall!$A$34), ROWS(Overall!$L$35:U45))),"")</f>
        <v/>
      </c>
    </row>
    <row r="40" spans="1:10" x14ac:dyDescent="0.25">
      <c r="A40" s="149" t="str" cm="1">
        <f t="array" ref="A40">IFERROR(INDEX(Overall!B$35:B$71,_xlfn.AGGREGATE(15,3,((Overall!$A$35:$A$71=12)/(Overall!$A$35:$A$71=12)*ROW(Overall!$A$35:$A$71))-ROW(Overall!$A$34), ROWS(Overall!$L$35:L46))),"")</f>
        <v/>
      </c>
      <c r="B40" s="71" t="str" cm="1">
        <f t="array" ref="B40">IFERROR(INDEX(Overall!C$35:C$71,_xlfn.AGGREGATE(15,3,((Overall!$A$35:$A$71=12)/(Overall!$A$35:$A$71=12)*ROW(Overall!$A$35:$A$71))-ROW(Overall!$A$34), ROWS(Overall!$L$35:M46))),"")</f>
        <v/>
      </c>
      <c r="C40" s="98" t="str" cm="1">
        <f t="array" ref="C40">IFERROR(INDEX(Overall!D$35:D$71,_xlfn.AGGREGATE(15,3,((Overall!$A$35:$A$71=12)/(Overall!$A$35:$A$71=12)*ROW(Overall!$A$35:$A$71))-ROW(Overall!$A$34), ROWS(Overall!$L$35:N46))),"")</f>
        <v/>
      </c>
      <c r="D40" s="73" t="str" cm="1">
        <f t="array" ref="D40">IFERROR(INDEX(Overall!E$35:E$71,_xlfn.AGGREGATE(15,3,((Overall!$A$35:$A$71=12)/(Overall!$A$35:$A$71=12)*ROW(Overall!$A$35:$A$71))-ROW(Overall!$A$34), ROWS(Overall!$L$35:O46))),"")</f>
        <v/>
      </c>
      <c r="E40" s="154" t="str" cm="1">
        <f t="array" ref="E40">IFERROR(INDEX(Overall!F$35:F$71,_xlfn.AGGREGATE(15,3,((Overall!$A$35:$A$71=12)/(Overall!$A$35:$A$71=12)*ROW(Overall!$A$35:$A$71))-ROW(Overall!$A$34), ROWS(Overall!$L$35:P46))),"")</f>
        <v/>
      </c>
      <c r="F40" s="155" t="str" cm="1">
        <f t="array" ref="F40">IFERROR(INDEX(Overall!G$35:G$71,_xlfn.AGGREGATE(15,3,((Overall!$A$35:$A$71=12)/(Overall!$A$35:$A$71=12)*ROW(Overall!$A$35:$A$71))-ROW(Overall!$A$34), ROWS(Overall!$L$35:Q46))),"")</f>
        <v/>
      </c>
      <c r="G40" s="117" t="str" cm="1">
        <f t="array" ref="G40">IFERROR(INDEX(Overall!H$35:H$71,_xlfn.AGGREGATE(15,3,((Overall!$A$35:$A$71=12)/(Overall!$A$35:$A$71=12)*ROW(Overall!$A$35:$A$71))-ROW(Overall!$A$34), ROWS(Overall!$L$35:R46))),"")</f>
        <v/>
      </c>
      <c r="H40" s="117" t="str" cm="1">
        <f t="array" ref="H40">IFERROR(INDEX(Overall!I$35:I$71,_xlfn.AGGREGATE(15,3,((Overall!$A$35:$A$71=12)/(Overall!$A$35:$A$71=12)*ROW(Overall!$A$35:$A$71))-ROW(Overall!$A$34), ROWS(Overall!$L$35:S46))),"")</f>
        <v/>
      </c>
      <c r="I40" s="73" t="str" cm="1">
        <f t="array" ref="I40">IFERROR(INDEX(Overall!J$35:J$71,_xlfn.AGGREGATE(15,3,((Overall!$A$35:$A$71=12)/(Overall!$A$35:$A$71=12)*ROW(Overall!$A$35:$A$71))-ROW(Overall!$A$34), ROWS(Overall!$L$35:T46))),"")</f>
        <v/>
      </c>
      <c r="J40" s="64" t="str" cm="1">
        <f t="array" ref="J40">IFERROR(INDEX(Overall!K$35:K$71,_xlfn.AGGREGATE(15,3,((Overall!$A$35:$A$71=12)/(Overall!$A$35:$A$71=12)*ROW(Overall!$A$35:$A$71))-ROW(Overall!$A$34), ROWS(Overall!$L$35:U46))),"")</f>
        <v/>
      </c>
    </row>
    <row r="41" spans="1:10" x14ac:dyDescent="0.25">
      <c r="A41" s="149" t="str" cm="1">
        <f t="array" ref="A41">IFERROR(INDEX(Overall!B$35:B$71,_xlfn.AGGREGATE(15,3,((Overall!$A$35:$A$71=12)/(Overall!$A$35:$A$71=12)*ROW(Overall!$A$35:$A$71))-ROW(Overall!$A$34), ROWS(Overall!$L$35:L47))),"")</f>
        <v/>
      </c>
      <c r="B41" s="71" t="str" cm="1">
        <f t="array" ref="B41">IFERROR(INDEX(Overall!C$35:C$71,_xlfn.AGGREGATE(15,3,((Overall!$A$35:$A$71=12)/(Overall!$A$35:$A$71=12)*ROW(Overall!$A$35:$A$71))-ROW(Overall!$A$34), ROWS(Overall!$L$35:M47))),"")</f>
        <v/>
      </c>
      <c r="C41" s="98" t="str" cm="1">
        <f t="array" ref="C41">IFERROR(INDEX(Overall!D$35:D$71,_xlfn.AGGREGATE(15,3,((Overall!$A$35:$A$71=12)/(Overall!$A$35:$A$71=12)*ROW(Overall!$A$35:$A$71))-ROW(Overall!$A$34), ROWS(Overall!$L$35:N47))),"")</f>
        <v/>
      </c>
      <c r="D41" s="73" t="str" cm="1">
        <f t="array" ref="D41">IFERROR(INDEX(Overall!E$35:E$71,_xlfn.AGGREGATE(15,3,((Overall!$A$35:$A$71=12)/(Overall!$A$35:$A$71=12)*ROW(Overall!$A$35:$A$71))-ROW(Overall!$A$34), ROWS(Overall!$L$35:O47))),"")</f>
        <v/>
      </c>
      <c r="E41" s="154" t="str" cm="1">
        <f t="array" ref="E41">IFERROR(INDEX(Overall!F$35:F$71,_xlfn.AGGREGATE(15,3,((Overall!$A$35:$A$71=12)/(Overall!$A$35:$A$71=12)*ROW(Overall!$A$35:$A$71))-ROW(Overall!$A$34), ROWS(Overall!$L$35:P47))),"")</f>
        <v/>
      </c>
      <c r="F41" s="155" t="str" cm="1">
        <f t="array" ref="F41">IFERROR(INDEX(Overall!G$35:G$71,_xlfn.AGGREGATE(15,3,((Overall!$A$35:$A$71=12)/(Overall!$A$35:$A$71=12)*ROW(Overall!$A$35:$A$71))-ROW(Overall!$A$34), ROWS(Overall!$L$35:Q47))),"")</f>
        <v/>
      </c>
      <c r="G41" s="117" t="str" cm="1">
        <f t="array" ref="G41">IFERROR(INDEX(Overall!H$35:H$71,_xlfn.AGGREGATE(15,3,((Overall!$A$35:$A$71=12)/(Overall!$A$35:$A$71=12)*ROW(Overall!$A$35:$A$71))-ROW(Overall!$A$34), ROWS(Overall!$L$35:R47))),"")</f>
        <v/>
      </c>
      <c r="H41" s="117" t="str" cm="1">
        <f t="array" ref="H41">IFERROR(INDEX(Overall!I$35:I$71,_xlfn.AGGREGATE(15,3,((Overall!$A$35:$A$71=12)/(Overall!$A$35:$A$71=12)*ROW(Overall!$A$35:$A$71))-ROW(Overall!$A$34), ROWS(Overall!$L$35:S47))),"")</f>
        <v/>
      </c>
      <c r="I41" s="73" t="str" cm="1">
        <f t="array" ref="I41">IFERROR(INDEX(Overall!J$35:J$71,_xlfn.AGGREGATE(15,3,((Overall!$A$35:$A$71=12)/(Overall!$A$35:$A$71=12)*ROW(Overall!$A$35:$A$71))-ROW(Overall!$A$34), ROWS(Overall!$L$35:T47))),"")</f>
        <v/>
      </c>
      <c r="J41" s="64" t="str" cm="1">
        <f t="array" ref="J41">IFERROR(INDEX(Overall!K$35:K$71,_xlfn.AGGREGATE(15,3,((Overall!$A$35:$A$71=12)/(Overall!$A$35:$A$71=12)*ROW(Overall!$A$35:$A$71))-ROW(Overall!$A$34), ROWS(Overall!$L$35:U47))),"")</f>
        <v/>
      </c>
    </row>
    <row r="42" spans="1:10" x14ac:dyDescent="0.25">
      <c r="A42" s="149" t="str" cm="1">
        <f t="array" ref="A42">IFERROR(INDEX(Overall!B$35:B$71,_xlfn.AGGREGATE(15,3,((Overall!$A$35:$A$71=12)/(Overall!$A$35:$A$71=12)*ROW(Overall!$A$35:$A$71))-ROW(Overall!$A$34), ROWS(Overall!$L$35:L48))),"")</f>
        <v/>
      </c>
      <c r="B42" s="71" t="str" cm="1">
        <f t="array" ref="B42">IFERROR(INDEX(Overall!C$35:C$71,_xlfn.AGGREGATE(15,3,((Overall!$A$35:$A$71=12)/(Overall!$A$35:$A$71=12)*ROW(Overall!$A$35:$A$71))-ROW(Overall!$A$34), ROWS(Overall!$L$35:M48))),"")</f>
        <v/>
      </c>
      <c r="C42" s="98" t="str" cm="1">
        <f t="array" ref="C42">IFERROR(INDEX(Overall!D$35:D$71,_xlfn.AGGREGATE(15,3,((Overall!$A$35:$A$71=12)/(Overall!$A$35:$A$71=12)*ROW(Overall!$A$35:$A$71))-ROW(Overall!$A$34), ROWS(Overall!$L$35:N48))),"")</f>
        <v/>
      </c>
      <c r="D42" s="73" t="str" cm="1">
        <f t="array" ref="D42">IFERROR(INDEX(Overall!E$35:E$71,_xlfn.AGGREGATE(15,3,((Overall!$A$35:$A$71=12)/(Overall!$A$35:$A$71=12)*ROW(Overall!$A$35:$A$71))-ROW(Overall!$A$34), ROWS(Overall!$L$35:O48))),"")</f>
        <v/>
      </c>
      <c r="E42" s="154" t="str" cm="1">
        <f t="array" ref="E42">IFERROR(INDEX(Overall!F$35:F$71,_xlfn.AGGREGATE(15,3,((Overall!$A$35:$A$71=12)/(Overall!$A$35:$A$71=12)*ROW(Overall!$A$35:$A$71))-ROW(Overall!$A$34), ROWS(Overall!$L$35:P48))),"")</f>
        <v/>
      </c>
      <c r="F42" s="155" t="str" cm="1">
        <f t="array" ref="F42">IFERROR(INDEX(Overall!G$35:G$71,_xlfn.AGGREGATE(15,3,((Overall!$A$35:$A$71=12)/(Overall!$A$35:$A$71=12)*ROW(Overall!$A$35:$A$71))-ROW(Overall!$A$34), ROWS(Overall!$L$35:Q48))),"")</f>
        <v/>
      </c>
      <c r="G42" s="117" t="str" cm="1">
        <f t="array" ref="G42">IFERROR(INDEX(Overall!H$35:H$71,_xlfn.AGGREGATE(15,3,((Overall!$A$35:$A$71=12)/(Overall!$A$35:$A$71=12)*ROW(Overall!$A$35:$A$71))-ROW(Overall!$A$34), ROWS(Overall!$L$35:R48))),"")</f>
        <v/>
      </c>
      <c r="H42" s="117" t="str" cm="1">
        <f t="array" ref="H42">IFERROR(INDEX(Overall!I$35:I$71,_xlfn.AGGREGATE(15,3,((Overall!$A$35:$A$71=12)/(Overall!$A$35:$A$71=12)*ROW(Overall!$A$35:$A$71))-ROW(Overall!$A$34), ROWS(Overall!$L$35:S48))),"")</f>
        <v/>
      </c>
      <c r="I42" s="73" t="str" cm="1">
        <f t="array" ref="I42">IFERROR(INDEX(Overall!J$35:J$71,_xlfn.AGGREGATE(15,3,((Overall!$A$35:$A$71=12)/(Overall!$A$35:$A$71=12)*ROW(Overall!$A$35:$A$71))-ROW(Overall!$A$34), ROWS(Overall!$L$35:T48))),"")</f>
        <v/>
      </c>
      <c r="J42" s="64" t="str" cm="1">
        <f t="array" ref="J42">IFERROR(INDEX(Overall!K$35:K$71,_xlfn.AGGREGATE(15,3,((Overall!$A$35:$A$71=12)/(Overall!$A$35:$A$71=12)*ROW(Overall!$A$35:$A$71))-ROW(Overall!$A$34), ROWS(Overall!$L$35:U48))),"")</f>
        <v/>
      </c>
    </row>
    <row r="43" spans="1:10" x14ac:dyDescent="0.25">
      <c r="A43" s="149" t="str" cm="1">
        <f t="array" ref="A43">IFERROR(INDEX(Overall!B$35:B$71,_xlfn.AGGREGATE(15,3,((Overall!$A$35:$A$71=12)/(Overall!$A$35:$A$71=12)*ROW(Overall!$A$35:$A$71))-ROW(Overall!$A$34), ROWS(Overall!$L$35:L49))),"")</f>
        <v/>
      </c>
      <c r="B43" s="71" t="str" cm="1">
        <f t="array" ref="B43">IFERROR(INDEX(Overall!C$35:C$71,_xlfn.AGGREGATE(15,3,((Overall!$A$35:$A$71=12)/(Overall!$A$35:$A$71=12)*ROW(Overall!$A$35:$A$71))-ROW(Overall!$A$34), ROWS(Overall!$L$35:M49))),"")</f>
        <v/>
      </c>
      <c r="C43" s="98" t="str" cm="1">
        <f t="array" ref="C43">IFERROR(INDEX(Overall!D$35:D$71,_xlfn.AGGREGATE(15,3,((Overall!$A$35:$A$71=12)/(Overall!$A$35:$A$71=12)*ROW(Overall!$A$35:$A$71))-ROW(Overall!$A$34), ROWS(Overall!$L$35:N49))),"")</f>
        <v/>
      </c>
      <c r="D43" s="73" t="str" cm="1">
        <f t="array" ref="D43">IFERROR(INDEX(Overall!E$35:E$71,_xlfn.AGGREGATE(15,3,((Overall!$A$35:$A$71=12)/(Overall!$A$35:$A$71=12)*ROW(Overall!$A$35:$A$71))-ROW(Overall!$A$34), ROWS(Overall!$L$35:O49))),"")</f>
        <v/>
      </c>
      <c r="E43" s="154" t="str" cm="1">
        <f t="array" ref="E43">IFERROR(INDEX(Overall!F$35:F$71,_xlfn.AGGREGATE(15,3,((Overall!$A$35:$A$71=12)/(Overall!$A$35:$A$71=12)*ROW(Overall!$A$35:$A$71))-ROW(Overall!$A$34), ROWS(Overall!$L$35:P49))),"")</f>
        <v/>
      </c>
      <c r="F43" s="155" t="str" cm="1">
        <f t="array" ref="F43">IFERROR(INDEX(Overall!G$35:G$71,_xlfn.AGGREGATE(15,3,((Overall!$A$35:$A$71=12)/(Overall!$A$35:$A$71=12)*ROW(Overall!$A$35:$A$71))-ROW(Overall!$A$34), ROWS(Overall!$L$35:Q49))),"")</f>
        <v/>
      </c>
      <c r="G43" s="117" t="str" cm="1">
        <f t="array" ref="G43">IFERROR(INDEX(Overall!H$35:H$71,_xlfn.AGGREGATE(15,3,((Overall!$A$35:$A$71=12)/(Overall!$A$35:$A$71=12)*ROW(Overall!$A$35:$A$71))-ROW(Overall!$A$34), ROWS(Overall!$L$35:R49))),"")</f>
        <v/>
      </c>
      <c r="H43" s="117" t="str" cm="1">
        <f t="array" ref="H43">IFERROR(INDEX(Overall!I$35:I$71,_xlfn.AGGREGATE(15,3,((Overall!$A$35:$A$71=12)/(Overall!$A$35:$A$71=12)*ROW(Overall!$A$35:$A$71))-ROW(Overall!$A$34), ROWS(Overall!$L$35:S49))),"")</f>
        <v/>
      </c>
      <c r="I43" s="73" t="str" cm="1">
        <f t="array" ref="I43">IFERROR(INDEX(Overall!J$35:J$71,_xlfn.AGGREGATE(15,3,((Overall!$A$35:$A$71=12)/(Overall!$A$35:$A$71=12)*ROW(Overall!$A$35:$A$71))-ROW(Overall!$A$34), ROWS(Overall!$L$35:T49))),"")</f>
        <v/>
      </c>
      <c r="J43" s="64" t="str" cm="1">
        <f t="array" ref="J43">IFERROR(INDEX(Overall!K$35:K$71,_xlfn.AGGREGATE(15,3,((Overall!$A$35:$A$71=12)/(Overall!$A$35:$A$71=12)*ROW(Overall!$A$35:$A$71))-ROW(Overall!$A$34), ROWS(Overall!$L$35:U49))),"")</f>
        <v/>
      </c>
    </row>
    <row r="44" spans="1:10" x14ac:dyDescent="0.25">
      <c r="A44" s="99" t="str" cm="1">
        <f t="array" ref="A44">IFERROR(INDEX(Overall!B$35:B$71,_xlfn.AGGREGATE(15,3,((Overall!$A$35:$A$71=12)/(Overall!$A$35:$A$71=12)*ROW(Overall!$A$35:$A$71))-ROW(Overall!$A$34), ROWS(Overall!$L$35:L50))),"")</f>
        <v/>
      </c>
      <c r="B44" s="72" t="str" cm="1">
        <f t="array" ref="B44">IFERROR(INDEX(Overall!C$35:C$71,_xlfn.AGGREGATE(15,3,((Overall!$A$35:$A$71=12)/(Overall!$A$35:$A$71=12)*ROW(Overall!$A$35:$A$71))-ROW(Overall!$A$34), ROWS(Overall!$L$35:M50))),"")</f>
        <v/>
      </c>
      <c r="C44" s="99" t="str" cm="1">
        <f t="array" ref="C44">IFERROR(INDEX(Overall!D$35:D$71,_xlfn.AGGREGATE(15,3,((Overall!$A$35:$A$71=12)/(Overall!$A$35:$A$71=12)*ROW(Overall!$A$35:$A$71))-ROW(Overall!$A$34), ROWS(Overall!$L$35:N50))),"")</f>
        <v/>
      </c>
      <c r="D44" s="74" t="str" cm="1">
        <f t="array" ref="D44">IFERROR(INDEX(Overall!E$35:E$71,_xlfn.AGGREGATE(15,3,((Overall!$A$35:$A$71=12)/(Overall!$A$35:$A$71=12)*ROW(Overall!$A$35:$A$71))-ROW(Overall!$A$34), ROWS(Overall!$L$35:O50))),"")</f>
        <v/>
      </c>
      <c r="E44" s="156" t="str" cm="1">
        <f t="array" ref="E44">IFERROR(INDEX(Overall!F$35:F$71,_xlfn.AGGREGATE(15,3,((Overall!$A$35:$A$71=12)/(Overall!$A$35:$A$71=12)*ROW(Overall!$A$35:$A$71))-ROW(Overall!$A$34), ROWS(Overall!$L$35:P50))),"")</f>
        <v/>
      </c>
      <c r="F44" s="157" t="str" cm="1">
        <f t="array" ref="F44">IFERROR(INDEX(Overall!G$35:G$71,_xlfn.AGGREGATE(15,3,((Overall!$A$35:$A$71=12)/(Overall!$A$35:$A$71=12)*ROW(Overall!$A$35:$A$71))-ROW(Overall!$A$34), ROWS(Overall!$L$35:Q50))),"")</f>
        <v/>
      </c>
      <c r="G44" s="118" t="str" cm="1">
        <f t="array" ref="G44">IFERROR(INDEX(Overall!H$35:H$71,_xlfn.AGGREGATE(15,3,((Overall!$A$35:$A$71=12)/(Overall!$A$35:$A$71=12)*ROW(Overall!$A$35:$A$71))-ROW(Overall!$A$34), ROWS(Overall!$L$35:R50))),"")</f>
        <v/>
      </c>
      <c r="H44" s="118" t="str" cm="1">
        <f t="array" ref="H44">IFERROR(INDEX(Overall!I$35:I$71,_xlfn.AGGREGATE(15,3,((Overall!$A$35:$A$71=12)/(Overall!$A$35:$A$71=12)*ROW(Overall!$A$35:$A$71))-ROW(Overall!$A$34), ROWS(Overall!$L$35:S50))),"")</f>
        <v/>
      </c>
      <c r="I44" s="76" t="str" cm="1">
        <f t="array" ref="I44">IFERROR(INDEX(Overall!J$35:J$71,_xlfn.AGGREGATE(15,3,((Overall!$A$35:$A$71=12)/(Overall!$A$35:$A$71=12)*ROW(Overall!$A$35:$A$71))-ROW(Overall!$A$34), ROWS(Overall!$L$35:T50))),"")</f>
        <v/>
      </c>
      <c r="J44" s="65" t="str" cm="1">
        <f t="array" ref="J44">IFERROR(INDEX(Overall!K$35:K$71,_xlfn.AGGREGATE(15,3,((Overall!$A$35:$A$71=12)/(Overall!$A$35:$A$71=12)*ROW(Overall!$A$35:$A$71))-ROW(Overall!$A$34), ROWS(Overall!$L$35:U50))),"")</f>
        <v/>
      </c>
    </row>
    <row r="46" spans="1:10" x14ac:dyDescent="0.25">
      <c r="A46" s="181" t="s">
        <v>11</v>
      </c>
      <c r="B46" s="181"/>
      <c r="C46" s="181"/>
      <c r="D46" s="181"/>
      <c r="E46" s="181"/>
      <c r="F46" s="181"/>
      <c r="G46" s="181"/>
      <c r="H46" s="181"/>
      <c r="I46" s="183" t="s">
        <v>12</v>
      </c>
      <c r="J46" s="185"/>
    </row>
    <row r="47" spans="1:10" x14ac:dyDescent="0.25">
      <c r="A47" s="123" t="s">
        <v>159</v>
      </c>
      <c r="B47" s="124" t="s">
        <v>46</v>
      </c>
      <c r="C47" s="200" t="s">
        <v>45</v>
      </c>
      <c r="D47" s="201"/>
      <c r="E47" s="192" t="s">
        <v>160</v>
      </c>
      <c r="F47" s="193"/>
      <c r="G47" s="193"/>
      <c r="H47" s="193"/>
      <c r="I47" s="61"/>
      <c r="J47" s="63"/>
    </row>
    <row r="48" spans="1:10" x14ac:dyDescent="0.25">
      <c r="A48" s="78"/>
      <c r="B48" s="83"/>
      <c r="C48" s="119"/>
      <c r="D48" s="121"/>
      <c r="F48" s="112"/>
      <c r="G48" s="112"/>
      <c r="H48" s="113"/>
      <c r="I48" s="61"/>
      <c r="J48" s="63"/>
    </row>
    <row r="49" spans="1:10" x14ac:dyDescent="0.25">
      <c r="A49" s="78"/>
      <c r="B49" s="83"/>
      <c r="C49" s="204"/>
      <c r="D49" s="205"/>
      <c r="F49" s="112"/>
      <c r="G49" s="112"/>
      <c r="H49" s="113"/>
      <c r="I49" s="61"/>
      <c r="J49" s="63"/>
    </row>
    <row r="50" spans="1:10" x14ac:dyDescent="0.25">
      <c r="A50" s="78"/>
      <c r="B50" s="83"/>
      <c r="C50" s="204"/>
      <c r="D50" s="205"/>
      <c r="F50" s="112"/>
      <c r="G50" s="112"/>
      <c r="H50"/>
      <c r="I50" s="61"/>
      <c r="J50" s="63"/>
    </row>
    <row r="51" spans="1:10" x14ac:dyDescent="0.25">
      <c r="A51" s="78"/>
      <c r="B51" s="83"/>
      <c r="C51" s="194"/>
      <c r="D51" s="195"/>
      <c r="F51" s="188"/>
      <c r="G51" s="188"/>
      <c r="H51"/>
      <c r="I51" s="61"/>
      <c r="J51" s="63"/>
    </row>
    <row r="52" spans="1:10" x14ac:dyDescent="0.25">
      <c r="A52" s="78"/>
      <c r="B52" s="83"/>
      <c r="C52" s="194"/>
      <c r="D52" s="195"/>
      <c r="F52" s="188"/>
      <c r="G52" s="188"/>
      <c r="H52"/>
      <c r="I52" s="61"/>
      <c r="J52" s="63"/>
    </row>
    <row r="53" spans="1:10" x14ac:dyDescent="0.25">
      <c r="A53" s="78"/>
      <c r="B53" s="83"/>
      <c r="C53" s="194"/>
      <c r="D53" s="195"/>
      <c r="F53" s="188"/>
      <c r="G53" s="188"/>
      <c r="H53"/>
      <c r="I53" s="61"/>
      <c r="J53" s="63"/>
    </row>
    <row r="54" spans="1:10" x14ac:dyDescent="0.25">
      <c r="A54" s="78"/>
      <c r="B54" s="83"/>
      <c r="C54" s="194"/>
      <c r="D54" s="195"/>
      <c r="F54" s="188"/>
      <c r="G54" s="188"/>
      <c r="H54"/>
      <c r="I54" s="61"/>
      <c r="J54" s="63"/>
    </row>
    <row r="55" spans="1:10" x14ac:dyDescent="0.25">
      <c r="A55" s="78"/>
      <c r="B55" s="83"/>
      <c r="C55" s="194"/>
      <c r="D55" s="195"/>
      <c r="F55" s="188"/>
      <c r="G55" s="188"/>
      <c r="H55"/>
      <c r="I55" s="61"/>
      <c r="J55" s="63"/>
    </row>
    <row r="56" spans="1:10" x14ac:dyDescent="0.25">
      <c r="A56" s="78"/>
      <c r="B56" s="83"/>
      <c r="C56" s="194"/>
      <c r="D56" s="195"/>
      <c r="F56" s="188"/>
      <c r="G56" s="188"/>
      <c r="H56"/>
      <c r="I56" s="61"/>
      <c r="J56" s="63"/>
    </row>
    <row r="57" spans="1:10" x14ac:dyDescent="0.25">
      <c r="A57" s="78"/>
      <c r="B57" s="83"/>
      <c r="C57" s="194"/>
      <c r="D57" s="195"/>
      <c r="F57" s="188"/>
      <c r="G57" s="188"/>
      <c r="H57"/>
      <c r="I57" s="61"/>
      <c r="J57" s="63"/>
    </row>
    <row r="58" spans="1:10" x14ac:dyDescent="0.25">
      <c r="A58" s="78"/>
      <c r="B58" s="83"/>
      <c r="C58" s="194"/>
      <c r="D58" s="195"/>
      <c r="F58" s="188"/>
      <c r="G58" s="188"/>
      <c r="H58"/>
      <c r="I58" s="61"/>
      <c r="J58" s="63"/>
    </row>
    <row r="59" spans="1:10" x14ac:dyDescent="0.25">
      <c r="A59" s="78"/>
      <c r="B59" s="83"/>
      <c r="C59" s="196"/>
      <c r="D59" s="197"/>
      <c r="F59" s="208"/>
      <c r="G59" s="208"/>
      <c r="H59"/>
      <c r="I59" s="61"/>
      <c r="J59" s="63"/>
    </row>
    <row r="60" spans="1:10" x14ac:dyDescent="0.25">
      <c r="A60" s="78"/>
      <c r="B60" s="83"/>
      <c r="C60" s="196"/>
      <c r="D60" s="197"/>
      <c r="F60" s="208"/>
      <c r="G60" s="208"/>
      <c r="H60"/>
      <c r="I60" s="61"/>
      <c r="J60" s="63"/>
    </row>
    <row r="61" spans="1:10" x14ac:dyDescent="0.25">
      <c r="A61" s="79"/>
      <c r="B61" s="84"/>
      <c r="C61" s="198"/>
      <c r="D61" s="199"/>
      <c r="E61" s="120"/>
      <c r="F61" s="207"/>
      <c r="G61" s="207"/>
      <c r="H61" s="125"/>
      <c r="I61" s="62"/>
      <c r="J61" s="66"/>
    </row>
  </sheetData>
  <sortState xmlns:xlrd2="http://schemas.microsoft.com/office/spreadsheetml/2017/richdata2" ref="A29:J44">
    <sortCondition ref="B29:B44"/>
    <sortCondition ref="A29:A44"/>
    <sortCondition ref="C29:C44"/>
  </sortState>
  <mergeCells count="46">
    <mergeCell ref="C53:D53"/>
    <mergeCell ref="C54:D54"/>
    <mergeCell ref="C55:D55"/>
    <mergeCell ref="C56:D56"/>
    <mergeCell ref="C47:D47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F58:G58"/>
    <mergeCell ref="F59:G59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E47:H47"/>
    <mergeCell ref="A46:H46"/>
    <mergeCell ref="C60:D60"/>
    <mergeCell ref="C61:D61"/>
    <mergeCell ref="C57:D57"/>
    <mergeCell ref="C58:D58"/>
    <mergeCell ref="C59:D59"/>
  </mergeCells>
  <conditionalFormatting sqref="A29:J43">
    <cfRule type="cellIs" dxfId="2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A608-0B99-4D8F-BA5D-63798B043AF4}">
  <sheetPr codeName="Sheet11">
    <pageSetUpPr autoPageBreaks="0"/>
  </sheetPr>
  <dimension ref="A1:J61"/>
  <sheetViews>
    <sheetView showGridLines="0" zoomScale="110" zoomScaleNormal="110" workbookViewId="0">
      <selection activeCell="M15" sqref="M15"/>
    </sheetView>
  </sheetViews>
  <sheetFormatPr defaultColWidth="8.85546875" defaultRowHeight="15" x14ac:dyDescent="0.25"/>
  <cols>
    <col min="1" max="1" width="12.85546875" style="58" customWidth="1"/>
    <col min="2" max="4" width="11.140625" style="58" customWidth="1"/>
    <col min="5" max="5" width="2.28515625" style="58" customWidth="1"/>
    <col min="6" max="8" width="11.140625" style="58" customWidth="1"/>
    <col min="9" max="9" width="11" style="58" customWidth="1"/>
    <col min="10" max="10" width="25.7109375" style="58" customWidth="1"/>
    <col min="11" max="11" width="6.28515625" style="58" customWidth="1"/>
    <col min="12" max="16384" width="8.85546875" style="58"/>
  </cols>
  <sheetData>
    <row r="1" spans="1:10" x14ac:dyDescent="0.25">
      <c r="A1" s="160" t="s">
        <v>0</v>
      </c>
      <c r="B1" s="181" t="str">
        <f>Overall!C1</f>
        <v>3/19/23-3/25/23</v>
      </c>
      <c r="C1" s="181"/>
    </row>
    <row r="2" spans="1:10" x14ac:dyDescent="0.25">
      <c r="A2" s="160" t="s">
        <v>177</v>
      </c>
      <c r="B2" s="182">
        <f ca="1">TODAY()</f>
        <v>45015</v>
      </c>
      <c r="C2" s="182"/>
      <c r="F2" s="183" t="s">
        <v>182</v>
      </c>
      <c r="G2" s="184"/>
      <c r="H2" s="184"/>
      <c r="I2" s="185"/>
    </row>
    <row r="3" spans="1:10" x14ac:dyDescent="0.25">
      <c r="A3" s="160" t="s">
        <v>1</v>
      </c>
      <c r="B3" s="206" t="s">
        <v>143</v>
      </c>
      <c r="C3" s="206"/>
      <c r="F3" s="85">
        <f>IFERROR(VLOOKUP($B$3,Totals!$B$3:$C$11,2,0),0)</f>
        <v>1817</v>
      </c>
      <c r="G3" s="188" t="s">
        <v>4</v>
      </c>
      <c r="H3" s="188"/>
      <c r="I3" s="189"/>
    </row>
    <row r="4" spans="1:10" x14ac:dyDescent="0.25">
      <c r="F4" s="85">
        <f>VLOOKUP($B$3,Totals!$E$3:$F$12,2,0)</f>
        <v>3000</v>
      </c>
      <c r="G4" s="188" t="s">
        <v>5</v>
      </c>
      <c r="H4" s="188"/>
      <c r="I4" s="189"/>
    </row>
    <row r="5" spans="1:10" x14ac:dyDescent="0.25">
      <c r="A5" s="180" t="s">
        <v>13</v>
      </c>
      <c r="B5" s="89" t="s">
        <v>14</v>
      </c>
      <c r="C5" s="90" t="s">
        <v>15</v>
      </c>
      <c r="D5" s="102" t="s">
        <v>16</v>
      </c>
      <c r="F5" s="86">
        <f>IFERROR(VLOOKUP($B$3,Totals!$B$3:$F$11,3,0),0)</f>
        <v>12770</v>
      </c>
      <c r="G5" s="190" t="s">
        <v>181</v>
      </c>
      <c r="H5" s="190"/>
      <c r="I5" s="191"/>
    </row>
    <row r="6" spans="1:10" x14ac:dyDescent="0.25">
      <c r="A6" s="180"/>
      <c r="B6" s="87">
        <f>VLOOKUP($B$3,Totals!$V$48:$Y$57,2,0)</f>
        <v>1</v>
      </c>
      <c r="C6" s="82">
        <f>VLOOKUP($B$3,Totals!$V$48:$Y$57,3,0)</f>
        <v>1</v>
      </c>
      <c r="D6" s="105">
        <f>VLOOKUP($B$3,Totals!$V$48:$Y$57,4,0)</f>
        <v>0</v>
      </c>
    </row>
    <row r="7" spans="1:10" x14ac:dyDescent="0.25">
      <c r="G7" s="109" t="s">
        <v>6</v>
      </c>
      <c r="H7" s="110">
        <f>F3/F4</f>
        <v>0.60566666666666669</v>
      </c>
    </row>
    <row r="8" spans="1:10" x14ac:dyDescent="0.25">
      <c r="A8" s="180" t="s">
        <v>2</v>
      </c>
      <c r="B8" s="89" t="s">
        <v>180</v>
      </c>
      <c r="C8" s="101" t="s">
        <v>152</v>
      </c>
      <c r="D8" s="96" t="s">
        <v>28</v>
      </c>
      <c r="G8" s="68" t="s">
        <v>7</v>
      </c>
      <c r="H8" s="67">
        <v>1</v>
      </c>
    </row>
    <row r="9" spans="1:10" x14ac:dyDescent="0.25">
      <c r="A9" s="180"/>
      <c r="B9" s="92">
        <f>IFERROR(VLOOKUP($B$3,Totals!$L$3:$N$11,2,0),0)</f>
        <v>14.228893058161351</v>
      </c>
      <c r="C9" s="93">
        <f>IFERROR(VLOOKUP($B$3,Totals!$L$3:$N$11,3,0),0)</f>
        <v>14.228660924040721</v>
      </c>
      <c r="D9" s="94">
        <f>IFERROR(VLOOKUP('14'!$B$3,Totals!$P$4:$Y$12,10,0),0)</f>
        <v>19.651818936767096</v>
      </c>
      <c r="G9" s="60"/>
      <c r="H9" s="60"/>
    </row>
    <row r="14" spans="1:10" x14ac:dyDescent="0.25">
      <c r="J14" s="60"/>
    </row>
    <row r="15" spans="1:10" x14ac:dyDescent="0.25">
      <c r="J15" s="60"/>
    </row>
    <row r="16" spans="1:10" x14ac:dyDescent="0.25">
      <c r="H16" s="60"/>
      <c r="I16" s="60"/>
      <c r="J16" s="60"/>
    </row>
    <row r="17" spans="1:10" x14ac:dyDescent="0.25">
      <c r="H17" s="60"/>
      <c r="I17" s="60"/>
      <c r="J17" s="60"/>
    </row>
    <row r="18" spans="1:10" x14ac:dyDescent="0.25">
      <c r="H18" s="60"/>
      <c r="I18" s="60"/>
      <c r="J18" s="60"/>
    </row>
    <row r="21" spans="1:10" x14ac:dyDescent="0.25">
      <c r="A21" s="183" t="s">
        <v>8</v>
      </c>
      <c r="B21" s="184"/>
      <c r="C21" s="184"/>
      <c r="D21" s="185"/>
      <c r="F21" s="183" t="s">
        <v>9</v>
      </c>
      <c r="G21" s="184"/>
      <c r="H21" s="184"/>
      <c r="I21" s="185"/>
    </row>
    <row r="22" spans="1:10" x14ac:dyDescent="0.25">
      <c r="A22" s="77">
        <v>1</v>
      </c>
      <c r="B22" s="80">
        <f>VLOOKUP($B$3&amp;A22,Totals!$G$49:$K$73,4,0)</f>
        <v>165</v>
      </c>
      <c r="C22" s="188" t="str">
        <f>VLOOKUP($B$3&amp;A22,Totals!$G$49:$K$73,5,0)</f>
        <v>Proof Cks/Lab</v>
      </c>
      <c r="D22" s="189"/>
      <c r="F22" s="77">
        <v>1</v>
      </c>
      <c r="G22" s="80">
        <f>VLOOKUP($B$3&amp;F22,Totals!$M$49:$Q$73,4,0)</f>
        <v>165</v>
      </c>
      <c r="H22" s="188" t="str">
        <f>VLOOKUP($B$3&amp;F22,Totals!$M$49:$Q$73,5,0)</f>
        <v>Proof Cks/Lab</v>
      </c>
      <c r="I22" s="189"/>
    </row>
    <row r="23" spans="1:10" x14ac:dyDescent="0.25">
      <c r="A23" s="78">
        <v>2</v>
      </c>
      <c r="B23" s="81">
        <f>VLOOKUP($B$3&amp;A23,Totals!$G$49:$K$73,4,0)</f>
        <v>135</v>
      </c>
      <c r="C23" s="188" t="str">
        <f>VLOOKUP($B$3&amp;A23,Totals!$G$49:$K$73,5,0)</f>
        <v>Other</v>
      </c>
      <c r="D23" s="189"/>
      <c r="F23" s="78">
        <v>2</v>
      </c>
      <c r="G23" s="81">
        <f>VLOOKUP($B$3&amp;F23,Totals!$M$49:$Q$73,4,0)</f>
        <v>135</v>
      </c>
      <c r="H23" s="188" t="str">
        <f>VLOOKUP($B$3&amp;F23,Totals!$M$49:$Q$73,5,0)</f>
        <v>Other</v>
      </c>
      <c r="I23" s="189"/>
    </row>
    <row r="24" spans="1:10" x14ac:dyDescent="0.25">
      <c r="A24" s="79">
        <v>3</v>
      </c>
      <c r="B24" s="82">
        <f>VLOOKUP($B$3&amp;A24,Totals!$G$49:$K$73,4,0)</f>
        <v>90</v>
      </c>
      <c r="C24" s="190" t="str">
        <f>VLOOKUP($B$3&amp;A24,Totals!$G$49:$K$73,5,0)</f>
        <v>QA Internal</v>
      </c>
      <c r="D24" s="191"/>
      <c r="F24" s="79">
        <v>3</v>
      </c>
      <c r="G24" s="82">
        <f>VLOOKUP($B$3&amp;F24,Totals!$M$49:$Q$73,4,0)</f>
        <v>90</v>
      </c>
      <c r="H24" s="190" t="str">
        <f>VLOOKUP($B$3&amp;F24,Totals!$M$49:$Q$73,5,0)</f>
        <v>QA Internal</v>
      </c>
      <c r="I24" s="191"/>
    </row>
    <row r="25" spans="1:10" x14ac:dyDescent="0.25">
      <c r="C25" s="21"/>
    </row>
    <row r="27" spans="1:10" x14ac:dyDescent="0.25">
      <c r="A27" s="181" t="s">
        <v>10</v>
      </c>
      <c r="B27" s="181"/>
      <c r="C27" s="181"/>
      <c r="D27" s="181"/>
      <c r="E27" s="181"/>
      <c r="F27" s="181"/>
      <c r="G27" s="181"/>
      <c r="H27" s="181"/>
      <c r="I27" s="181"/>
      <c r="J27" s="181"/>
    </row>
    <row r="28" spans="1:10" x14ac:dyDescent="0.25">
      <c r="A28" s="89" t="s">
        <v>46</v>
      </c>
      <c r="B28" s="90" t="s">
        <v>45</v>
      </c>
      <c r="C28" s="90" t="s">
        <v>155</v>
      </c>
      <c r="D28" s="90" t="s">
        <v>156</v>
      </c>
      <c r="E28" s="101"/>
      <c r="F28" s="97" t="s">
        <v>157</v>
      </c>
      <c r="G28" s="90" t="s">
        <v>183</v>
      </c>
      <c r="H28" s="90" t="s">
        <v>158</v>
      </c>
      <c r="I28" s="90" t="s">
        <v>178</v>
      </c>
      <c r="J28" s="102" t="s">
        <v>184</v>
      </c>
    </row>
    <row r="29" spans="1:10" x14ac:dyDescent="0.25">
      <c r="A29" s="149" t="str" cm="1">
        <f t="array" ref="A29">IFERROR(INDEX(Overall!B$35:B$71,_xlfn.AGGREGATE(15,3,((Overall!$A$35:$A$71=14)/(Overall!$A$35:$A$71=14)*ROW(Overall!$A$35:$A$71))-ROW(Overall!$A$34), ROWS(Overall!$L$35:L35))),"")</f>
        <v/>
      </c>
      <c r="B29" s="71" t="str" cm="1">
        <f t="array" ref="B29">IFERROR(INDEX(Overall!C$35:C$71,_xlfn.AGGREGATE(15,3,((Overall!$A$35:$A$71=14)/(Overall!$A$35:$A$71=14)*ROW(Overall!$A$35:$A$71))-ROW(Overall!$A$34), ROWS(Overall!$L$35:M35))),"")</f>
        <v/>
      </c>
      <c r="C29" s="98" t="str" cm="1">
        <f t="array" ref="C29">IFERROR(INDEX(Overall!D$35:D$71,_xlfn.AGGREGATE(15,3,((Overall!$A$35:$A$71=14)/(Overall!$A$35:$A$71=14)*ROW(Overall!$A$35:$A$71))-ROW(Overall!$A$34), ROWS(Overall!$L$35:N35))),"")</f>
        <v/>
      </c>
      <c r="D29" s="73" t="str" cm="1">
        <f t="array" ref="D29">IFERROR(INDEX(Overall!E$35:E$71,_xlfn.AGGREGATE(15,3,((Overall!$A$35:$A$71=14)/(Overall!$A$35:$A$71=14)*ROW(Overall!$A$35:$A$71))-ROW(Overall!$A$34), ROWS(Overall!$L$35:O35))),"")</f>
        <v/>
      </c>
      <c r="E29" s="154" t="str" cm="1">
        <f t="array" ref="E29">IFERROR(INDEX(Overall!F$35:F$71,_xlfn.AGGREGATE(15,3,((Overall!$A$35:$A$71=14)/(Overall!$A$35:$A$71=14)*ROW(Overall!$A$35:$A$71))-ROW(Overall!$A$34), ROWS(Overall!$L$35:P35))),"")</f>
        <v/>
      </c>
      <c r="F29" s="155" t="str" cm="1">
        <f t="array" ref="F29">IFERROR(INDEX(Overall!G$35:G$71,_xlfn.AGGREGATE(15,3,((Overall!$A$35:$A$71=14)/(Overall!$A$35:$A$71=14)*ROW(Overall!$A$35:$A$71))-ROW(Overall!$A$34), ROWS(Overall!$L$35:Q35))),"")</f>
        <v/>
      </c>
      <c r="G29" s="117" t="str" cm="1">
        <f t="array" ref="G29">IFERROR(INDEX(Overall!H$35:H$71,_xlfn.AGGREGATE(15,3,((Overall!$A$35:$A$71=14)/(Overall!$A$35:$A$71=14)*ROW(Overall!$A$35:$A$71))-ROW(Overall!$A$34), ROWS(Overall!$L$35:R35))),"")</f>
        <v/>
      </c>
      <c r="H29" s="117" t="str" cm="1">
        <f t="array" ref="H29">IFERROR(INDEX(Overall!I$35:I$71,_xlfn.AGGREGATE(15,3,((Overall!$A$35:$A$71=14)/(Overall!$A$35:$A$71=14)*ROW(Overall!$A$35:$A$71))-ROW(Overall!$A$34), ROWS(Overall!$L$35:S35))),"")</f>
        <v/>
      </c>
      <c r="I29" s="73" t="str" cm="1">
        <f t="array" ref="I29">IFERROR(INDEX(Overall!J$35:J$71,_xlfn.AGGREGATE(15,3,((Overall!$A$35:$A$71=14)/(Overall!$A$35:$A$71=14)*ROW(Overall!$A$35:$A$71))-ROW(Overall!$A$34), ROWS(Overall!$L$35:T35))),"")</f>
        <v/>
      </c>
      <c r="J29" s="64" t="str" cm="1">
        <f t="array" ref="J29">IFERROR(INDEX(Overall!K$35:K$71,_xlfn.AGGREGATE(15,3,((Overall!$A$35:$A$71=14)/(Overall!$A$35:$A$71=14)*ROW(Overall!$A$35:$A$71))-ROW(Overall!$A$34), ROWS(Overall!$L$35:U35))),"")</f>
        <v/>
      </c>
    </row>
    <row r="30" spans="1:10" x14ac:dyDescent="0.25">
      <c r="A30" s="149" t="str" cm="1">
        <f t="array" ref="A30">IFERROR(INDEX(Overall!B$35:B$71,_xlfn.AGGREGATE(15,3,((Overall!$A$35:$A$71=14)/(Overall!$A$35:$A$71=14)*ROW(Overall!$A$35:$A$71))-ROW(Overall!$A$34), ROWS(Overall!$L$35:L36))),"")</f>
        <v/>
      </c>
      <c r="B30" s="71" t="str" cm="1">
        <f t="array" ref="B30">IFERROR(INDEX(Overall!C$35:C$71,_xlfn.AGGREGATE(15,3,((Overall!$A$35:$A$71=14)/(Overall!$A$35:$A$71=14)*ROW(Overall!$A$35:$A$71))-ROW(Overall!$A$34), ROWS(Overall!$L$35:M36))),"")</f>
        <v/>
      </c>
      <c r="C30" s="98" t="str" cm="1">
        <f t="array" ref="C30">IFERROR(INDEX(Overall!D$35:D$71,_xlfn.AGGREGATE(15,3,((Overall!$A$35:$A$71=14)/(Overall!$A$35:$A$71=14)*ROW(Overall!$A$35:$A$71))-ROW(Overall!$A$34), ROWS(Overall!$L$35:N36))),"")</f>
        <v/>
      </c>
      <c r="D30" s="73" t="str" cm="1">
        <f t="array" ref="D30">IFERROR(INDEX(Overall!E$35:E$71,_xlfn.AGGREGATE(15,3,((Overall!$A$35:$A$71=14)/(Overall!$A$35:$A$71=14)*ROW(Overall!$A$35:$A$71))-ROW(Overall!$A$34), ROWS(Overall!$L$35:O36))),"")</f>
        <v/>
      </c>
      <c r="E30" s="154" t="str" cm="1">
        <f t="array" ref="E30">IFERROR(INDEX(Overall!F$35:F$71,_xlfn.AGGREGATE(15,3,((Overall!$A$35:$A$71=14)/(Overall!$A$35:$A$71=14)*ROW(Overall!$A$35:$A$71))-ROW(Overall!$A$34), ROWS(Overall!$L$35:P36))),"")</f>
        <v/>
      </c>
      <c r="F30" s="155" t="str" cm="1">
        <f t="array" ref="F30">IFERROR(INDEX(Overall!G$35:G$71,_xlfn.AGGREGATE(15,3,((Overall!$A$35:$A$71=14)/(Overall!$A$35:$A$71=14)*ROW(Overall!$A$35:$A$71))-ROW(Overall!$A$34), ROWS(Overall!$L$35:Q36))),"")</f>
        <v/>
      </c>
      <c r="G30" s="117" t="str" cm="1">
        <f t="array" ref="G30">IFERROR(INDEX(Overall!H$35:H$71,_xlfn.AGGREGATE(15,3,((Overall!$A$35:$A$71=14)/(Overall!$A$35:$A$71=14)*ROW(Overall!$A$35:$A$71))-ROW(Overall!$A$34), ROWS(Overall!$L$35:R36))),"")</f>
        <v/>
      </c>
      <c r="H30" s="117" t="str" cm="1">
        <f t="array" ref="H30">IFERROR(INDEX(Overall!I$35:I$71,_xlfn.AGGREGATE(15,3,((Overall!$A$35:$A$71=14)/(Overall!$A$35:$A$71=14)*ROW(Overall!$A$35:$A$71))-ROW(Overall!$A$34), ROWS(Overall!$L$35:S36))),"")</f>
        <v/>
      </c>
      <c r="I30" s="73" t="str" cm="1">
        <f t="array" ref="I30">IFERROR(INDEX(Overall!J$35:J$71,_xlfn.AGGREGATE(15,3,((Overall!$A$35:$A$71=14)/(Overall!$A$35:$A$71=14)*ROW(Overall!$A$35:$A$71))-ROW(Overall!$A$34), ROWS(Overall!$L$35:T36))),"")</f>
        <v/>
      </c>
      <c r="J30" s="64" t="str" cm="1">
        <f t="array" ref="J30">IFERROR(INDEX(Overall!K$35:K$71,_xlfn.AGGREGATE(15,3,((Overall!$A$35:$A$71=14)/(Overall!$A$35:$A$71=14)*ROW(Overall!$A$35:$A$71))-ROW(Overall!$A$34), ROWS(Overall!$L$35:U36))),"")</f>
        <v/>
      </c>
    </row>
    <row r="31" spans="1:10" x14ac:dyDescent="0.25">
      <c r="A31" s="149" t="str" cm="1">
        <f t="array" ref="A31">IFERROR(INDEX(Overall!B$35:B$71,_xlfn.AGGREGATE(15,3,((Overall!$A$35:$A$71=14)/(Overall!$A$35:$A$71=14)*ROW(Overall!$A$35:$A$71))-ROW(Overall!$A$34), ROWS(Overall!$L$35:L37))),"")</f>
        <v/>
      </c>
      <c r="B31" s="71" t="str" cm="1">
        <f t="array" ref="B31">IFERROR(INDEX(Overall!C$35:C$71,_xlfn.AGGREGATE(15,3,((Overall!$A$35:$A$71=14)/(Overall!$A$35:$A$71=14)*ROW(Overall!$A$35:$A$71))-ROW(Overall!$A$34), ROWS(Overall!$L$35:M37))),"")</f>
        <v/>
      </c>
      <c r="C31" s="98" t="str" cm="1">
        <f t="array" ref="C31">IFERROR(INDEX(Overall!D$35:D$71,_xlfn.AGGREGATE(15,3,((Overall!$A$35:$A$71=14)/(Overall!$A$35:$A$71=14)*ROW(Overall!$A$35:$A$71))-ROW(Overall!$A$34), ROWS(Overall!$L$35:N37))),"")</f>
        <v/>
      </c>
      <c r="D31" s="73" t="str" cm="1">
        <f t="array" ref="D31">IFERROR(INDEX(Overall!E$35:E$71,_xlfn.AGGREGATE(15,3,((Overall!$A$35:$A$71=14)/(Overall!$A$35:$A$71=14)*ROW(Overall!$A$35:$A$71))-ROW(Overall!$A$34), ROWS(Overall!$L$35:O37))),"")</f>
        <v/>
      </c>
      <c r="E31" s="154" t="str" cm="1">
        <f t="array" ref="E31">IFERROR(INDEX(Overall!F$35:F$71,_xlfn.AGGREGATE(15,3,((Overall!$A$35:$A$71=14)/(Overall!$A$35:$A$71=14)*ROW(Overall!$A$35:$A$71))-ROW(Overall!$A$34), ROWS(Overall!$L$35:P37))),"")</f>
        <v/>
      </c>
      <c r="F31" s="155" t="str" cm="1">
        <f t="array" ref="F31">IFERROR(INDEX(Overall!G$35:G$71,_xlfn.AGGREGATE(15,3,((Overall!$A$35:$A$71=14)/(Overall!$A$35:$A$71=14)*ROW(Overall!$A$35:$A$71))-ROW(Overall!$A$34), ROWS(Overall!$L$35:Q37))),"")</f>
        <v/>
      </c>
      <c r="G31" s="117" t="str" cm="1">
        <f t="array" ref="G31">IFERROR(INDEX(Overall!H$35:H$71,_xlfn.AGGREGATE(15,3,((Overall!$A$35:$A$71=14)/(Overall!$A$35:$A$71=14)*ROW(Overall!$A$35:$A$71))-ROW(Overall!$A$34), ROWS(Overall!$L$35:R37))),"")</f>
        <v/>
      </c>
      <c r="H31" s="117" t="str" cm="1">
        <f t="array" ref="H31">IFERROR(INDEX(Overall!I$35:I$71,_xlfn.AGGREGATE(15,3,((Overall!$A$35:$A$71=14)/(Overall!$A$35:$A$71=14)*ROW(Overall!$A$35:$A$71))-ROW(Overall!$A$34), ROWS(Overall!$L$35:S37))),"")</f>
        <v/>
      </c>
      <c r="I31" s="73" t="str" cm="1">
        <f t="array" ref="I31">IFERROR(INDEX(Overall!J$35:J$71,_xlfn.AGGREGATE(15,3,((Overall!$A$35:$A$71=14)/(Overall!$A$35:$A$71=14)*ROW(Overall!$A$35:$A$71))-ROW(Overall!$A$34), ROWS(Overall!$L$35:T37))),"")</f>
        <v/>
      </c>
      <c r="J31" s="64" t="str" cm="1">
        <f t="array" ref="J31">IFERROR(INDEX(Overall!K$35:K$71,_xlfn.AGGREGATE(15,3,((Overall!$A$35:$A$71=14)/(Overall!$A$35:$A$71=14)*ROW(Overall!$A$35:$A$71))-ROW(Overall!$A$34), ROWS(Overall!$L$35:U37))),"")</f>
        <v/>
      </c>
    </row>
    <row r="32" spans="1:10" x14ac:dyDescent="0.25">
      <c r="A32" s="149" t="str" cm="1">
        <f t="array" ref="A32">IFERROR(INDEX(Overall!B$35:B$71,_xlfn.AGGREGATE(15,3,((Overall!$A$35:$A$71=14)/(Overall!$A$35:$A$71=14)*ROW(Overall!$A$35:$A$71))-ROW(Overall!$A$34), ROWS(Overall!$L$35:L38))),"")</f>
        <v/>
      </c>
      <c r="B32" s="71" t="str" cm="1">
        <f t="array" ref="B32">IFERROR(INDEX(Overall!C$35:C$71,_xlfn.AGGREGATE(15,3,((Overall!$A$35:$A$71=14)/(Overall!$A$35:$A$71=14)*ROW(Overall!$A$35:$A$71))-ROW(Overall!$A$34), ROWS(Overall!$L$35:M38))),"")</f>
        <v/>
      </c>
      <c r="C32" s="98" t="str" cm="1">
        <f t="array" ref="C32">IFERROR(INDEX(Overall!D$35:D$71,_xlfn.AGGREGATE(15,3,((Overall!$A$35:$A$71=14)/(Overall!$A$35:$A$71=14)*ROW(Overall!$A$35:$A$71))-ROW(Overall!$A$34), ROWS(Overall!$L$35:N38))),"")</f>
        <v/>
      </c>
      <c r="D32" s="73" t="str" cm="1">
        <f t="array" ref="D32">IFERROR(INDEX(Overall!E$35:E$71,_xlfn.AGGREGATE(15,3,((Overall!$A$35:$A$71=14)/(Overall!$A$35:$A$71=14)*ROW(Overall!$A$35:$A$71))-ROW(Overall!$A$34), ROWS(Overall!$L$35:O38))),"")</f>
        <v/>
      </c>
      <c r="E32" s="154" t="str" cm="1">
        <f t="array" ref="E32">IFERROR(INDEX(Overall!F$35:F$71,_xlfn.AGGREGATE(15,3,((Overall!$A$35:$A$71=14)/(Overall!$A$35:$A$71=14)*ROW(Overall!$A$35:$A$71))-ROW(Overall!$A$34), ROWS(Overall!$L$35:P38))),"")</f>
        <v/>
      </c>
      <c r="F32" s="155" t="str" cm="1">
        <f t="array" ref="F32">IFERROR(INDEX(Overall!G$35:G$71,_xlfn.AGGREGATE(15,3,((Overall!$A$35:$A$71=14)/(Overall!$A$35:$A$71=14)*ROW(Overall!$A$35:$A$71))-ROW(Overall!$A$34), ROWS(Overall!$L$35:Q38))),"")</f>
        <v/>
      </c>
      <c r="G32" s="117" t="str" cm="1">
        <f t="array" ref="G32">IFERROR(INDEX(Overall!H$35:H$71,_xlfn.AGGREGATE(15,3,((Overall!$A$35:$A$71=14)/(Overall!$A$35:$A$71=14)*ROW(Overall!$A$35:$A$71))-ROW(Overall!$A$34), ROWS(Overall!$L$35:R38))),"")</f>
        <v/>
      </c>
      <c r="H32" s="117" t="str" cm="1">
        <f t="array" ref="H32">IFERROR(INDEX(Overall!I$35:I$71,_xlfn.AGGREGATE(15,3,((Overall!$A$35:$A$71=14)/(Overall!$A$35:$A$71=14)*ROW(Overall!$A$35:$A$71))-ROW(Overall!$A$34), ROWS(Overall!$L$35:S38))),"")</f>
        <v/>
      </c>
      <c r="I32" s="73" t="str" cm="1">
        <f t="array" ref="I32">IFERROR(INDEX(Overall!J$35:J$71,_xlfn.AGGREGATE(15,3,((Overall!$A$35:$A$71=14)/(Overall!$A$35:$A$71=14)*ROW(Overall!$A$35:$A$71))-ROW(Overall!$A$34), ROWS(Overall!$L$35:T38))),"")</f>
        <v/>
      </c>
      <c r="J32" s="64" t="str" cm="1">
        <f t="array" ref="J32">IFERROR(INDEX(Overall!K$35:K$71,_xlfn.AGGREGATE(15,3,((Overall!$A$35:$A$71=14)/(Overall!$A$35:$A$71=14)*ROW(Overall!$A$35:$A$71))-ROW(Overall!$A$34), ROWS(Overall!$L$35:U38))),"")</f>
        <v/>
      </c>
    </row>
    <row r="33" spans="1:10" x14ac:dyDescent="0.25">
      <c r="A33" s="149" t="str" cm="1">
        <f t="array" ref="A33">IFERROR(INDEX(Overall!B$35:B$71,_xlfn.AGGREGATE(15,3,((Overall!$A$35:$A$71=14)/(Overall!$A$35:$A$71=14)*ROW(Overall!$A$35:$A$71))-ROW(Overall!$A$34), ROWS(Overall!$L$35:L39))),"")</f>
        <v/>
      </c>
      <c r="B33" s="71" t="str" cm="1">
        <f t="array" ref="B33">IFERROR(INDEX(Overall!C$35:C$71,_xlfn.AGGREGATE(15,3,((Overall!$A$35:$A$71=14)/(Overall!$A$35:$A$71=14)*ROW(Overall!$A$35:$A$71))-ROW(Overall!$A$34), ROWS(Overall!$L$35:M39))),"")</f>
        <v/>
      </c>
      <c r="C33" s="98" t="str" cm="1">
        <f t="array" ref="C33">IFERROR(INDEX(Overall!D$35:D$71,_xlfn.AGGREGATE(15,3,((Overall!$A$35:$A$71=14)/(Overall!$A$35:$A$71=14)*ROW(Overall!$A$35:$A$71))-ROW(Overall!$A$34), ROWS(Overall!$L$35:N39))),"")</f>
        <v/>
      </c>
      <c r="D33" s="73" t="str" cm="1">
        <f t="array" ref="D33">IFERROR(INDEX(Overall!E$35:E$71,_xlfn.AGGREGATE(15,3,((Overall!$A$35:$A$71=14)/(Overall!$A$35:$A$71=14)*ROW(Overall!$A$35:$A$71))-ROW(Overall!$A$34), ROWS(Overall!$L$35:O39))),"")</f>
        <v/>
      </c>
      <c r="E33" s="154" t="str" cm="1">
        <f t="array" ref="E33">IFERROR(INDEX(Overall!F$35:F$71,_xlfn.AGGREGATE(15,3,((Overall!$A$35:$A$71=14)/(Overall!$A$35:$A$71=14)*ROW(Overall!$A$35:$A$71))-ROW(Overall!$A$34), ROWS(Overall!$L$35:P39))),"")</f>
        <v/>
      </c>
      <c r="F33" s="155" t="str" cm="1">
        <f t="array" ref="F33">IFERROR(INDEX(Overall!G$35:G$71,_xlfn.AGGREGATE(15,3,((Overall!$A$35:$A$71=14)/(Overall!$A$35:$A$71=14)*ROW(Overall!$A$35:$A$71))-ROW(Overall!$A$34), ROWS(Overall!$L$35:Q39))),"")</f>
        <v/>
      </c>
      <c r="G33" s="117" t="str" cm="1">
        <f t="array" ref="G33">IFERROR(INDEX(Overall!H$35:H$71,_xlfn.AGGREGATE(15,3,((Overall!$A$35:$A$71=14)/(Overall!$A$35:$A$71=14)*ROW(Overall!$A$35:$A$71))-ROW(Overall!$A$34), ROWS(Overall!$L$35:R39))),"")</f>
        <v/>
      </c>
      <c r="H33" s="117" t="str" cm="1">
        <f t="array" ref="H33">IFERROR(INDEX(Overall!I$35:I$71,_xlfn.AGGREGATE(15,3,((Overall!$A$35:$A$71=14)/(Overall!$A$35:$A$71=14)*ROW(Overall!$A$35:$A$71))-ROW(Overall!$A$34), ROWS(Overall!$L$35:S39))),"")</f>
        <v/>
      </c>
      <c r="I33" s="73" t="str" cm="1">
        <f t="array" ref="I33">IFERROR(INDEX(Overall!J$35:J$71,_xlfn.AGGREGATE(15,3,((Overall!$A$35:$A$71=14)/(Overall!$A$35:$A$71=14)*ROW(Overall!$A$35:$A$71))-ROW(Overall!$A$34), ROWS(Overall!$L$35:T39))),"")</f>
        <v/>
      </c>
      <c r="J33" s="64" t="str" cm="1">
        <f t="array" ref="J33">IFERROR(INDEX(Overall!K$35:K$71,_xlfn.AGGREGATE(15,3,((Overall!$A$35:$A$71=14)/(Overall!$A$35:$A$71=14)*ROW(Overall!$A$35:$A$71))-ROW(Overall!$A$34), ROWS(Overall!$L$35:U39))),"")</f>
        <v/>
      </c>
    </row>
    <row r="34" spans="1:10" x14ac:dyDescent="0.25">
      <c r="A34" s="149" t="str" cm="1">
        <f t="array" ref="A34">IFERROR(INDEX(Overall!B$35:B$71,_xlfn.AGGREGATE(15,3,((Overall!$A$35:$A$71=14)/(Overall!$A$35:$A$71=14)*ROW(Overall!$A$35:$A$71))-ROW(Overall!$A$34), ROWS(Overall!$L$35:L40))),"")</f>
        <v/>
      </c>
      <c r="B34" s="71" t="str" cm="1">
        <f t="array" ref="B34">IFERROR(INDEX(Overall!C$35:C$71,_xlfn.AGGREGATE(15,3,((Overall!$A$35:$A$71=14)/(Overall!$A$35:$A$71=14)*ROW(Overall!$A$35:$A$71))-ROW(Overall!$A$34), ROWS(Overall!$L$35:M40))),"")</f>
        <v/>
      </c>
      <c r="C34" s="98" t="str" cm="1">
        <f t="array" ref="C34">IFERROR(INDEX(Overall!D$35:D$71,_xlfn.AGGREGATE(15,3,((Overall!$A$35:$A$71=14)/(Overall!$A$35:$A$71=14)*ROW(Overall!$A$35:$A$71))-ROW(Overall!$A$34), ROWS(Overall!$L$35:N40))),"")</f>
        <v/>
      </c>
      <c r="D34" s="73" t="str" cm="1">
        <f t="array" ref="D34">IFERROR(INDEX(Overall!E$35:E$71,_xlfn.AGGREGATE(15,3,((Overall!$A$35:$A$71=14)/(Overall!$A$35:$A$71=14)*ROW(Overall!$A$35:$A$71))-ROW(Overall!$A$34), ROWS(Overall!$L$35:O40))),"")</f>
        <v/>
      </c>
      <c r="E34" s="154" t="str" cm="1">
        <f t="array" ref="E34">IFERROR(INDEX(Overall!F$35:F$71,_xlfn.AGGREGATE(15,3,((Overall!$A$35:$A$71=14)/(Overall!$A$35:$A$71=14)*ROW(Overall!$A$35:$A$71))-ROW(Overall!$A$34), ROWS(Overall!$L$35:P40))),"")</f>
        <v/>
      </c>
      <c r="F34" s="155" t="str" cm="1">
        <f t="array" ref="F34">IFERROR(INDEX(Overall!G$35:G$71,_xlfn.AGGREGATE(15,3,((Overall!$A$35:$A$71=14)/(Overall!$A$35:$A$71=14)*ROW(Overall!$A$35:$A$71))-ROW(Overall!$A$34), ROWS(Overall!$L$35:Q40))),"")</f>
        <v/>
      </c>
      <c r="G34" s="117" t="str" cm="1">
        <f t="array" ref="G34">IFERROR(INDEX(Overall!H$35:H$71,_xlfn.AGGREGATE(15,3,((Overall!$A$35:$A$71=14)/(Overall!$A$35:$A$71=14)*ROW(Overall!$A$35:$A$71))-ROW(Overall!$A$34), ROWS(Overall!$L$35:R40))),"")</f>
        <v/>
      </c>
      <c r="H34" s="117" t="str" cm="1">
        <f t="array" ref="H34">IFERROR(INDEX(Overall!I$35:I$71,_xlfn.AGGREGATE(15,3,((Overall!$A$35:$A$71=14)/(Overall!$A$35:$A$71=14)*ROW(Overall!$A$35:$A$71))-ROW(Overall!$A$34), ROWS(Overall!$L$35:S40))),"")</f>
        <v/>
      </c>
      <c r="I34" s="73" t="str" cm="1">
        <f t="array" ref="I34">IFERROR(INDEX(Overall!J$35:J$71,_xlfn.AGGREGATE(15,3,((Overall!$A$35:$A$71=14)/(Overall!$A$35:$A$71=14)*ROW(Overall!$A$35:$A$71))-ROW(Overall!$A$34), ROWS(Overall!$L$35:T40))),"")</f>
        <v/>
      </c>
      <c r="J34" s="64" t="str" cm="1">
        <f t="array" ref="J34">IFERROR(INDEX(Overall!K$35:K$71,_xlfn.AGGREGATE(15,3,((Overall!$A$35:$A$71=14)/(Overall!$A$35:$A$71=14)*ROW(Overall!$A$35:$A$71))-ROW(Overall!$A$34), ROWS(Overall!$L$35:U40))),"")</f>
        <v/>
      </c>
    </row>
    <row r="35" spans="1:10" x14ac:dyDescent="0.25">
      <c r="A35" s="149" t="str" cm="1">
        <f t="array" ref="A35">IFERROR(INDEX(Overall!B$35:B$71,_xlfn.AGGREGATE(15,3,((Overall!$A$35:$A$71=14)/(Overall!$A$35:$A$71=14)*ROW(Overall!$A$35:$A$71))-ROW(Overall!$A$34), ROWS(Overall!$L$35:L41))),"")</f>
        <v/>
      </c>
      <c r="B35" s="71" t="str" cm="1">
        <f t="array" ref="B35">IFERROR(INDEX(Overall!C$35:C$71,_xlfn.AGGREGATE(15,3,((Overall!$A$35:$A$71=14)/(Overall!$A$35:$A$71=14)*ROW(Overall!$A$35:$A$71))-ROW(Overall!$A$34), ROWS(Overall!$L$35:M41))),"")</f>
        <v/>
      </c>
      <c r="C35" s="98" t="str" cm="1">
        <f t="array" ref="C35">IFERROR(INDEX(Overall!D$35:D$71,_xlfn.AGGREGATE(15,3,((Overall!$A$35:$A$71=14)/(Overall!$A$35:$A$71=14)*ROW(Overall!$A$35:$A$71))-ROW(Overall!$A$34), ROWS(Overall!$L$35:N41))),"")</f>
        <v/>
      </c>
      <c r="D35" s="73" t="str" cm="1">
        <f t="array" ref="D35">IFERROR(INDEX(Overall!E$35:E$71,_xlfn.AGGREGATE(15,3,((Overall!$A$35:$A$71=14)/(Overall!$A$35:$A$71=14)*ROW(Overall!$A$35:$A$71))-ROW(Overall!$A$34), ROWS(Overall!$L$35:O41))),"")</f>
        <v/>
      </c>
      <c r="E35" s="154" t="str" cm="1">
        <f t="array" ref="E35">IFERROR(INDEX(Overall!F$35:F$71,_xlfn.AGGREGATE(15,3,((Overall!$A$35:$A$71=14)/(Overall!$A$35:$A$71=14)*ROW(Overall!$A$35:$A$71))-ROW(Overall!$A$34), ROWS(Overall!$L$35:P41))),"")</f>
        <v/>
      </c>
      <c r="F35" s="155" t="str" cm="1">
        <f t="array" ref="F35">IFERROR(INDEX(Overall!G$35:G$71,_xlfn.AGGREGATE(15,3,((Overall!$A$35:$A$71=14)/(Overall!$A$35:$A$71=14)*ROW(Overall!$A$35:$A$71))-ROW(Overall!$A$34), ROWS(Overall!$L$35:Q41))),"")</f>
        <v/>
      </c>
      <c r="G35" s="117" t="str" cm="1">
        <f t="array" ref="G35">IFERROR(INDEX(Overall!H$35:H$71,_xlfn.AGGREGATE(15,3,((Overall!$A$35:$A$71=14)/(Overall!$A$35:$A$71=14)*ROW(Overall!$A$35:$A$71))-ROW(Overall!$A$34), ROWS(Overall!$L$35:R41))),"")</f>
        <v/>
      </c>
      <c r="H35" s="117" t="str" cm="1">
        <f t="array" ref="H35">IFERROR(INDEX(Overall!I$35:I$71,_xlfn.AGGREGATE(15,3,((Overall!$A$35:$A$71=14)/(Overall!$A$35:$A$71=14)*ROW(Overall!$A$35:$A$71))-ROW(Overall!$A$34), ROWS(Overall!$L$35:S41))),"")</f>
        <v/>
      </c>
      <c r="I35" s="73" t="str" cm="1">
        <f t="array" ref="I35">IFERROR(INDEX(Overall!J$35:J$71,_xlfn.AGGREGATE(15,3,((Overall!$A$35:$A$71=14)/(Overall!$A$35:$A$71=14)*ROW(Overall!$A$35:$A$71))-ROW(Overall!$A$34), ROWS(Overall!$L$35:T41))),"")</f>
        <v/>
      </c>
      <c r="J35" s="64" t="str" cm="1">
        <f t="array" ref="J35">IFERROR(INDEX(Overall!K$35:K$71,_xlfn.AGGREGATE(15,3,((Overall!$A$35:$A$71=14)/(Overall!$A$35:$A$71=14)*ROW(Overall!$A$35:$A$71))-ROW(Overall!$A$34), ROWS(Overall!$L$35:U41))),"")</f>
        <v/>
      </c>
    </row>
    <row r="36" spans="1:10" x14ac:dyDescent="0.25">
      <c r="A36" s="149" t="str" cm="1">
        <f t="array" ref="A36">IFERROR(INDEX(Overall!B$35:B$71,_xlfn.AGGREGATE(15,3,((Overall!$A$35:$A$71=14)/(Overall!$A$35:$A$71=14)*ROW(Overall!$A$35:$A$71))-ROW(Overall!$A$34), ROWS(Overall!$L$35:L42))),"")</f>
        <v/>
      </c>
      <c r="B36" s="71" t="str" cm="1">
        <f t="array" ref="B36">IFERROR(INDEX(Overall!C$35:C$71,_xlfn.AGGREGATE(15,3,((Overall!$A$35:$A$71=14)/(Overall!$A$35:$A$71=14)*ROW(Overall!$A$35:$A$71))-ROW(Overall!$A$34), ROWS(Overall!$L$35:M42))),"")</f>
        <v/>
      </c>
      <c r="C36" s="98" t="str" cm="1">
        <f t="array" ref="C36">IFERROR(INDEX(Overall!D$35:D$71,_xlfn.AGGREGATE(15,3,((Overall!$A$35:$A$71=14)/(Overall!$A$35:$A$71=14)*ROW(Overall!$A$35:$A$71))-ROW(Overall!$A$34), ROWS(Overall!$L$35:N42))),"")</f>
        <v/>
      </c>
      <c r="D36" s="73" t="str" cm="1">
        <f t="array" ref="D36">IFERROR(INDEX(Overall!E$35:E$71,_xlfn.AGGREGATE(15,3,((Overall!$A$35:$A$71=14)/(Overall!$A$35:$A$71=14)*ROW(Overall!$A$35:$A$71))-ROW(Overall!$A$34), ROWS(Overall!$L$35:O42))),"")</f>
        <v/>
      </c>
      <c r="E36" s="154" t="str" cm="1">
        <f t="array" ref="E36">IFERROR(INDEX(Overall!F$35:F$71,_xlfn.AGGREGATE(15,3,((Overall!$A$35:$A$71=14)/(Overall!$A$35:$A$71=14)*ROW(Overall!$A$35:$A$71))-ROW(Overall!$A$34), ROWS(Overall!$L$35:P42))),"")</f>
        <v/>
      </c>
      <c r="F36" s="155" t="str" cm="1">
        <f t="array" ref="F36">IFERROR(INDEX(Overall!G$35:G$71,_xlfn.AGGREGATE(15,3,((Overall!$A$35:$A$71=14)/(Overall!$A$35:$A$71=14)*ROW(Overall!$A$35:$A$71))-ROW(Overall!$A$34), ROWS(Overall!$L$35:Q42))),"")</f>
        <v/>
      </c>
      <c r="G36" s="117" t="str" cm="1">
        <f t="array" ref="G36">IFERROR(INDEX(Overall!H$35:H$71,_xlfn.AGGREGATE(15,3,((Overall!$A$35:$A$71=14)/(Overall!$A$35:$A$71=14)*ROW(Overall!$A$35:$A$71))-ROW(Overall!$A$34), ROWS(Overall!$L$35:R42))),"")</f>
        <v/>
      </c>
      <c r="H36" s="117" t="str" cm="1">
        <f t="array" ref="H36">IFERROR(INDEX(Overall!I$35:I$71,_xlfn.AGGREGATE(15,3,((Overall!$A$35:$A$71=14)/(Overall!$A$35:$A$71=14)*ROW(Overall!$A$35:$A$71))-ROW(Overall!$A$34), ROWS(Overall!$L$35:S42))),"")</f>
        <v/>
      </c>
      <c r="I36" s="73" t="str" cm="1">
        <f t="array" ref="I36">IFERROR(INDEX(Overall!J$35:J$71,_xlfn.AGGREGATE(15,3,((Overall!$A$35:$A$71=14)/(Overall!$A$35:$A$71=14)*ROW(Overall!$A$35:$A$71))-ROW(Overall!$A$34), ROWS(Overall!$L$35:T42))),"")</f>
        <v/>
      </c>
      <c r="J36" s="64" t="str" cm="1">
        <f t="array" ref="J36">IFERROR(INDEX(Overall!K$35:K$71,_xlfn.AGGREGATE(15,3,((Overall!$A$35:$A$71=14)/(Overall!$A$35:$A$71=14)*ROW(Overall!$A$35:$A$71))-ROW(Overall!$A$34), ROWS(Overall!$L$35:U42))),"")</f>
        <v/>
      </c>
    </row>
    <row r="37" spans="1:10" x14ac:dyDescent="0.25">
      <c r="A37" s="149" t="str" cm="1">
        <f t="array" ref="A37">IFERROR(INDEX(Overall!B$35:B$71,_xlfn.AGGREGATE(15,3,((Overall!$A$35:$A$71=14)/(Overall!$A$35:$A$71=14)*ROW(Overall!$A$35:$A$71))-ROW(Overall!$A$34), ROWS(Overall!$L$35:L43))),"")</f>
        <v/>
      </c>
      <c r="B37" s="71" t="str" cm="1">
        <f t="array" ref="B37">IFERROR(INDEX(Overall!C$35:C$71,_xlfn.AGGREGATE(15,3,((Overall!$A$35:$A$71=14)/(Overall!$A$35:$A$71=14)*ROW(Overall!$A$35:$A$71))-ROW(Overall!$A$34), ROWS(Overall!$L$35:M43))),"")</f>
        <v/>
      </c>
      <c r="C37" s="98" t="str" cm="1">
        <f t="array" ref="C37">IFERROR(INDEX(Overall!D$35:D$71,_xlfn.AGGREGATE(15,3,((Overall!$A$35:$A$71=14)/(Overall!$A$35:$A$71=14)*ROW(Overall!$A$35:$A$71))-ROW(Overall!$A$34), ROWS(Overall!$L$35:N43))),"")</f>
        <v/>
      </c>
      <c r="D37" s="73" t="str" cm="1">
        <f t="array" ref="D37">IFERROR(INDEX(Overall!E$35:E$71,_xlfn.AGGREGATE(15,3,((Overall!$A$35:$A$71=14)/(Overall!$A$35:$A$71=14)*ROW(Overall!$A$35:$A$71))-ROW(Overall!$A$34), ROWS(Overall!$L$35:O43))),"")</f>
        <v/>
      </c>
      <c r="E37" s="154" t="str" cm="1">
        <f t="array" ref="E37">IFERROR(INDEX(Overall!F$35:F$71,_xlfn.AGGREGATE(15,3,((Overall!$A$35:$A$71=14)/(Overall!$A$35:$A$71=14)*ROW(Overall!$A$35:$A$71))-ROW(Overall!$A$34), ROWS(Overall!$L$35:P43))),"")</f>
        <v/>
      </c>
      <c r="F37" s="155" t="str" cm="1">
        <f t="array" ref="F37">IFERROR(INDEX(Overall!G$35:G$71,_xlfn.AGGREGATE(15,3,((Overall!$A$35:$A$71=14)/(Overall!$A$35:$A$71=14)*ROW(Overall!$A$35:$A$71))-ROW(Overall!$A$34), ROWS(Overall!$L$35:Q43))),"")</f>
        <v/>
      </c>
      <c r="G37" s="117" t="str" cm="1">
        <f t="array" ref="G37">IFERROR(INDEX(Overall!H$35:H$71,_xlfn.AGGREGATE(15,3,((Overall!$A$35:$A$71=14)/(Overall!$A$35:$A$71=14)*ROW(Overall!$A$35:$A$71))-ROW(Overall!$A$34), ROWS(Overall!$L$35:R43))),"")</f>
        <v/>
      </c>
      <c r="H37" s="117" t="str" cm="1">
        <f t="array" ref="H37">IFERROR(INDEX(Overall!I$35:I$71,_xlfn.AGGREGATE(15,3,((Overall!$A$35:$A$71=14)/(Overall!$A$35:$A$71=14)*ROW(Overall!$A$35:$A$71))-ROW(Overall!$A$34), ROWS(Overall!$L$35:S43))),"")</f>
        <v/>
      </c>
      <c r="I37" s="73" t="str" cm="1">
        <f t="array" ref="I37">IFERROR(INDEX(Overall!J$35:J$71,_xlfn.AGGREGATE(15,3,((Overall!$A$35:$A$71=14)/(Overall!$A$35:$A$71=14)*ROW(Overall!$A$35:$A$71))-ROW(Overall!$A$34), ROWS(Overall!$L$35:T43))),"")</f>
        <v/>
      </c>
      <c r="J37" s="64" t="str" cm="1">
        <f t="array" ref="J37">IFERROR(INDEX(Overall!K$35:K$71,_xlfn.AGGREGATE(15,3,((Overall!$A$35:$A$71=14)/(Overall!$A$35:$A$71=14)*ROW(Overall!$A$35:$A$71))-ROW(Overall!$A$34), ROWS(Overall!$L$35:U43))),"")</f>
        <v/>
      </c>
    </row>
    <row r="38" spans="1:10" x14ac:dyDescent="0.25">
      <c r="A38" s="149" t="str" cm="1">
        <f t="array" ref="A38">IFERROR(INDEX(Overall!B$35:B$71,_xlfn.AGGREGATE(15,3,((Overall!$A$35:$A$71=14)/(Overall!$A$35:$A$71=14)*ROW(Overall!$A$35:$A$71))-ROW(Overall!$A$34), ROWS(Overall!$L$35:L44))),"")</f>
        <v/>
      </c>
      <c r="B38" s="71" t="str" cm="1">
        <f t="array" ref="B38">IFERROR(INDEX(Overall!C$35:C$71,_xlfn.AGGREGATE(15,3,((Overall!$A$35:$A$71=14)/(Overall!$A$35:$A$71=14)*ROW(Overall!$A$35:$A$71))-ROW(Overall!$A$34), ROWS(Overall!$L$35:M44))),"")</f>
        <v/>
      </c>
      <c r="C38" s="98" t="str" cm="1">
        <f t="array" ref="C38">IFERROR(INDEX(Overall!D$35:D$71,_xlfn.AGGREGATE(15,3,((Overall!$A$35:$A$71=14)/(Overall!$A$35:$A$71=14)*ROW(Overall!$A$35:$A$71))-ROW(Overall!$A$34), ROWS(Overall!$L$35:N44))),"")</f>
        <v/>
      </c>
      <c r="D38" s="73" t="str" cm="1">
        <f t="array" ref="D38">IFERROR(INDEX(Overall!E$35:E$71,_xlfn.AGGREGATE(15,3,((Overall!$A$35:$A$71=14)/(Overall!$A$35:$A$71=14)*ROW(Overall!$A$35:$A$71))-ROW(Overall!$A$34), ROWS(Overall!$L$35:O44))),"")</f>
        <v/>
      </c>
      <c r="E38" s="154" t="str" cm="1">
        <f t="array" ref="E38">IFERROR(INDEX(Overall!F$35:F$71,_xlfn.AGGREGATE(15,3,((Overall!$A$35:$A$71=14)/(Overall!$A$35:$A$71=14)*ROW(Overall!$A$35:$A$71))-ROW(Overall!$A$34), ROWS(Overall!$L$35:P44))),"")</f>
        <v/>
      </c>
      <c r="F38" s="155" t="str" cm="1">
        <f t="array" ref="F38">IFERROR(INDEX(Overall!G$35:G$71,_xlfn.AGGREGATE(15,3,((Overall!$A$35:$A$71=14)/(Overall!$A$35:$A$71=14)*ROW(Overall!$A$35:$A$71))-ROW(Overall!$A$34), ROWS(Overall!$L$35:Q44))),"")</f>
        <v/>
      </c>
      <c r="G38" s="117" t="str" cm="1">
        <f t="array" ref="G38">IFERROR(INDEX(Overall!H$35:H$71,_xlfn.AGGREGATE(15,3,((Overall!$A$35:$A$71=14)/(Overall!$A$35:$A$71=14)*ROW(Overall!$A$35:$A$71))-ROW(Overall!$A$34), ROWS(Overall!$L$35:R44))),"")</f>
        <v/>
      </c>
      <c r="H38" s="117" t="str" cm="1">
        <f t="array" ref="H38">IFERROR(INDEX(Overall!I$35:I$71,_xlfn.AGGREGATE(15,3,((Overall!$A$35:$A$71=14)/(Overall!$A$35:$A$71=14)*ROW(Overall!$A$35:$A$71))-ROW(Overall!$A$34), ROWS(Overall!$L$35:S44))),"")</f>
        <v/>
      </c>
      <c r="I38" s="73" t="str" cm="1">
        <f t="array" ref="I38">IFERROR(INDEX(Overall!J$35:J$71,_xlfn.AGGREGATE(15,3,((Overall!$A$35:$A$71=14)/(Overall!$A$35:$A$71=14)*ROW(Overall!$A$35:$A$71))-ROW(Overall!$A$34), ROWS(Overall!$L$35:T44))),"")</f>
        <v/>
      </c>
      <c r="J38" s="64" t="str" cm="1">
        <f t="array" ref="J38">IFERROR(INDEX(Overall!K$35:K$71,_xlfn.AGGREGATE(15,3,((Overall!$A$35:$A$71=14)/(Overall!$A$35:$A$71=14)*ROW(Overall!$A$35:$A$71))-ROW(Overall!$A$34), ROWS(Overall!$L$35:U44))),"")</f>
        <v/>
      </c>
    </row>
    <row r="39" spans="1:10" x14ac:dyDescent="0.25">
      <c r="A39" s="149" t="str" cm="1">
        <f t="array" ref="A39">IFERROR(INDEX(Overall!B$35:B$71,_xlfn.AGGREGATE(15,3,((Overall!$A$35:$A$71=14)/(Overall!$A$35:$A$71=14)*ROW(Overall!$A$35:$A$71))-ROW(Overall!$A$34), ROWS(Overall!$L$35:L45))),"")</f>
        <v/>
      </c>
      <c r="B39" s="71" t="str" cm="1">
        <f t="array" ref="B39">IFERROR(INDEX(Overall!C$35:C$71,_xlfn.AGGREGATE(15,3,((Overall!$A$35:$A$71=14)/(Overall!$A$35:$A$71=14)*ROW(Overall!$A$35:$A$71))-ROW(Overall!$A$34), ROWS(Overall!$L$35:M45))),"")</f>
        <v/>
      </c>
      <c r="C39" s="98" t="str" cm="1">
        <f t="array" ref="C39">IFERROR(INDEX(Overall!D$35:D$71,_xlfn.AGGREGATE(15,3,((Overall!$A$35:$A$71=14)/(Overall!$A$35:$A$71=14)*ROW(Overall!$A$35:$A$71))-ROW(Overall!$A$34), ROWS(Overall!$L$35:N45))),"")</f>
        <v/>
      </c>
      <c r="D39" s="73" t="str" cm="1">
        <f t="array" ref="D39">IFERROR(INDEX(Overall!E$35:E$71,_xlfn.AGGREGATE(15,3,((Overall!$A$35:$A$71=14)/(Overall!$A$35:$A$71=14)*ROW(Overall!$A$35:$A$71))-ROW(Overall!$A$34), ROWS(Overall!$L$35:O45))),"")</f>
        <v/>
      </c>
      <c r="E39" s="154" t="str" cm="1">
        <f t="array" ref="E39">IFERROR(INDEX(Overall!F$35:F$71,_xlfn.AGGREGATE(15,3,((Overall!$A$35:$A$71=14)/(Overall!$A$35:$A$71=14)*ROW(Overall!$A$35:$A$71))-ROW(Overall!$A$34), ROWS(Overall!$L$35:P45))),"")</f>
        <v/>
      </c>
      <c r="F39" s="155" t="str" cm="1">
        <f t="array" ref="F39">IFERROR(INDEX(Overall!G$35:G$71,_xlfn.AGGREGATE(15,3,((Overall!$A$35:$A$71=14)/(Overall!$A$35:$A$71=14)*ROW(Overall!$A$35:$A$71))-ROW(Overall!$A$34), ROWS(Overall!$L$35:Q45))),"")</f>
        <v/>
      </c>
      <c r="G39" s="117" t="str" cm="1">
        <f t="array" ref="G39">IFERROR(INDEX(Overall!H$35:H$71,_xlfn.AGGREGATE(15,3,((Overall!$A$35:$A$71=14)/(Overall!$A$35:$A$71=14)*ROW(Overall!$A$35:$A$71))-ROW(Overall!$A$34), ROWS(Overall!$L$35:R45))),"")</f>
        <v/>
      </c>
      <c r="H39" s="117" t="str" cm="1">
        <f t="array" ref="H39">IFERROR(INDEX(Overall!I$35:I$71,_xlfn.AGGREGATE(15,3,((Overall!$A$35:$A$71=14)/(Overall!$A$35:$A$71=14)*ROW(Overall!$A$35:$A$71))-ROW(Overall!$A$34), ROWS(Overall!$L$35:S45))),"")</f>
        <v/>
      </c>
      <c r="I39" s="73" t="str" cm="1">
        <f t="array" ref="I39">IFERROR(INDEX(Overall!J$35:J$71,_xlfn.AGGREGATE(15,3,((Overall!$A$35:$A$71=14)/(Overall!$A$35:$A$71=14)*ROW(Overall!$A$35:$A$71))-ROW(Overall!$A$34), ROWS(Overall!$L$35:T45))),"")</f>
        <v/>
      </c>
      <c r="J39" s="64" t="str" cm="1">
        <f t="array" ref="J39">IFERROR(INDEX(Overall!K$35:K$71,_xlfn.AGGREGATE(15,3,((Overall!$A$35:$A$71=14)/(Overall!$A$35:$A$71=14)*ROW(Overall!$A$35:$A$71))-ROW(Overall!$A$34), ROWS(Overall!$L$35:U45))),"")</f>
        <v/>
      </c>
    </row>
    <row r="40" spans="1:10" x14ac:dyDescent="0.25">
      <c r="A40" s="149" t="str" cm="1">
        <f t="array" ref="A40">IFERROR(INDEX(Overall!B$35:B$71,_xlfn.AGGREGATE(15,3,((Overall!$A$35:$A$71=14)/(Overall!$A$35:$A$71=14)*ROW(Overall!$A$35:$A$71))-ROW(Overall!$A$34), ROWS(Overall!$L$35:L46))),"")</f>
        <v/>
      </c>
      <c r="B40" s="71" t="str" cm="1">
        <f t="array" ref="B40">IFERROR(INDEX(Overall!C$35:C$71,_xlfn.AGGREGATE(15,3,((Overall!$A$35:$A$71=14)/(Overall!$A$35:$A$71=14)*ROW(Overall!$A$35:$A$71))-ROW(Overall!$A$34), ROWS(Overall!$L$35:M46))),"")</f>
        <v/>
      </c>
      <c r="C40" s="98" t="str" cm="1">
        <f t="array" ref="C40">IFERROR(INDEX(Overall!D$35:D$71,_xlfn.AGGREGATE(15,3,((Overall!$A$35:$A$71=14)/(Overall!$A$35:$A$71=14)*ROW(Overall!$A$35:$A$71))-ROW(Overall!$A$34), ROWS(Overall!$L$35:N46))),"")</f>
        <v/>
      </c>
      <c r="D40" s="73" t="str" cm="1">
        <f t="array" ref="D40">IFERROR(INDEX(Overall!E$35:E$71,_xlfn.AGGREGATE(15,3,((Overall!$A$35:$A$71=14)/(Overall!$A$35:$A$71=14)*ROW(Overall!$A$35:$A$71))-ROW(Overall!$A$34), ROWS(Overall!$L$35:O46))),"")</f>
        <v/>
      </c>
      <c r="E40" s="154" t="str" cm="1">
        <f t="array" ref="E40">IFERROR(INDEX(Overall!F$35:F$71,_xlfn.AGGREGATE(15,3,((Overall!$A$35:$A$71=14)/(Overall!$A$35:$A$71=14)*ROW(Overall!$A$35:$A$71))-ROW(Overall!$A$34), ROWS(Overall!$L$35:P46))),"")</f>
        <v/>
      </c>
      <c r="F40" s="155" t="str" cm="1">
        <f t="array" ref="F40">IFERROR(INDEX(Overall!G$35:G$71,_xlfn.AGGREGATE(15,3,((Overall!$A$35:$A$71=14)/(Overall!$A$35:$A$71=14)*ROW(Overall!$A$35:$A$71))-ROW(Overall!$A$34), ROWS(Overall!$L$35:Q46))),"")</f>
        <v/>
      </c>
      <c r="G40" s="117" t="str" cm="1">
        <f t="array" ref="G40">IFERROR(INDEX(Overall!H$35:H$71,_xlfn.AGGREGATE(15,3,((Overall!$A$35:$A$71=14)/(Overall!$A$35:$A$71=14)*ROW(Overall!$A$35:$A$71))-ROW(Overall!$A$34), ROWS(Overall!$L$35:R46))),"")</f>
        <v/>
      </c>
      <c r="H40" s="117" t="str" cm="1">
        <f t="array" ref="H40">IFERROR(INDEX(Overall!I$35:I$71,_xlfn.AGGREGATE(15,3,((Overall!$A$35:$A$71=14)/(Overall!$A$35:$A$71=14)*ROW(Overall!$A$35:$A$71))-ROW(Overall!$A$34), ROWS(Overall!$L$35:S46))),"")</f>
        <v/>
      </c>
      <c r="I40" s="73" t="str" cm="1">
        <f t="array" ref="I40">IFERROR(INDEX(Overall!J$35:J$71,_xlfn.AGGREGATE(15,3,((Overall!$A$35:$A$71=14)/(Overall!$A$35:$A$71=14)*ROW(Overall!$A$35:$A$71))-ROW(Overall!$A$34), ROWS(Overall!$L$35:T46))),"")</f>
        <v/>
      </c>
      <c r="J40" s="64" t="str" cm="1">
        <f t="array" ref="J40">IFERROR(INDEX(Overall!K$35:K$71,_xlfn.AGGREGATE(15,3,((Overall!$A$35:$A$71=14)/(Overall!$A$35:$A$71=14)*ROW(Overall!$A$35:$A$71))-ROW(Overall!$A$34), ROWS(Overall!$L$35:U46))),"")</f>
        <v/>
      </c>
    </row>
    <row r="41" spans="1:10" x14ac:dyDescent="0.25">
      <c r="A41" s="149" t="str" cm="1">
        <f t="array" ref="A41">IFERROR(INDEX(Overall!B$35:B$71,_xlfn.AGGREGATE(15,3,((Overall!$A$35:$A$71=14)/(Overall!$A$35:$A$71=14)*ROW(Overall!$A$35:$A$71))-ROW(Overall!$A$34), ROWS(Overall!$L$35:L47))),"")</f>
        <v/>
      </c>
      <c r="B41" s="71" t="str" cm="1">
        <f t="array" ref="B41">IFERROR(INDEX(Overall!C$35:C$71,_xlfn.AGGREGATE(15,3,((Overall!$A$35:$A$71=14)/(Overall!$A$35:$A$71=14)*ROW(Overall!$A$35:$A$71))-ROW(Overall!$A$34), ROWS(Overall!$L$35:M47))),"")</f>
        <v/>
      </c>
      <c r="C41" s="98" t="str" cm="1">
        <f t="array" ref="C41">IFERROR(INDEX(Overall!D$35:D$71,_xlfn.AGGREGATE(15,3,((Overall!$A$35:$A$71=14)/(Overall!$A$35:$A$71=14)*ROW(Overall!$A$35:$A$71))-ROW(Overall!$A$34), ROWS(Overall!$L$35:N47))),"")</f>
        <v/>
      </c>
      <c r="D41" s="73" t="str" cm="1">
        <f t="array" ref="D41">IFERROR(INDEX(Overall!E$35:E$71,_xlfn.AGGREGATE(15,3,((Overall!$A$35:$A$71=14)/(Overall!$A$35:$A$71=14)*ROW(Overall!$A$35:$A$71))-ROW(Overall!$A$34), ROWS(Overall!$L$35:O47))),"")</f>
        <v/>
      </c>
      <c r="E41" s="154" t="str" cm="1">
        <f t="array" ref="E41">IFERROR(INDEX(Overall!F$35:F$71,_xlfn.AGGREGATE(15,3,((Overall!$A$35:$A$71=14)/(Overall!$A$35:$A$71=14)*ROW(Overall!$A$35:$A$71))-ROW(Overall!$A$34), ROWS(Overall!$L$35:P47))),"")</f>
        <v/>
      </c>
      <c r="F41" s="155" t="str" cm="1">
        <f t="array" ref="F41">IFERROR(INDEX(Overall!G$35:G$71,_xlfn.AGGREGATE(15,3,((Overall!$A$35:$A$71=14)/(Overall!$A$35:$A$71=14)*ROW(Overall!$A$35:$A$71))-ROW(Overall!$A$34), ROWS(Overall!$L$35:Q47))),"")</f>
        <v/>
      </c>
      <c r="G41" s="117" t="str" cm="1">
        <f t="array" ref="G41">IFERROR(INDEX(Overall!H$35:H$71,_xlfn.AGGREGATE(15,3,((Overall!$A$35:$A$71=14)/(Overall!$A$35:$A$71=14)*ROW(Overall!$A$35:$A$71))-ROW(Overall!$A$34), ROWS(Overall!$L$35:R47))),"")</f>
        <v/>
      </c>
      <c r="H41" s="117" t="str" cm="1">
        <f t="array" ref="H41">IFERROR(INDEX(Overall!I$35:I$71,_xlfn.AGGREGATE(15,3,((Overall!$A$35:$A$71=14)/(Overall!$A$35:$A$71=14)*ROW(Overall!$A$35:$A$71))-ROW(Overall!$A$34), ROWS(Overall!$L$35:S47))),"")</f>
        <v/>
      </c>
      <c r="I41" s="73" t="str" cm="1">
        <f t="array" ref="I41">IFERROR(INDEX(Overall!J$35:J$71,_xlfn.AGGREGATE(15,3,((Overall!$A$35:$A$71=14)/(Overall!$A$35:$A$71=14)*ROW(Overall!$A$35:$A$71))-ROW(Overall!$A$34), ROWS(Overall!$L$35:T47))),"")</f>
        <v/>
      </c>
      <c r="J41" s="64" t="str" cm="1">
        <f t="array" ref="J41">IFERROR(INDEX(Overall!K$35:K$71,_xlfn.AGGREGATE(15,3,((Overall!$A$35:$A$71=14)/(Overall!$A$35:$A$71=14)*ROW(Overall!$A$35:$A$71))-ROW(Overall!$A$34), ROWS(Overall!$L$35:U47))),"")</f>
        <v/>
      </c>
    </row>
    <row r="42" spans="1:10" x14ac:dyDescent="0.25">
      <c r="A42" s="149" t="str" cm="1">
        <f t="array" ref="A42">IFERROR(INDEX(Overall!B$35:B$71,_xlfn.AGGREGATE(15,3,((Overall!$A$35:$A$71=14)/(Overall!$A$35:$A$71=14)*ROW(Overall!$A$35:$A$71))-ROW(Overall!$A$34), ROWS(Overall!$L$35:L48))),"")</f>
        <v/>
      </c>
      <c r="B42" s="71" t="str" cm="1">
        <f t="array" ref="B42">IFERROR(INDEX(Overall!C$35:C$71,_xlfn.AGGREGATE(15,3,((Overall!$A$35:$A$71=14)/(Overall!$A$35:$A$71=14)*ROW(Overall!$A$35:$A$71))-ROW(Overall!$A$34), ROWS(Overall!$L$35:M48))),"")</f>
        <v/>
      </c>
      <c r="C42" s="98" t="str" cm="1">
        <f t="array" ref="C42">IFERROR(INDEX(Overall!D$35:D$71,_xlfn.AGGREGATE(15,3,((Overall!$A$35:$A$71=14)/(Overall!$A$35:$A$71=14)*ROW(Overall!$A$35:$A$71))-ROW(Overall!$A$34), ROWS(Overall!$L$35:N48))),"")</f>
        <v/>
      </c>
      <c r="D42" s="73" t="str" cm="1">
        <f t="array" ref="D42">IFERROR(INDEX(Overall!E$35:E$71,_xlfn.AGGREGATE(15,3,((Overall!$A$35:$A$71=14)/(Overall!$A$35:$A$71=14)*ROW(Overall!$A$35:$A$71))-ROW(Overall!$A$34), ROWS(Overall!$L$35:O48))),"")</f>
        <v/>
      </c>
      <c r="E42" s="154" t="str" cm="1">
        <f t="array" ref="E42">IFERROR(INDEX(Overall!F$35:F$71,_xlfn.AGGREGATE(15,3,((Overall!$A$35:$A$71=14)/(Overall!$A$35:$A$71=14)*ROW(Overall!$A$35:$A$71))-ROW(Overall!$A$34), ROWS(Overall!$L$35:P48))),"")</f>
        <v/>
      </c>
      <c r="F42" s="155" t="str" cm="1">
        <f t="array" ref="F42">IFERROR(INDEX(Overall!G$35:G$71,_xlfn.AGGREGATE(15,3,((Overall!$A$35:$A$71=14)/(Overall!$A$35:$A$71=14)*ROW(Overall!$A$35:$A$71))-ROW(Overall!$A$34), ROWS(Overall!$L$35:Q48))),"")</f>
        <v/>
      </c>
      <c r="G42" s="117" t="str" cm="1">
        <f t="array" ref="G42">IFERROR(INDEX(Overall!H$35:H$71,_xlfn.AGGREGATE(15,3,((Overall!$A$35:$A$71=14)/(Overall!$A$35:$A$71=14)*ROW(Overall!$A$35:$A$71))-ROW(Overall!$A$34), ROWS(Overall!$L$35:R48))),"")</f>
        <v/>
      </c>
      <c r="H42" s="117" t="str" cm="1">
        <f t="array" ref="H42">IFERROR(INDEX(Overall!I$35:I$71,_xlfn.AGGREGATE(15,3,((Overall!$A$35:$A$71=14)/(Overall!$A$35:$A$71=14)*ROW(Overall!$A$35:$A$71))-ROW(Overall!$A$34), ROWS(Overall!$L$35:S48))),"")</f>
        <v/>
      </c>
      <c r="I42" s="73" t="str" cm="1">
        <f t="array" ref="I42">IFERROR(INDEX(Overall!J$35:J$71,_xlfn.AGGREGATE(15,3,((Overall!$A$35:$A$71=14)/(Overall!$A$35:$A$71=14)*ROW(Overall!$A$35:$A$71))-ROW(Overall!$A$34), ROWS(Overall!$L$35:T48))),"")</f>
        <v/>
      </c>
      <c r="J42" s="64" t="str" cm="1">
        <f t="array" ref="J42">IFERROR(INDEX(Overall!K$35:K$71,_xlfn.AGGREGATE(15,3,((Overall!$A$35:$A$71=14)/(Overall!$A$35:$A$71=14)*ROW(Overall!$A$35:$A$71))-ROW(Overall!$A$34), ROWS(Overall!$L$35:U48))),"")</f>
        <v/>
      </c>
    </row>
    <row r="43" spans="1:10" x14ac:dyDescent="0.25">
      <c r="A43" s="149" t="str" cm="1">
        <f t="array" ref="A43">IFERROR(INDEX(Overall!B$35:B$71,_xlfn.AGGREGATE(15,3,((Overall!$A$35:$A$71=14)/(Overall!$A$35:$A$71=14)*ROW(Overall!$A$35:$A$71))-ROW(Overall!$A$34), ROWS(Overall!$L$35:L49))),"")</f>
        <v/>
      </c>
      <c r="B43" s="71" t="str" cm="1">
        <f t="array" ref="B43">IFERROR(INDEX(Overall!C$35:C$71,_xlfn.AGGREGATE(15,3,((Overall!$A$35:$A$71=14)/(Overall!$A$35:$A$71=14)*ROW(Overall!$A$35:$A$71))-ROW(Overall!$A$34), ROWS(Overall!$L$35:M49))),"")</f>
        <v/>
      </c>
      <c r="C43" s="98" t="str" cm="1">
        <f t="array" ref="C43">IFERROR(INDEX(Overall!D$35:D$71,_xlfn.AGGREGATE(15,3,((Overall!$A$35:$A$71=14)/(Overall!$A$35:$A$71=14)*ROW(Overall!$A$35:$A$71))-ROW(Overall!$A$34), ROWS(Overall!$L$35:N49))),"")</f>
        <v/>
      </c>
      <c r="D43" s="73" t="str" cm="1">
        <f t="array" ref="D43">IFERROR(INDEX(Overall!E$35:E$71,_xlfn.AGGREGATE(15,3,((Overall!$A$35:$A$71=14)/(Overall!$A$35:$A$71=14)*ROW(Overall!$A$35:$A$71))-ROW(Overall!$A$34), ROWS(Overall!$L$35:O49))),"")</f>
        <v/>
      </c>
      <c r="E43" s="154" t="str" cm="1">
        <f t="array" ref="E43">IFERROR(INDEX(Overall!F$35:F$71,_xlfn.AGGREGATE(15,3,((Overall!$A$35:$A$71=14)/(Overall!$A$35:$A$71=14)*ROW(Overall!$A$35:$A$71))-ROW(Overall!$A$34), ROWS(Overall!$L$35:P49))),"")</f>
        <v/>
      </c>
      <c r="F43" s="155" t="str" cm="1">
        <f t="array" ref="F43">IFERROR(INDEX(Overall!G$35:G$71,_xlfn.AGGREGATE(15,3,((Overall!$A$35:$A$71=14)/(Overall!$A$35:$A$71=14)*ROW(Overall!$A$35:$A$71))-ROW(Overall!$A$34), ROWS(Overall!$L$35:Q49))),"")</f>
        <v/>
      </c>
      <c r="G43" s="117" t="str" cm="1">
        <f t="array" ref="G43">IFERROR(INDEX(Overall!H$35:H$71,_xlfn.AGGREGATE(15,3,((Overall!$A$35:$A$71=14)/(Overall!$A$35:$A$71=14)*ROW(Overall!$A$35:$A$71))-ROW(Overall!$A$34), ROWS(Overall!$L$35:R49))),"")</f>
        <v/>
      </c>
      <c r="H43" s="117" t="str" cm="1">
        <f t="array" ref="H43">IFERROR(INDEX(Overall!I$35:I$71,_xlfn.AGGREGATE(15,3,((Overall!$A$35:$A$71=14)/(Overall!$A$35:$A$71=14)*ROW(Overall!$A$35:$A$71))-ROW(Overall!$A$34), ROWS(Overall!$L$35:S49))),"")</f>
        <v/>
      </c>
      <c r="I43" s="73" t="str" cm="1">
        <f t="array" ref="I43">IFERROR(INDEX(Overall!J$35:J$71,_xlfn.AGGREGATE(15,3,((Overall!$A$35:$A$71=14)/(Overall!$A$35:$A$71=14)*ROW(Overall!$A$35:$A$71))-ROW(Overall!$A$34), ROWS(Overall!$L$35:T49))),"")</f>
        <v/>
      </c>
      <c r="J43" s="64" t="str" cm="1">
        <f t="array" ref="J43">IFERROR(INDEX(Overall!K$35:K$71,_xlfn.AGGREGATE(15,3,((Overall!$A$35:$A$71=14)/(Overall!$A$35:$A$71=14)*ROW(Overall!$A$35:$A$71))-ROW(Overall!$A$34), ROWS(Overall!$L$35:U49))),"")</f>
        <v/>
      </c>
    </row>
    <row r="44" spans="1:10" x14ac:dyDescent="0.25">
      <c r="A44" s="99" t="str" cm="1">
        <f t="array" ref="A44">IFERROR(INDEX(Overall!B$35:B$71,_xlfn.AGGREGATE(15,3,((Overall!$A$35:$A$71=14)/(Overall!$A$35:$A$71=14)*ROW(Overall!$A$35:$A$71))-ROW(Overall!$A$34), ROWS(Overall!$L$35:L50))),"")</f>
        <v/>
      </c>
      <c r="B44" s="72" t="str" cm="1">
        <f t="array" ref="B44">IFERROR(INDEX(Overall!C$35:C$71,_xlfn.AGGREGATE(15,3,((Overall!$A$35:$A$71=14)/(Overall!$A$35:$A$71=14)*ROW(Overall!$A$35:$A$71))-ROW(Overall!$A$34), ROWS(Overall!$L$35:M50))),"")</f>
        <v/>
      </c>
      <c r="C44" s="99" t="str" cm="1">
        <f t="array" ref="C44">IFERROR(INDEX(Overall!D$35:D$71,_xlfn.AGGREGATE(15,3,((Overall!$A$35:$A$71=14)/(Overall!$A$35:$A$71=14)*ROW(Overall!$A$35:$A$71))-ROW(Overall!$A$34), ROWS(Overall!$L$35:N50))),"")</f>
        <v/>
      </c>
      <c r="D44" s="74" t="str" cm="1">
        <f t="array" ref="D44">IFERROR(INDEX(Overall!E$35:E$71,_xlfn.AGGREGATE(15,3,((Overall!$A$35:$A$71=14)/(Overall!$A$35:$A$71=14)*ROW(Overall!$A$35:$A$71))-ROW(Overall!$A$34), ROWS(Overall!$L$35:O50))),"")</f>
        <v/>
      </c>
      <c r="E44" s="156" t="str" cm="1">
        <f t="array" ref="E44">IFERROR(INDEX(Overall!F$35:F$71,_xlfn.AGGREGATE(15,3,((Overall!$A$35:$A$71=14)/(Overall!$A$35:$A$71=14)*ROW(Overall!$A$35:$A$71))-ROW(Overall!$A$34), ROWS(Overall!$L$35:P50))),"")</f>
        <v/>
      </c>
      <c r="F44" s="157" t="str" cm="1">
        <f t="array" ref="F44">IFERROR(INDEX(Overall!G$35:G$71,_xlfn.AGGREGATE(15,3,((Overall!$A$35:$A$71=14)/(Overall!$A$35:$A$71=14)*ROW(Overall!$A$35:$A$71))-ROW(Overall!$A$34), ROWS(Overall!$L$35:Q50))),"")</f>
        <v/>
      </c>
      <c r="G44" s="118" t="str" cm="1">
        <f t="array" ref="G44">IFERROR(INDEX(Overall!H$35:H$71,_xlfn.AGGREGATE(15,3,((Overall!$A$35:$A$71=14)/(Overall!$A$35:$A$71=14)*ROW(Overall!$A$35:$A$71))-ROW(Overall!$A$34), ROWS(Overall!$L$35:R50))),"")</f>
        <v/>
      </c>
      <c r="H44" s="118" t="str" cm="1">
        <f t="array" ref="H44">IFERROR(INDEX(Overall!I$35:I$71,_xlfn.AGGREGATE(15,3,((Overall!$A$35:$A$71=14)/(Overall!$A$35:$A$71=14)*ROW(Overall!$A$35:$A$71))-ROW(Overall!$A$34), ROWS(Overall!$L$35:S50))),"")</f>
        <v/>
      </c>
      <c r="I44" s="76" t="str" cm="1">
        <f t="array" ref="I44">IFERROR(INDEX(Overall!J$35:J$71,_xlfn.AGGREGATE(15,3,((Overall!$A$35:$A$71=14)/(Overall!$A$35:$A$71=14)*ROW(Overall!$A$35:$A$71))-ROW(Overall!$A$34), ROWS(Overall!$L$35:T50))),"")</f>
        <v/>
      </c>
      <c r="J44" s="65" t="str" cm="1">
        <f t="array" ref="J44">IFERROR(INDEX(Overall!K$35:K$71,_xlfn.AGGREGATE(15,3,((Overall!$A$35:$A$71=14)/(Overall!$A$35:$A$71=14)*ROW(Overall!$A$35:$A$71))-ROW(Overall!$A$34), ROWS(Overall!$L$35:U50))),"")</f>
        <v/>
      </c>
    </row>
    <row r="46" spans="1:10" x14ac:dyDescent="0.25">
      <c r="A46" s="181" t="s">
        <v>11</v>
      </c>
      <c r="B46" s="181"/>
      <c r="C46" s="181"/>
      <c r="D46" s="181"/>
      <c r="E46" s="181"/>
      <c r="F46" s="181"/>
      <c r="G46" s="181"/>
      <c r="H46" s="181"/>
      <c r="I46" s="183" t="s">
        <v>12</v>
      </c>
      <c r="J46" s="185"/>
    </row>
    <row r="47" spans="1:10" x14ac:dyDescent="0.25">
      <c r="A47" s="123" t="s">
        <v>159</v>
      </c>
      <c r="B47" s="124" t="s">
        <v>46</v>
      </c>
      <c r="C47" s="200" t="s">
        <v>45</v>
      </c>
      <c r="D47" s="201"/>
      <c r="E47" s="192" t="s">
        <v>160</v>
      </c>
      <c r="F47" s="193"/>
      <c r="G47" s="193"/>
      <c r="H47" s="193"/>
      <c r="I47" s="61"/>
      <c r="J47" s="63"/>
    </row>
    <row r="48" spans="1:10" x14ac:dyDescent="0.25">
      <c r="A48" s="78"/>
      <c r="B48" s="83"/>
      <c r="C48" s="204"/>
      <c r="D48" s="205"/>
      <c r="E48" s="122"/>
      <c r="F48" s="112"/>
      <c r="G48" s="112"/>
      <c r="H48" s="113"/>
      <c r="I48" s="61"/>
      <c r="J48" s="63"/>
    </row>
    <row r="49" spans="1:10" x14ac:dyDescent="0.25">
      <c r="A49" s="78"/>
      <c r="B49" s="83"/>
      <c r="C49" s="204"/>
      <c r="D49" s="205"/>
      <c r="F49" s="112"/>
      <c r="G49" s="112"/>
      <c r="H49" s="113"/>
      <c r="I49" s="61"/>
      <c r="J49" s="63"/>
    </row>
    <row r="50" spans="1:10" x14ac:dyDescent="0.25">
      <c r="A50" s="78"/>
      <c r="B50" s="83"/>
      <c r="C50" s="204"/>
      <c r="D50" s="205"/>
      <c r="F50" s="112"/>
      <c r="G50" s="112"/>
      <c r="H50"/>
      <c r="I50" s="61"/>
      <c r="J50" s="63"/>
    </row>
    <row r="51" spans="1:10" x14ac:dyDescent="0.25">
      <c r="A51" s="78"/>
      <c r="B51" s="83"/>
      <c r="C51" s="194"/>
      <c r="D51" s="195"/>
      <c r="F51" s="188"/>
      <c r="G51" s="188"/>
      <c r="H51"/>
      <c r="I51" s="61"/>
      <c r="J51" s="63"/>
    </row>
    <row r="52" spans="1:10" x14ac:dyDescent="0.25">
      <c r="A52" s="78"/>
      <c r="B52" s="83"/>
      <c r="C52" s="194"/>
      <c r="D52" s="195"/>
      <c r="F52" s="188"/>
      <c r="G52" s="188"/>
      <c r="H52"/>
      <c r="I52" s="61"/>
      <c r="J52" s="63"/>
    </row>
    <row r="53" spans="1:10" x14ac:dyDescent="0.25">
      <c r="A53" s="78"/>
      <c r="B53" s="83"/>
      <c r="C53" s="194"/>
      <c r="D53" s="195"/>
      <c r="F53" s="188"/>
      <c r="G53" s="188"/>
      <c r="H53"/>
      <c r="I53" s="61"/>
      <c r="J53" s="63"/>
    </row>
    <row r="54" spans="1:10" x14ac:dyDescent="0.25">
      <c r="A54" s="78"/>
      <c r="B54" s="83"/>
      <c r="C54" s="194"/>
      <c r="D54" s="195"/>
      <c r="F54" s="188"/>
      <c r="G54" s="188"/>
      <c r="H54"/>
      <c r="I54" s="61"/>
      <c r="J54" s="63"/>
    </row>
    <row r="55" spans="1:10" x14ac:dyDescent="0.25">
      <c r="A55" s="78"/>
      <c r="B55" s="83"/>
      <c r="C55" s="194"/>
      <c r="D55" s="195"/>
      <c r="F55" s="188"/>
      <c r="G55" s="188"/>
      <c r="H55"/>
      <c r="I55" s="61"/>
      <c r="J55" s="63"/>
    </row>
    <row r="56" spans="1:10" x14ac:dyDescent="0.25">
      <c r="A56" s="78"/>
      <c r="B56" s="83"/>
      <c r="C56" s="194"/>
      <c r="D56" s="195"/>
      <c r="F56" s="188"/>
      <c r="G56" s="188"/>
      <c r="H56"/>
      <c r="I56" s="61"/>
      <c r="J56" s="63"/>
    </row>
    <row r="57" spans="1:10" x14ac:dyDescent="0.25">
      <c r="A57" s="78"/>
      <c r="B57" s="83"/>
      <c r="C57" s="194"/>
      <c r="D57" s="195"/>
      <c r="F57" s="188"/>
      <c r="G57" s="188"/>
      <c r="H57"/>
      <c r="I57" s="61"/>
      <c r="J57" s="63"/>
    </row>
    <row r="58" spans="1:10" x14ac:dyDescent="0.25">
      <c r="A58" s="78"/>
      <c r="B58" s="83"/>
      <c r="C58" s="194"/>
      <c r="D58" s="195"/>
      <c r="F58" s="188"/>
      <c r="G58" s="188"/>
      <c r="H58"/>
      <c r="I58" s="61"/>
      <c r="J58" s="63"/>
    </row>
    <row r="59" spans="1:10" x14ac:dyDescent="0.25">
      <c r="A59" s="78"/>
      <c r="B59" s="83"/>
      <c r="C59" s="196"/>
      <c r="D59" s="197"/>
      <c r="F59" s="208"/>
      <c r="G59" s="208"/>
      <c r="H59"/>
      <c r="I59" s="61"/>
      <c r="J59" s="63"/>
    </row>
    <row r="60" spans="1:10" x14ac:dyDescent="0.25">
      <c r="A60" s="78"/>
      <c r="B60" s="83"/>
      <c r="C60" s="196"/>
      <c r="D60" s="197"/>
      <c r="F60" s="208"/>
      <c r="G60" s="208"/>
      <c r="H60"/>
      <c r="I60" s="61"/>
      <c r="J60" s="63"/>
    </row>
    <row r="61" spans="1:10" x14ac:dyDescent="0.25">
      <c r="A61" s="79"/>
      <c r="B61" s="84"/>
      <c r="C61" s="198"/>
      <c r="D61" s="199"/>
      <c r="E61" s="120"/>
      <c r="F61" s="207"/>
      <c r="G61" s="207"/>
      <c r="H61" s="125"/>
      <c r="I61" s="62"/>
      <c r="J61" s="66"/>
    </row>
  </sheetData>
  <mergeCells count="47">
    <mergeCell ref="F58:G58"/>
    <mergeCell ref="A46:H46"/>
    <mergeCell ref="E47:H47"/>
    <mergeCell ref="F59:G59"/>
    <mergeCell ref="C53:D53"/>
    <mergeCell ref="C54:D54"/>
    <mergeCell ref="C55:D55"/>
    <mergeCell ref="C56:D56"/>
    <mergeCell ref="C47:D47"/>
    <mergeCell ref="C48:D48"/>
    <mergeCell ref="C49:D49"/>
    <mergeCell ref="C50:D50"/>
    <mergeCell ref="F60:G60"/>
    <mergeCell ref="F61:G61"/>
    <mergeCell ref="F53:G53"/>
    <mergeCell ref="F54:G54"/>
    <mergeCell ref="F55:G55"/>
    <mergeCell ref="F56:G56"/>
    <mergeCell ref="F57:G57"/>
    <mergeCell ref="G4:I4"/>
    <mergeCell ref="B1:C1"/>
    <mergeCell ref="B2:C2"/>
    <mergeCell ref="F2:I2"/>
    <mergeCell ref="B3:C3"/>
    <mergeCell ref="G3:I3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A27:J27"/>
    <mergeCell ref="C51:D51"/>
    <mergeCell ref="C52:D52"/>
    <mergeCell ref="I46:J46"/>
    <mergeCell ref="F51:G51"/>
    <mergeCell ref="F52:G52"/>
    <mergeCell ref="C60:D60"/>
    <mergeCell ref="C61:D61"/>
    <mergeCell ref="C57:D57"/>
    <mergeCell ref="C58:D58"/>
    <mergeCell ref="C59:D59"/>
  </mergeCells>
  <conditionalFormatting sqref="A29:J43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3F27-326D-4BC0-A58A-0EE72C03F39F}">
  <sheetPr codeName="Sheet2"/>
  <dimension ref="A1:CE67"/>
  <sheetViews>
    <sheetView topLeftCell="A15" workbookViewId="0">
      <selection activeCell="H44" sqref="H44"/>
    </sheetView>
  </sheetViews>
  <sheetFormatPr defaultRowHeight="15" x14ac:dyDescent="0.25"/>
  <cols>
    <col min="20" max="20" width="9.85546875" customWidth="1"/>
  </cols>
  <sheetData>
    <row r="1" spans="1:83" ht="63.75" x14ac:dyDescent="0.25">
      <c r="A1" s="6" t="s">
        <v>26</v>
      </c>
      <c r="B1" s="6" t="s">
        <v>27</v>
      </c>
      <c r="C1" s="6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8" t="s">
        <v>44</v>
      </c>
      <c r="T1" s="9" t="s">
        <v>45</v>
      </c>
      <c r="U1" s="10" t="s">
        <v>46</v>
      </c>
      <c r="V1" s="11" t="s">
        <v>1</v>
      </c>
      <c r="W1" s="9" t="s">
        <v>47</v>
      </c>
      <c r="X1" s="9" t="s">
        <v>48</v>
      </c>
      <c r="Y1" s="9" t="s">
        <v>49</v>
      </c>
      <c r="Z1" s="9" t="s">
        <v>50</v>
      </c>
      <c r="AA1" s="6" t="s">
        <v>3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9" t="s">
        <v>56</v>
      </c>
      <c r="AH1" s="6" t="s">
        <v>57</v>
      </c>
      <c r="AI1" s="9" t="s">
        <v>58</v>
      </c>
      <c r="AJ1" s="9" t="s">
        <v>59</v>
      </c>
      <c r="AK1" s="9" t="s">
        <v>60</v>
      </c>
      <c r="AL1" s="6" t="s">
        <v>61</v>
      </c>
      <c r="AM1" s="9" t="s">
        <v>62</v>
      </c>
      <c r="AN1" s="9" t="s">
        <v>63</v>
      </c>
      <c r="AO1" s="9" t="s">
        <v>64</v>
      </c>
      <c r="AP1" s="9" t="s">
        <v>65</v>
      </c>
      <c r="AQ1" s="9" t="s">
        <v>66</v>
      </c>
      <c r="AR1" s="9" t="s">
        <v>67</v>
      </c>
      <c r="AS1" s="6" t="s">
        <v>68</v>
      </c>
      <c r="AT1" s="9" t="s">
        <v>69</v>
      </c>
      <c r="AU1" s="9" t="s">
        <v>70</v>
      </c>
      <c r="AV1" s="9" t="s">
        <v>71</v>
      </c>
      <c r="AW1" s="9" t="s">
        <v>72</v>
      </c>
      <c r="AX1" s="9" t="s">
        <v>73</v>
      </c>
      <c r="AY1" s="9" t="s">
        <v>74</v>
      </c>
      <c r="AZ1" s="6" t="s">
        <v>75</v>
      </c>
      <c r="BA1" s="9" t="s">
        <v>76</v>
      </c>
      <c r="BB1" s="9" t="s">
        <v>77</v>
      </c>
      <c r="BC1" s="9" t="s">
        <v>78</v>
      </c>
      <c r="BD1" s="9" t="s">
        <v>79</v>
      </c>
      <c r="BE1" s="9" t="s">
        <v>80</v>
      </c>
      <c r="BF1" s="9" t="s">
        <v>81</v>
      </c>
      <c r="BG1" s="9" t="s">
        <v>82</v>
      </c>
      <c r="BH1" s="9" t="s">
        <v>83</v>
      </c>
      <c r="BI1" s="9" t="s">
        <v>84</v>
      </c>
      <c r="BJ1" s="9" t="s">
        <v>85</v>
      </c>
      <c r="BK1" s="9" t="s">
        <v>86</v>
      </c>
      <c r="BL1" s="9" t="s">
        <v>87</v>
      </c>
      <c r="BM1" s="9" t="s">
        <v>88</v>
      </c>
      <c r="BN1" s="9" t="s">
        <v>89</v>
      </c>
      <c r="BO1" s="9" t="s">
        <v>90</v>
      </c>
      <c r="BP1" s="9" t="s">
        <v>91</v>
      </c>
      <c r="BQ1" s="9" t="s">
        <v>92</v>
      </c>
      <c r="BR1" s="9" t="s">
        <v>93</v>
      </c>
      <c r="BS1" s="9" t="s">
        <v>94</v>
      </c>
      <c r="BT1" s="6" t="s">
        <v>95</v>
      </c>
      <c r="BU1" s="9" t="s">
        <v>96</v>
      </c>
      <c r="BV1" s="9" t="s">
        <v>97</v>
      </c>
      <c r="BW1" s="9" t="s">
        <v>98</v>
      </c>
      <c r="BX1" s="9" t="s">
        <v>99</v>
      </c>
      <c r="BY1" s="9" t="s">
        <v>100</v>
      </c>
      <c r="BZ1" s="9" t="s">
        <v>101</v>
      </c>
      <c r="CA1" s="9" t="s">
        <v>102</v>
      </c>
      <c r="CB1" s="9" t="s">
        <v>103</v>
      </c>
      <c r="CC1" s="9" t="s">
        <v>104</v>
      </c>
      <c r="CD1" s="9" t="s">
        <v>105</v>
      </c>
      <c r="CE1" s="6" t="s">
        <v>106</v>
      </c>
    </row>
    <row r="2" spans="1:83" x14ac:dyDescent="0.25">
      <c r="A2" s="1" t="s">
        <v>17</v>
      </c>
      <c r="B2" s="1" t="s">
        <v>187</v>
      </c>
      <c r="C2" s="1" t="str">
        <f>VLOOKUP(B2,[1]Months!$A$4:$B$16,2,0)</f>
        <v>March</v>
      </c>
      <c r="D2" s="1" t="str">
        <f t="shared" ref="D2" si="0">CONCATENATE(A2,B2,U2)</f>
        <v>FY23P9B</v>
      </c>
      <c r="E2" s="1" t="str">
        <f t="shared" ref="E2" si="1">CONCATENATE(A2,B2,X2)</f>
        <v>FY23P930000034</v>
      </c>
      <c r="F2" s="1">
        <f t="shared" ref="F2" si="2">IF(T2=T1,0,1)</f>
        <v>1</v>
      </c>
      <c r="G2" s="1">
        <f t="shared" ref="G2" si="3">IF(AND(T2=T1, U2=U1),0,1)</f>
        <v>1</v>
      </c>
      <c r="H2" s="1">
        <f t="shared" ref="H2" si="4">IF(AND(T2=T1, U2=U1, V2=V1),0,1)</f>
        <v>1</v>
      </c>
      <c r="I2" s="1" t="str">
        <f t="shared" ref="I2" si="5">CONCATENATE(T2,U2)</f>
        <v>45011B</v>
      </c>
      <c r="J2" s="2" t="str">
        <f t="shared" ref="J2" si="6">CONCATENATE(T2,U2,V2)</f>
        <v>45011B        FS03</v>
      </c>
      <c r="K2" s="1" t="str">
        <f t="shared" ref="K2" si="7">CONCATENATE(A2,B2,V2,U2)</f>
        <v>FY23P9        FS03B</v>
      </c>
      <c r="L2" s="1" t="str">
        <f t="shared" ref="L2" si="8">CONCATENATE(A2,V2)</f>
        <v>FY23        FS03</v>
      </c>
      <c r="M2" s="1" t="str">
        <f>IF((T2&gt;='[1]DT date range'!$A$15)*AND(T2&lt;='[1]DT date range'!$A$17), IF(U2='[1]DT date range'!$A$19, "in", IF('[1]DT date range'!$A$19="Both", "in", "out")),"out")&amp;V2</f>
        <v>in        FS03</v>
      </c>
      <c r="N2" s="1" t="str">
        <f t="shared" ref="N2" si="9">CONCATENATE(A2,B2,V2)</f>
        <v>FY23P9        FS03</v>
      </c>
      <c r="O2" s="3">
        <f>IF(ISERROR((VLOOKUP(X2,'[1]labor  rates'!$C$3:$AP$289,40,FALSE))*AZ2),((Z2/(AH2/60))*0.51*AZ2),((VLOOKUP(X2,'[1]labor  rates'!$C$3:$AP$289,40,FALSE))*AZ2))</f>
        <v>255.80750000000003</v>
      </c>
      <c r="P2" s="4">
        <f>IF(ISERROR((VLOOKUP(X2,'[1]labor  rates'!$C$3:$AP$289,40,FALSE))*CE2),((Z2/(AH2/60))*0.51*CE2),((VLOOKUP(X2,'[1]labor  rates'!$C$3:$AP$289,40,FALSE))*CE2))</f>
        <v>1068.3725000000002</v>
      </c>
      <c r="Q2" s="4">
        <f>IF(ISERROR((VLOOKUP(X2,'[1]labor  rates'!$C$3:$AK$289,35,FALSE))*Z2),(Z2*30.85),((VLOOKUP(X2,'[1]labor  rates'!$C$3:$AK$289,35,FALSE))*Z2))</f>
        <v>2166.84</v>
      </c>
      <c r="R2" s="4">
        <f>IF(ISERROR((VLOOKUP(X2,'[1]labor  rates'!$C$3:$AO$289,39,FALSE))*AA2),(VLOOKUP(V2,'[1]labor  rates'!$C$3:$AO$289,39,FALSE)*AA2),(VLOOKUP(X2,'[1]labor  rates'!$C$3:$AO$289,39,FALSE))*AA2)</f>
        <v>2186.6111999999998</v>
      </c>
      <c r="S2" s="5">
        <f t="shared" ref="S2" si="10">+R2-Q2</f>
        <v>19.771199999999681</v>
      </c>
      <c r="T2" s="151">
        <v>45011</v>
      </c>
      <c r="U2" s="161" t="s">
        <v>18</v>
      </c>
      <c r="V2" s="150" t="s">
        <v>20</v>
      </c>
      <c r="W2" s="150">
        <v>419160</v>
      </c>
      <c r="X2" s="150">
        <v>30000034</v>
      </c>
      <c r="Y2" s="150" t="s">
        <v>199</v>
      </c>
      <c r="Z2" s="150">
        <v>60</v>
      </c>
      <c r="AA2" s="150">
        <v>972</v>
      </c>
      <c r="AB2" s="150">
        <v>120</v>
      </c>
      <c r="AC2" s="150">
        <v>116640</v>
      </c>
      <c r="AD2" s="150">
        <v>380</v>
      </c>
      <c r="AE2" s="150">
        <v>380</v>
      </c>
      <c r="AF2" s="150">
        <v>720</v>
      </c>
      <c r="AG2" s="150">
        <v>30</v>
      </c>
      <c r="AH2" s="150">
        <v>690</v>
      </c>
      <c r="AI2" s="150">
        <v>262200</v>
      </c>
      <c r="AJ2" s="150">
        <v>2185</v>
      </c>
      <c r="AK2" s="150">
        <v>116640</v>
      </c>
      <c r="AL2" s="150">
        <v>44.49</v>
      </c>
      <c r="AM2" s="150">
        <v>41.45</v>
      </c>
      <c r="AN2" s="150">
        <v>107.32</v>
      </c>
      <c r="AO2" s="150">
        <v>100</v>
      </c>
      <c r="AP2" s="150">
        <v>15</v>
      </c>
      <c r="AQ2" s="150">
        <v>15</v>
      </c>
      <c r="AR2" s="150"/>
      <c r="AS2" s="150"/>
      <c r="AT2" s="150">
        <v>25</v>
      </c>
      <c r="AU2" s="150"/>
      <c r="AV2" s="150">
        <v>349</v>
      </c>
      <c r="AW2" s="150">
        <v>404</v>
      </c>
      <c r="AX2" s="150"/>
      <c r="AY2" s="150"/>
      <c r="AZ2" s="150">
        <v>85</v>
      </c>
      <c r="BA2" s="150">
        <v>50</v>
      </c>
      <c r="BB2" s="150"/>
      <c r="BC2" s="150"/>
      <c r="BD2" s="150"/>
      <c r="BE2" s="150"/>
      <c r="BF2" s="150"/>
      <c r="BG2" s="150"/>
      <c r="BH2" s="150"/>
      <c r="BI2" s="150"/>
      <c r="BJ2" s="150"/>
      <c r="BK2" s="150">
        <v>35</v>
      </c>
      <c r="BL2" s="150"/>
      <c r="BM2" s="150">
        <v>6</v>
      </c>
      <c r="BN2" s="150">
        <v>61</v>
      </c>
      <c r="BO2" s="150">
        <v>100</v>
      </c>
      <c r="BP2" s="150"/>
      <c r="BQ2" s="150"/>
      <c r="BR2" s="150"/>
      <c r="BS2" s="150"/>
      <c r="BT2" s="150"/>
      <c r="BU2" s="150"/>
      <c r="BV2" s="150"/>
      <c r="BW2" s="150">
        <v>68</v>
      </c>
      <c r="BX2" s="150">
        <v>15</v>
      </c>
      <c r="BY2" s="150"/>
      <c r="BZ2" s="150"/>
      <c r="CA2" s="150"/>
      <c r="CB2" s="150"/>
      <c r="CC2" s="150">
        <v>20</v>
      </c>
      <c r="CD2" s="150">
        <v>100</v>
      </c>
      <c r="CE2" s="150">
        <v>355</v>
      </c>
    </row>
    <row r="3" spans="1:83" x14ac:dyDescent="0.25">
      <c r="A3" s="1" t="s">
        <v>17</v>
      </c>
      <c r="B3" s="1" t="s">
        <v>187</v>
      </c>
      <c r="C3" s="1" t="str">
        <f>VLOOKUP(B3,[1]Months!$A$4:$B$16,2,0)</f>
        <v>March</v>
      </c>
      <c r="D3" s="1" t="str">
        <f t="shared" ref="D3" si="11">CONCATENATE(A3,B3,U3)</f>
        <v>FY23P9B</v>
      </c>
      <c r="E3" s="1" t="str">
        <f t="shared" ref="E3" si="12">CONCATENATE(A3,B3,X3)</f>
        <v>FY23P930008167</v>
      </c>
      <c r="F3" s="1">
        <f t="shared" ref="F3" si="13">IF(T3=T2,0,1)</f>
        <v>1</v>
      </c>
      <c r="G3" s="1">
        <f t="shared" ref="G3" si="14">IF(AND(T3=T2, U3=U2),0,1)</f>
        <v>1</v>
      </c>
      <c r="H3" s="1">
        <f t="shared" ref="H3" si="15">IF(AND(T3=T2, U3=U2, V3=V2),0,1)</f>
        <v>1</v>
      </c>
      <c r="I3" s="1" t="str">
        <f t="shared" ref="I3" si="16">CONCATENATE(T3,U3)</f>
        <v>45012B</v>
      </c>
      <c r="J3" s="2" t="str">
        <f t="shared" ref="J3" si="17">CONCATENATE(T3,U3,V3)</f>
        <v>45012B        FS01</v>
      </c>
      <c r="K3" s="1" t="str">
        <f t="shared" ref="K3" si="18">CONCATENATE(A3,B3,V3,U3)</f>
        <v>FY23P9        FS01B</v>
      </c>
      <c r="L3" s="1" t="str">
        <f t="shared" ref="L3" si="19">CONCATENATE(A3,V3)</f>
        <v>FY23        FS01</v>
      </c>
      <c r="M3" s="1" t="str">
        <f>IF((T3&gt;='[1]DT date range'!$A$15)*AND(T3&lt;='[1]DT date range'!$A$17), IF(U3='[1]DT date range'!$A$19, "in", IF('[1]DT date range'!$A$19="Both", "in", "out")),"out")&amp;V3</f>
        <v>in        FS01</v>
      </c>
      <c r="N3" s="1" t="str">
        <f t="shared" ref="N3" si="20">CONCATENATE(A3,B3,V3)</f>
        <v>FY23P9        FS01</v>
      </c>
      <c r="O3" s="3">
        <f>IF(ISERROR((VLOOKUP(X3,'[1]labor  rates'!$C$3:$AP$289,40,FALSE))*AZ3),((Z3/(AH3/60))*0.51*AZ3),((VLOOKUP(X3,'[1]labor  rates'!$C$3:$AP$289,40,FALSE))*AZ3))</f>
        <v>553.21000000000015</v>
      </c>
      <c r="P3" s="4">
        <f>IF(ISERROR((VLOOKUP(X3,'[1]labor  rates'!$C$3:$AP$289,40,FALSE))*CE3),((Z3/(AH3/60))*0.51*CE3),((VLOOKUP(X3,'[1]labor  rates'!$C$3:$AP$289,40,FALSE))*CE3))</f>
        <v>592.72500000000014</v>
      </c>
      <c r="Q3" s="4">
        <f>IF(ISERROR((VLOOKUP(X3,'[1]labor  rates'!$C$3:$AK$289,35,FALSE))*Z3),(Z3*30.85),((VLOOKUP(X3,'[1]labor  rates'!$C$3:$AK$289,35,FALSE))*Z3))</f>
        <v>3200.7150000000006</v>
      </c>
      <c r="R3" s="4">
        <f>IF(ISERROR((VLOOKUP(X3,'[1]labor  rates'!$C$3:$AO$289,39,FALSE))*AA3),(VLOOKUP(V3,'[1]labor  rates'!$C$3:$AO$289,39,FALSE)*AA3),(VLOOKUP(X3,'[1]labor  rates'!$C$3:$AO$289,39,FALSE))*AA3)</f>
        <v>2272.5</v>
      </c>
      <c r="S3" s="5">
        <f t="shared" ref="S3" si="21">+R3-Q3</f>
        <v>-928.2150000000006</v>
      </c>
      <c r="T3" s="151">
        <v>45012</v>
      </c>
      <c r="U3" s="161" t="s">
        <v>18</v>
      </c>
      <c r="V3" s="150" t="s">
        <v>19</v>
      </c>
      <c r="W3" s="150">
        <v>417488</v>
      </c>
      <c r="X3" s="150">
        <v>30008167</v>
      </c>
      <c r="Y3" s="150" t="s">
        <v>202</v>
      </c>
      <c r="Z3" s="150">
        <v>108</v>
      </c>
      <c r="AA3" s="150">
        <v>1875</v>
      </c>
      <c r="AB3" s="150">
        <v>12</v>
      </c>
      <c r="AC3" s="150">
        <v>22500</v>
      </c>
      <c r="AD3" s="150">
        <v>70</v>
      </c>
      <c r="AE3" s="150">
        <v>70</v>
      </c>
      <c r="AF3" s="150">
        <v>720</v>
      </c>
      <c r="AG3" s="150">
        <v>30</v>
      </c>
      <c r="AH3" s="150">
        <v>690</v>
      </c>
      <c r="AI3" s="150">
        <v>48300</v>
      </c>
      <c r="AJ3" s="150">
        <v>4025</v>
      </c>
      <c r="AK3" s="150">
        <v>22500</v>
      </c>
      <c r="AL3" s="150">
        <v>46.58</v>
      </c>
      <c r="AM3" s="150">
        <v>63.04</v>
      </c>
      <c r="AN3" s="150">
        <v>73.89</v>
      </c>
      <c r="AO3" s="150">
        <v>100</v>
      </c>
      <c r="AP3" s="150">
        <v>10</v>
      </c>
      <c r="AQ3" s="150">
        <v>60</v>
      </c>
      <c r="AR3" s="150">
        <v>20</v>
      </c>
      <c r="AS3" s="150"/>
      <c r="AT3" s="150">
        <v>20</v>
      </c>
      <c r="AU3" s="150"/>
      <c r="AV3" s="150">
        <v>145</v>
      </c>
      <c r="AW3" s="150">
        <v>255</v>
      </c>
      <c r="AX3" s="150"/>
      <c r="AY3" s="150"/>
      <c r="AZ3" s="150">
        <v>140</v>
      </c>
      <c r="BA3" s="150"/>
      <c r="BB3" s="150"/>
      <c r="BC3" s="150"/>
      <c r="BD3" s="150">
        <v>25</v>
      </c>
      <c r="BE3" s="150"/>
      <c r="BF3" s="150">
        <v>10</v>
      </c>
      <c r="BG3" s="150"/>
      <c r="BH3" s="150"/>
      <c r="BI3" s="150"/>
      <c r="BJ3" s="150"/>
      <c r="BK3" s="150"/>
      <c r="BL3" s="150"/>
      <c r="BM3" s="150">
        <v>5</v>
      </c>
      <c r="BN3" s="150">
        <v>44</v>
      </c>
      <c r="BO3" s="150">
        <v>42</v>
      </c>
      <c r="BP3" s="150"/>
      <c r="BQ3" s="150"/>
      <c r="BR3" s="150"/>
      <c r="BS3" s="150">
        <v>14</v>
      </c>
      <c r="BT3" s="150"/>
      <c r="BU3" s="150"/>
      <c r="BV3" s="150"/>
      <c r="BW3" s="150"/>
      <c r="BX3" s="150"/>
      <c r="BY3" s="150"/>
      <c r="BZ3" s="150"/>
      <c r="CA3" s="150"/>
      <c r="CB3" s="150"/>
      <c r="CC3" s="150">
        <v>10</v>
      </c>
      <c r="CD3" s="150">
        <v>120</v>
      </c>
      <c r="CE3" s="150">
        <v>150</v>
      </c>
    </row>
    <row r="4" spans="1:83" x14ac:dyDescent="0.25">
      <c r="A4" s="1" t="s">
        <v>17</v>
      </c>
      <c r="B4" s="1" t="s">
        <v>187</v>
      </c>
      <c r="C4" s="1" t="str">
        <f>VLOOKUP(B4,[1]Months!$A$4:$B$16,2,0)</f>
        <v>March</v>
      </c>
      <c r="D4" s="1" t="str">
        <f t="shared" ref="D4:D5" si="22">CONCATENATE(A4,B4,U4)</f>
        <v>FY23P9B</v>
      </c>
      <c r="E4" s="1" t="str">
        <f t="shared" ref="E4:E5" si="23">CONCATENATE(A4,B4,X4)</f>
        <v>FY23P930000034</v>
      </c>
      <c r="F4" s="1">
        <f t="shared" ref="F4:F5" si="24">IF(T4=T3,0,1)</f>
        <v>0</v>
      </c>
      <c r="G4" s="1">
        <f t="shared" ref="G4:G5" si="25">IF(AND(T4=T3, U4=U3),0,1)</f>
        <v>0</v>
      </c>
      <c r="H4" s="1">
        <f t="shared" ref="H4:H5" si="26">IF(AND(T4=T3, U4=U3, V4=V3),0,1)</f>
        <v>1</v>
      </c>
      <c r="I4" s="1" t="str">
        <f t="shared" ref="I4:I5" si="27">CONCATENATE(T4,U4)</f>
        <v>45012B</v>
      </c>
      <c r="J4" s="2" t="str">
        <f t="shared" ref="J4:J5" si="28">CONCATENATE(T4,U4,V4)</f>
        <v>45012B        FS03</v>
      </c>
      <c r="K4" s="1" t="str">
        <f t="shared" ref="K4:K5" si="29">CONCATENATE(A4,B4,V4,U4)</f>
        <v>FY23P9        FS03B</v>
      </c>
      <c r="L4" s="1" t="str">
        <f t="shared" ref="L4:L5" si="30">CONCATENATE(A4,V4)</f>
        <v>FY23        FS03</v>
      </c>
      <c r="M4" s="1" t="str">
        <f>IF((T4&gt;='[1]DT date range'!$A$15)*AND(T4&lt;='[1]DT date range'!$A$17), IF(U4='[1]DT date range'!$A$19, "in", IF('[1]DT date range'!$A$19="Both", "in", "out")),"out")&amp;V4</f>
        <v>in        FS03</v>
      </c>
      <c r="N4" s="1" t="str">
        <f t="shared" ref="N4:N5" si="31">CONCATENATE(A4,B4,V4)</f>
        <v>FY23P9        FS03</v>
      </c>
      <c r="O4" s="3">
        <f>IF(ISERROR((VLOOKUP(X4,'[1]labor  rates'!$C$3:$AP$289,40,FALSE))*AZ4),((Z4/(AH4/60))*0.51*AZ4),((VLOOKUP(X4,'[1]labor  rates'!$C$3:$AP$289,40,FALSE))*AZ4))</f>
        <v>285.90250000000003</v>
      </c>
      <c r="P4" s="4">
        <f>IF(ISERROR((VLOOKUP(X4,'[1]labor  rates'!$C$3:$AP$289,40,FALSE))*CE4),((Z4/(AH4/60))*0.51*CE4),((VLOOKUP(X4,'[1]labor  rates'!$C$3:$AP$289,40,FALSE))*CE4))</f>
        <v>1026.2395000000001</v>
      </c>
      <c r="Q4" s="4">
        <f>IF(ISERROR((VLOOKUP(X4,'[1]labor  rates'!$C$3:$AK$289,35,FALSE))*Z4),(Z4*30.85),((VLOOKUP(X4,'[1]labor  rates'!$C$3:$AK$289,35,FALSE))*Z4))</f>
        <v>2166.84</v>
      </c>
      <c r="R4" s="4">
        <f>IF(ISERROR((VLOOKUP(X4,'[1]labor  rates'!$C$3:$AO$289,39,FALSE))*AA4),(VLOOKUP(V4,'[1]labor  rates'!$C$3:$AO$289,39,FALSE)*AA4),(VLOOKUP(X4,'[1]labor  rates'!$C$3:$AO$289,39,FALSE))*AA4)</f>
        <v>2004.3935999999997</v>
      </c>
      <c r="S4" s="5">
        <f t="shared" ref="S4:S5" si="32">+R4-Q4</f>
        <v>-162.44640000000049</v>
      </c>
      <c r="T4" s="151">
        <v>45012</v>
      </c>
      <c r="U4" s="161" t="s">
        <v>18</v>
      </c>
      <c r="V4" s="150" t="s">
        <v>20</v>
      </c>
      <c r="W4" s="150">
        <v>419153</v>
      </c>
      <c r="X4" s="150">
        <v>30000034</v>
      </c>
      <c r="Y4" s="150" t="s">
        <v>199</v>
      </c>
      <c r="Z4" s="150">
        <v>60</v>
      </c>
      <c r="AA4" s="150">
        <v>891</v>
      </c>
      <c r="AB4" s="150">
        <v>120</v>
      </c>
      <c r="AC4" s="150">
        <v>106920</v>
      </c>
      <c r="AD4" s="150">
        <v>380</v>
      </c>
      <c r="AE4" s="150">
        <v>380</v>
      </c>
      <c r="AF4" s="150">
        <v>720</v>
      </c>
      <c r="AG4" s="150">
        <v>30</v>
      </c>
      <c r="AH4" s="150">
        <v>690</v>
      </c>
      <c r="AI4" s="150">
        <v>262200</v>
      </c>
      <c r="AJ4" s="150">
        <v>2185</v>
      </c>
      <c r="AK4" s="150">
        <v>106920</v>
      </c>
      <c r="AL4" s="150">
        <v>40.78</v>
      </c>
      <c r="AM4" s="150">
        <v>-8.26</v>
      </c>
      <c r="AN4" s="150">
        <v>-493.63</v>
      </c>
      <c r="AO4" s="150">
        <v>100</v>
      </c>
      <c r="AP4" s="150">
        <v>15</v>
      </c>
      <c r="AQ4" s="150">
        <v>30</v>
      </c>
      <c r="AR4" s="150"/>
      <c r="AS4" s="150"/>
      <c r="AT4" s="150">
        <v>20</v>
      </c>
      <c r="AU4" s="150"/>
      <c r="AV4" s="150">
        <v>682</v>
      </c>
      <c r="AW4" s="150">
        <v>747</v>
      </c>
      <c r="AX4" s="150"/>
      <c r="AY4" s="150"/>
      <c r="AZ4" s="150">
        <v>95</v>
      </c>
      <c r="BA4" s="150">
        <v>35</v>
      </c>
      <c r="BB4" s="150"/>
      <c r="BC4" s="150">
        <v>12</v>
      </c>
      <c r="BD4" s="150"/>
      <c r="BE4" s="150"/>
      <c r="BF4" s="150">
        <v>10</v>
      </c>
      <c r="BG4" s="150"/>
      <c r="BH4" s="150"/>
      <c r="BI4" s="150"/>
      <c r="BJ4" s="150"/>
      <c r="BK4" s="150">
        <v>50</v>
      </c>
      <c r="BL4" s="150"/>
      <c r="BM4" s="150">
        <v>25</v>
      </c>
      <c r="BN4" s="150">
        <v>56</v>
      </c>
      <c r="BO4" s="150">
        <v>19</v>
      </c>
      <c r="BP4" s="150"/>
      <c r="BQ4" s="150"/>
      <c r="BR4" s="150"/>
      <c r="BS4" s="150"/>
      <c r="BT4" s="150"/>
      <c r="BU4" s="150"/>
      <c r="BV4" s="150"/>
      <c r="BW4" s="150">
        <v>50</v>
      </c>
      <c r="BX4" s="150">
        <v>46</v>
      </c>
      <c r="BY4" s="150"/>
      <c r="BZ4" s="150">
        <v>28</v>
      </c>
      <c r="CA4" s="150"/>
      <c r="CB4" s="150"/>
      <c r="CC4" s="150">
        <v>10</v>
      </c>
      <c r="CD4" s="150">
        <v>90</v>
      </c>
      <c r="CE4" s="150">
        <v>341</v>
      </c>
    </row>
    <row r="5" spans="1:83" x14ac:dyDescent="0.25">
      <c r="A5" s="1" t="s">
        <v>17</v>
      </c>
      <c r="B5" s="1" t="s">
        <v>187</v>
      </c>
      <c r="C5" s="1" t="str">
        <f>VLOOKUP(B5,[1]Months!$A$4:$B$16,2,0)</f>
        <v>March</v>
      </c>
      <c r="D5" s="1" t="str">
        <f t="shared" si="22"/>
        <v>FY23P9B</v>
      </c>
      <c r="E5" s="1" t="str">
        <f t="shared" si="23"/>
        <v>FY23P996705002</v>
      </c>
      <c r="F5" s="1">
        <f t="shared" si="24"/>
        <v>0</v>
      </c>
      <c r="G5" s="1">
        <f t="shared" si="25"/>
        <v>0</v>
      </c>
      <c r="H5" s="1">
        <f t="shared" si="26"/>
        <v>1</v>
      </c>
      <c r="I5" s="1" t="str">
        <f t="shared" si="27"/>
        <v>45012B</v>
      </c>
      <c r="J5" s="2" t="str">
        <f t="shared" si="28"/>
        <v>45012B        FS04</v>
      </c>
      <c r="K5" s="1" t="str">
        <f t="shared" si="29"/>
        <v>FY23P9        FS04B</v>
      </c>
      <c r="L5" s="1" t="str">
        <f t="shared" si="30"/>
        <v>FY23        FS04</v>
      </c>
      <c r="M5" s="1" t="str">
        <f>IF((T5&gt;='[1]DT date range'!$A$15)*AND(T5&lt;='[1]DT date range'!$A$17), IF(U5='[1]DT date range'!$A$19, "in", IF('[1]DT date range'!$A$19="Both", "in", "out")),"out")&amp;V5</f>
        <v>in        FS04</v>
      </c>
      <c r="N5" s="1" t="str">
        <f t="shared" si="31"/>
        <v>FY23P9        FS04</v>
      </c>
      <c r="O5" s="3">
        <f>IF(ISERROR((VLOOKUP(X5,'[1]labor  rates'!$C$3:$AP$289,40,FALSE))*AZ5),((Z5/(AH5/60))*0.51*AZ5),((VLOOKUP(X5,'[1]labor  rates'!$C$3:$AP$289,40,FALSE))*AZ5))</f>
        <v>66.470000000000013</v>
      </c>
      <c r="P5" s="4">
        <f>IF(ISERROR((VLOOKUP(X5,'[1]labor  rates'!$C$3:$AP$289,40,FALSE))*CE5),((Z5/(AH5/60))*0.51*CE5),((VLOOKUP(X5,'[1]labor  rates'!$C$3:$AP$289,40,FALSE))*CE5))</f>
        <v>229.32150000000004</v>
      </c>
      <c r="Q5" s="4">
        <f>IF(ISERROR((VLOOKUP(X5,'[1]labor  rates'!$C$3:$AK$289,35,FALSE))*Z5),(Z5*30.85),((VLOOKUP(X5,'[1]labor  rates'!$C$3:$AK$289,35,FALSE))*Z5))</f>
        <v>504.83965000000006</v>
      </c>
      <c r="R5" s="4">
        <f>IF(ISERROR((VLOOKUP(X5,'[1]labor  rates'!$C$3:$AO$289,39,FALSE))*AA5),(VLOOKUP(V5,'[1]labor  rates'!$C$3:$AO$289,39,FALSE)*AA5),(VLOOKUP(X5,'[1]labor  rates'!$C$3:$AO$289,39,FALSE))*AA5)</f>
        <v>488.38650000000001</v>
      </c>
      <c r="S5" s="5">
        <f t="shared" si="32"/>
        <v>-16.453150000000051</v>
      </c>
      <c r="T5" s="151">
        <v>45012</v>
      </c>
      <c r="U5" s="161" t="s">
        <v>18</v>
      </c>
      <c r="V5" s="150" t="s">
        <v>21</v>
      </c>
      <c r="W5" s="150">
        <v>417505</v>
      </c>
      <c r="X5" s="150">
        <v>96705002</v>
      </c>
      <c r="Y5" s="150" t="s">
        <v>203</v>
      </c>
      <c r="Z5" s="150">
        <v>15.19</v>
      </c>
      <c r="AA5" s="150">
        <v>965</v>
      </c>
      <c r="AB5" s="150">
        <v>12</v>
      </c>
      <c r="AC5" s="150">
        <v>11580</v>
      </c>
      <c r="AD5" s="150">
        <v>185</v>
      </c>
      <c r="AE5" s="150">
        <v>185</v>
      </c>
      <c r="AF5" s="150">
        <v>152</v>
      </c>
      <c r="AG5" s="150"/>
      <c r="AH5" s="150">
        <v>152</v>
      </c>
      <c r="AI5" s="150">
        <v>28120</v>
      </c>
      <c r="AJ5" s="150">
        <v>2343</v>
      </c>
      <c r="AK5" s="150">
        <v>11580</v>
      </c>
      <c r="AL5" s="150">
        <v>41.18</v>
      </c>
      <c r="AM5" s="150">
        <v>50.66</v>
      </c>
      <c r="AN5" s="150">
        <v>81.290000000000006</v>
      </c>
      <c r="AO5" s="150">
        <v>100</v>
      </c>
      <c r="AP5" s="150">
        <v>5</v>
      </c>
      <c r="AQ5" s="150">
        <v>15</v>
      </c>
      <c r="AR5" s="150"/>
      <c r="AS5" s="150"/>
      <c r="AT5" s="150"/>
      <c r="AU5" s="150"/>
      <c r="AV5" s="150">
        <v>55</v>
      </c>
      <c r="AW5" s="150">
        <v>75</v>
      </c>
      <c r="AX5" s="150"/>
      <c r="AY5" s="150"/>
      <c r="AZ5" s="150">
        <v>20</v>
      </c>
      <c r="BA5" s="150"/>
      <c r="BB5" s="150"/>
      <c r="BC5" s="150">
        <v>6</v>
      </c>
      <c r="BD5" s="150">
        <v>12</v>
      </c>
      <c r="BE5" s="150"/>
      <c r="BF5" s="150"/>
      <c r="BG5" s="150"/>
      <c r="BH5" s="150"/>
      <c r="BI5" s="150"/>
      <c r="BJ5" s="150">
        <v>18</v>
      </c>
      <c r="BK5" s="150"/>
      <c r="BL5" s="150"/>
      <c r="BM5" s="150"/>
      <c r="BN5" s="150"/>
      <c r="BO5" s="150">
        <v>3</v>
      </c>
      <c r="BP5" s="150"/>
      <c r="BQ5" s="150"/>
      <c r="BR5" s="150"/>
      <c r="BS5" s="150"/>
      <c r="BT5" s="150"/>
      <c r="BU5" s="150">
        <v>25</v>
      </c>
      <c r="BV5" s="150"/>
      <c r="BW5" s="150"/>
      <c r="BX5" s="150"/>
      <c r="BY5" s="150"/>
      <c r="BZ5" s="150">
        <v>5</v>
      </c>
      <c r="CA5" s="150"/>
      <c r="CB5" s="150"/>
      <c r="CC5" s="150"/>
      <c r="CD5" s="150">
        <v>418</v>
      </c>
      <c r="CE5" s="150">
        <v>69</v>
      </c>
    </row>
    <row r="6" spans="1:83" x14ac:dyDescent="0.25">
      <c r="A6" s="1" t="s">
        <v>17</v>
      </c>
      <c r="B6" s="1" t="s">
        <v>187</v>
      </c>
      <c r="C6" s="1" t="str">
        <f>VLOOKUP(B6,[1]Months!$A$4:$B$16,2,0)</f>
        <v>March</v>
      </c>
      <c r="D6" s="1" t="str">
        <f t="shared" ref="D6:D17" si="33">CONCATENATE(A6,B6,U6)</f>
        <v>FY23P9B</v>
      </c>
      <c r="E6" s="1" t="str">
        <f t="shared" ref="E6:E17" si="34">CONCATENATE(A6,B6,X6)</f>
        <v>FY23P996705001</v>
      </c>
      <c r="F6" s="1">
        <f t="shared" ref="F6:F17" si="35">IF(T6=T5,0,1)</f>
        <v>0</v>
      </c>
      <c r="G6" s="1">
        <f t="shared" ref="G6:G17" si="36">IF(AND(T6=T5, U6=U5),0,1)</f>
        <v>0</v>
      </c>
      <c r="H6" s="1">
        <f t="shared" ref="H6:H17" si="37">IF(AND(T6=T5, U6=U5, V6=V5),0,1)</f>
        <v>0</v>
      </c>
      <c r="I6" s="1" t="str">
        <f t="shared" ref="I6:I17" si="38">CONCATENATE(T6,U6)</f>
        <v>45012B</v>
      </c>
      <c r="J6" s="2" t="str">
        <f t="shared" ref="J6:J17" si="39">CONCATENATE(T6,U6,V6)</f>
        <v>45012B        FS04</v>
      </c>
      <c r="K6" s="1" t="str">
        <f t="shared" ref="K6:K17" si="40">CONCATENATE(A6,B6,V6,U6)</f>
        <v>FY23P9        FS04B</v>
      </c>
      <c r="L6" s="1" t="str">
        <f t="shared" ref="L6:L17" si="41">CONCATENATE(A6,V6)</f>
        <v>FY23        FS04</v>
      </c>
      <c r="M6" s="1" t="str">
        <f>IF((T6&gt;='[1]DT date range'!$A$15)*AND(T6&lt;='[1]DT date range'!$A$17), IF(U6='[1]DT date range'!$A$19, "in", IF('[1]DT date range'!$A$19="Both", "in", "out")),"out")&amp;V6</f>
        <v>in        FS04</v>
      </c>
      <c r="N6" s="1" t="str">
        <f t="shared" ref="N6:N17" si="42">CONCATENATE(A6,B6,V6)</f>
        <v>FY23P9        FS04</v>
      </c>
      <c r="O6" s="3">
        <f>IF(ISERROR((VLOOKUP(X6,'[1]labor  rates'!$C$3:$AP$289,40,FALSE))*AZ6),((Z6/(AH6/60))*0.51*AZ6),((VLOOKUP(X6,'[1]labor  rates'!$C$3:$AP$289,40,FALSE))*AZ6))</f>
        <v>309.08550000000002</v>
      </c>
      <c r="P6" s="4">
        <f>IF(ISERROR((VLOOKUP(X6,'[1]labor  rates'!$C$3:$AP$289,40,FALSE))*CE6),((Z6/(AH6/60))*0.51*CE6),((VLOOKUP(X6,'[1]labor  rates'!$C$3:$AP$289,40,FALSE))*CE6))</f>
        <v>677.99400000000014</v>
      </c>
      <c r="Q6" s="4">
        <f>IF(ISERROR((VLOOKUP(X6,'[1]labor  rates'!$C$3:$AK$289,35,FALSE))*Z6),(Z6*30.85),((VLOOKUP(X6,'[1]labor  rates'!$C$3:$AK$289,35,FALSE))*Z6))</f>
        <v>1372.2731500000002</v>
      </c>
      <c r="R6" s="4">
        <f>IF(ISERROR((VLOOKUP(X6,'[1]labor  rates'!$C$3:$AO$289,39,FALSE))*AA6),(VLOOKUP(V6,'[1]labor  rates'!$C$3:$AO$289,39,FALSE)*AA6),(VLOOKUP(X6,'[1]labor  rates'!$C$3:$AO$289,39,FALSE))*AA6)</f>
        <v>1142.19</v>
      </c>
      <c r="S6" s="5">
        <f t="shared" ref="S6:S17" si="43">+R6-Q6</f>
        <v>-230.08315000000016</v>
      </c>
      <c r="T6" s="151">
        <v>45012</v>
      </c>
      <c r="U6" s="161" t="s">
        <v>18</v>
      </c>
      <c r="V6" s="150" t="s">
        <v>21</v>
      </c>
      <c r="W6" s="150">
        <v>417630</v>
      </c>
      <c r="X6" s="150">
        <v>96705001</v>
      </c>
      <c r="Y6" s="150" t="s">
        <v>204</v>
      </c>
      <c r="Z6" s="150">
        <v>41.29</v>
      </c>
      <c r="AA6" s="150">
        <v>2100</v>
      </c>
      <c r="AB6" s="150">
        <v>12</v>
      </c>
      <c r="AC6" s="150">
        <v>25200</v>
      </c>
      <c r="AD6" s="150">
        <v>185</v>
      </c>
      <c r="AE6" s="150">
        <v>185</v>
      </c>
      <c r="AF6" s="150">
        <v>413</v>
      </c>
      <c r="AG6" s="150">
        <v>30</v>
      </c>
      <c r="AH6" s="150">
        <v>383</v>
      </c>
      <c r="AI6" s="150">
        <v>70855</v>
      </c>
      <c r="AJ6" s="150">
        <v>5905</v>
      </c>
      <c r="AK6" s="150">
        <v>25200</v>
      </c>
      <c r="AL6" s="150">
        <v>35.57</v>
      </c>
      <c r="AM6" s="150">
        <v>34.99</v>
      </c>
      <c r="AN6" s="150">
        <v>101.65</v>
      </c>
      <c r="AO6" s="150">
        <v>100</v>
      </c>
      <c r="AP6" s="150"/>
      <c r="AQ6" s="150">
        <v>30</v>
      </c>
      <c r="AR6" s="150"/>
      <c r="AS6" s="150">
        <v>18</v>
      </c>
      <c r="AT6" s="150">
        <v>15</v>
      </c>
      <c r="AU6" s="150"/>
      <c r="AV6" s="150">
        <v>186</v>
      </c>
      <c r="AW6" s="150">
        <v>249</v>
      </c>
      <c r="AX6" s="150"/>
      <c r="AY6" s="150"/>
      <c r="AZ6" s="150">
        <v>93</v>
      </c>
      <c r="BA6" s="150"/>
      <c r="BB6" s="150"/>
      <c r="BC6" s="150"/>
      <c r="BD6" s="150"/>
      <c r="BE6" s="150"/>
      <c r="BF6" s="150">
        <v>16</v>
      </c>
      <c r="BG6" s="150"/>
      <c r="BH6" s="150"/>
      <c r="BI6" s="150"/>
      <c r="BJ6" s="150">
        <v>42</v>
      </c>
      <c r="BK6" s="150">
        <v>54</v>
      </c>
      <c r="BL6" s="150"/>
      <c r="BM6" s="150">
        <v>6</v>
      </c>
      <c r="BN6" s="150"/>
      <c r="BO6" s="150">
        <v>8</v>
      </c>
      <c r="BP6" s="150">
        <v>20</v>
      </c>
      <c r="BQ6" s="150"/>
      <c r="BR6" s="150"/>
      <c r="BS6" s="150">
        <v>4</v>
      </c>
      <c r="BT6" s="150"/>
      <c r="BU6" s="150">
        <v>41</v>
      </c>
      <c r="BV6" s="150"/>
      <c r="BW6" s="150"/>
      <c r="BX6" s="150"/>
      <c r="BY6" s="150"/>
      <c r="BZ6" s="150">
        <v>13</v>
      </c>
      <c r="CA6" s="150"/>
      <c r="CB6" s="150"/>
      <c r="CC6" s="150"/>
      <c r="CD6" s="150">
        <v>548</v>
      </c>
      <c r="CE6" s="150">
        <v>204</v>
      </c>
    </row>
    <row r="7" spans="1:83" x14ac:dyDescent="0.25">
      <c r="A7" s="1" t="s">
        <v>17</v>
      </c>
      <c r="B7" s="1" t="s">
        <v>187</v>
      </c>
      <c r="C7" s="1" t="str">
        <f>VLOOKUP(B7,[1]Months!$A$4:$B$16,2,0)</f>
        <v>March</v>
      </c>
      <c r="D7" s="1" t="str">
        <f t="shared" si="33"/>
        <v>FY23P9B</v>
      </c>
      <c r="E7" s="1" t="str">
        <f t="shared" si="34"/>
        <v>FY23P963009850</v>
      </c>
      <c r="F7" s="1">
        <f t="shared" si="35"/>
        <v>0</v>
      </c>
      <c r="G7" s="1">
        <f t="shared" si="36"/>
        <v>0</v>
      </c>
      <c r="H7" s="1">
        <f t="shared" si="37"/>
        <v>1</v>
      </c>
      <c r="I7" s="1" t="str">
        <f t="shared" si="38"/>
        <v>45012B</v>
      </c>
      <c r="J7" s="2" t="str">
        <f t="shared" si="39"/>
        <v>45012B        FS10</v>
      </c>
      <c r="K7" s="1" t="str">
        <f t="shared" si="40"/>
        <v>FY23P9        FS10B</v>
      </c>
      <c r="L7" s="1" t="str">
        <f t="shared" si="41"/>
        <v>FY23        FS10</v>
      </c>
      <c r="M7" s="1" t="str">
        <f>IF((T7&gt;='[1]DT date range'!$A$15)*AND(T7&lt;='[1]DT date range'!$A$17), IF(U7='[1]DT date range'!$A$19, "in", IF('[1]DT date range'!$A$19="Both", "in", "out")),"out")&amp;V7</f>
        <v>in        FS10</v>
      </c>
      <c r="N7" s="1" t="str">
        <f t="shared" si="42"/>
        <v>FY23P9        FS10</v>
      </c>
      <c r="O7" s="3">
        <f>IF(ISERROR((VLOOKUP(X7,'[1]labor  rates'!$C$3:$AP$289,40,FALSE))*AZ7),((Z7/(AH7/60))*0.51*AZ7),((VLOOKUP(X7,'[1]labor  rates'!$C$3:$AP$289,40,FALSE))*AZ7))</f>
        <v>394.42416666666668</v>
      </c>
      <c r="P7" s="4">
        <f>IF(ISERROR((VLOOKUP(X7,'[1]labor  rates'!$C$3:$AP$289,40,FALSE))*CE7),((Z7/(AH7/60))*0.51*CE7),((VLOOKUP(X7,'[1]labor  rates'!$C$3:$AP$289,40,FALSE))*CE7))</f>
        <v>726.57083333333333</v>
      </c>
      <c r="Q7" s="4">
        <f>IF(ISERROR((VLOOKUP(X7,'[1]labor  rates'!$C$3:$AK$289,35,FALSE))*Z7),(Z7*30.85),((VLOOKUP(X7,'[1]labor  rates'!$C$3:$AK$289,35,FALSE))*Z7))</f>
        <v>2419.9257142857145</v>
      </c>
      <c r="R7" s="4">
        <f>IF(ISERROR((VLOOKUP(X7,'[1]labor  rates'!$C$3:$AO$289,39,FALSE))*AA7),(VLOOKUP(V7,'[1]labor  rates'!$C$3:$AO$289,39,FALSE)*AA7),(VLOOKUP(X7,'[1]labor  rates'!$C$3:$AO$289,39,FALSE))*AA7)</f>
        <v>1042.6644000000001</v>
      </c>
      <c r="S7" s="5">
        <f t="shared" si="43"/>
        <v>-1377.2613142857144</v>
      </c>
      <c r="T7" s="151">
        <v>45012</v>
      </c>
      <c r="U7" s="161" t="s">
        <v>18</v>
      </c>
      <c r="V7" s="150" t="s">
        <v>24</v>
      </c>
      <c r="W7" s="150">
        <v>421248</v>
      </c>
      <c r="X7" s="150">
        <v>63009850</v>
      </c>
      <c r="Y7" s="150" t="s">
        <v>205</v>
      </c>
      <c r="Z7" s="150">
        <v>68</v>
      </c>
      <c r="AA7" s="150">
        <v>2524</v>
      </c>
      <c r="AB7" s="150">
        <v>12</v>
      </c>
      <c r="AC7" s="150">
        <v>30288</v>
      </c>
      <c r="AD7" s="150">
        <v>250</v>
      </c>
      <c r="AE7" s="150">
        <v>250</v>
      </c>
      <c r="AF7" s="150">
        <v>510</v>
      </c>
      <c r="AG7" s="150">
        <v>30</v>
      </c>
      <c r="AH7" s="150">
        <v>480</v>
      </c>
      <c r="AI7" s="150">
        <v>120000</v>
      </c>
      <c r="AJ7" s="150">
        <v>10000</v>
      </c>
      <c r="AK7" s="150">
        <v>30288</v>
      </c>
      <c r="AL7" s="150">
        <v>25.24</v>
      </c>
      <c r="AM7" s="150">
        <v>51.04</v>
      </c>
      <c r="AN7" s="150">
        <v>49.45</v>
      </c>
      <c r="AO7" s="150">
        <v>100</v>
      </c>
      <c r="AP7" s="150">
        <v>10</v>
      </c>
      <c r="AQ7" s="150">
        <v>45</v>
      </c>
      <c r="AR7" s="150"/>
      <c r="AS7" s="150"/>
      <c r="AT7" s="150">
        <v>10</v>
      </c>
      <c r="AU7" s="150"/>
      <c r="AV7" s="150">
        <v>170</v>
      </c>
      <c r="AW7" s="150">
        <v>235</v>
      </c>
      <c r="AX7" s="150"/>
      <c r="AY7" s="150"/>
      <c r="AZ7" s="150">
        <v>95</v>
      </c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>
        <v>5</v>
      </c>
      <c r="BN7" s="150"/>
      <c r="BO7" s="150"/>
      <c r="BP7" s="150"/>
      <c r="BQ7" s="150"/>
      <c r="BR7" s="150"/>
      <c r="BS7" s="150">
        <v>130</v>
      </c>
      <c r="BT7" s="150">
        <v>40</v>
      </c>
      <c r="BU7" s="150"/>
      <c r="BV7" s="150"/>
      <c r="BW7" s="150"/>
      <c r="BX7" s="150"/>
      <c r="BY7" s="150"/>
      <c r="BZ7" s="150"/>
      <c r="CA7" s="150"/>
      <c r="CB7" s="150"/>
      <c r="CC7" s="150"/>
      <c r="CD7" s="150">
        <v>1</v>
      </c>
      <c r="CE7" s="150">
        <v>175</v>
      </c>
    </row>
    <row r="8" spans="1:83" x14ac:dyDescent="0.25">
      <c r="A8" s="1" t="s">
        <v>17</v>
      </c>
      <c r="B8" s="1" t="s">
        <v>187</v>
      </c>
      <c r="C8" s="1" t="str">
        <f>VLOOKUP(B8,[1]Months!$A$4:$B$16,2,0)</f>
        <v>March</v>
      </c>
      <c r="D8" s="1" t="str">
        <f t="shared" si="33"/>
        <v>FY23P9B</v>
      </c>
      <c r="E8" s="1" t="str">
        <f t="shared" si="34"/>
        <v>FY23P930012034</v>
      </c>
      <c r="F8" s="1">
        <f t="shared" si="35"/>
        <v>0</v>
      </c>
      <c r="G8" s="1">
        <f t="shared" si="36"/>
        <v>0</v>
      </c>
      <c r="H8" s="1">
        <f t="shared" si="37"/>
        <v>1</v>
      </c>
      <c r="I8" s="1" t="str">
        <f t="shared" si="38"/>
        <v>45012B</v>
      </c>
      <c r="J8" s="2" t="str">
        <f t="shared" si="39"/>
        <v>45012B        FS12</v>
      </c>
      <c r="K8" s="1" t="str">
        <f t="shared" si="40"/>
        <v>FY23P9        FS12B</v>
      </c>
      <c r="L8" s="1" t="str">
        <f t="shared" si="41"/>
        <v>FY23        FS12</v>
      </c>
      <c r="M8" s="1" t="str">
        <f>IF((T8&gt;='[1]DT date range'!$A$15)*AND(T8&lt;='[1]DT date range'!$A$17), IF(U8='[1]DT date range'!$A$19, "in", IF('[1]DT date range'!$A$19="Both", "in", "out")),"out")&amp;V8</f>
        <v>in        FS12</v>
      </c>
      <c r="N8" s="1" t="str">
        <f t="shared" si="42"/>
        <v>FY23P9        FS12</v>
      </c>
      <c r="O8" s="3">
        <f>IF(ISERROR((VLOOKUP(X8,'[1]labor  rates'!$C$3:$AP$289,40,FALSE))*AZ8),((Z8/(AH8/60))*0.51*AZ8),((VLOOKUP(X8,'[1]labor  rates'!$C$3:$AP$289,40,FALSE))*AZ8))</f>
        <v>285.90250000000003</v>
      </c>
      <c r="P8" s="4">
        <f>IF(ISERROR((VLOOKUP(X8,'[1]labor  rates'!$C$3:$AP$289,40,FALSE))*CE8),((Z8/(AH8/60))*0.51*CE8),((VLOOKUP(X8,'[1]labor  rates'!$C$3:$AP$289,40,FALSE))*CE8))</f>
        <v>1351.2655000000002</v>
      </c>
      <c r="Q8" s="4">
        <f>IF(ISERROR((VLOOKUP(X8,'[1]labor  rates'!$C$3:$AK$289,35,FALSE))*Z8),(Z8*30.85),((VLOOKUP(X8,'[1]labor  rates'!$C$3:$AK$289,35,FALSE))*Z8))</f>
        <v>866.7360000000001</v>
      </c>
      <c r="R8" s="4">
        <f>IF(ISERROR((VLOOKUP(X8,'[1]labor  rates'!$C$3:$AO$289,39,FALSE))*AA8),(VLOOKUP(V8,'[1]labor  rates'!$C$3:$AO$289,39,FALSE)*AA8),(VLOOKUP(X8,'[1]labor  rates'!$C$3:$AO$289,39,FALSE))*AA8)</f>
        <v>380.952</v>
      </c>
      <c r="S8" s="5">
        <f t="shared" si="43"/>
        <v>-485.78400000000011</v>
      </c>
      <c r="T8" s="151">
        <v>45012</v>
      </c>
      <c r="U8" s="161" t="s">
        <v>18</v>
      </c>
      <c r="V8" s="150" t="s">
        <v>25</v>
      </c>
      <c r="W8" s="150">
        <v>417588</v>
      </c>
      <c r="X8" s="150">
        <v>30012034</v>
      </c>
      <c r="Y8" s="150" t="s">
        <v>206</v>
      </c>
      <c r="Z8" s="150">
        <v>24</v>
      </c>
      <c r="AA8" s="150">
        <v>1716</v>
      </c>
      <c r="AB8" s="150">
        <v>6</v>
      </c>
      <c r="AC8" s="150">
        <v>10296</v>
      </c>
      <c r="AD8" s="150">
        <v>130</v>
      </c>
      <c r="AE8" s="150">
        <v>130</v>
      </c>
      <c r="AF8" s="150">
        <v>360</v>
      </c>
      <c r="AG8" s="150">
        <v>30</v>
      </c>
      <c r="AH8" s="150">
        <v>330</v>
      </c>
      <c r="AI8" s="150">
        <v>42900</v>
      </c>
      <c r="AJ8" s="150">
        <v>7150</v>
      </c>
      <c r="AK8" s="150">
        <v>10296</v>
      </c>
      <c r="AL8" s="150">
        <v>24</v>
      </c>
      <c r="AM8" s="150">
        <v>-51.52</v>
      </c>
      <c r="AN8" s="150">
        <v>-46.59</v>
      </c>
      <c r="AO8" s="150">
        <v>100</v>
      </c>
      <c r="AP8" s="150">
        <v>5</v>
      </c>
      <c r="AQ8" s="150">
        <v>45</v>
      </c>
      <c r="AR8" s="150"/>
      <c r="AS8" s="150"/>
      <c r="AT8" s="150">
        <v>15</v>
      </c>
      <c r="AU8" s="150"/>
      <c r="AV8" s="150">
        <v>435</v>
      </c>
      <c r="AW8" s="150">
        <v>500</v>
      </c>
      <c r="AX8" s="150"/>
      <c r="AY8" s="150"/>
      <c r="AZ8" s="150">
        <v>95</v>
      </c>
      <c r="BA8" s="150"/>
      <c r="BB8" s="150">
        <v>15</v>
      </c>
      <c r="BC8" s="150"/>
      <c r="BD8" s="150">
        <v>310</v>
      </c>
      <c r="BE8" s="150"/>
      <c r="BF8" s="150"/>
      <c r="BG8" s="150"/>
      <c r="BH8" s="150"/>
      <c r="BI8" s="150"/>
      <c r="BJ8" s="150"/>
      <c r="BK8" s="150"/>
      <c r="BL8" s="150"/>
      <c r="BM8" s="150">
        <v>5</v>
      </c>
      <c r="BN8" s="150"/>
      <c r="BO8" s="150"/>
      <c r="BP8" s="150"/>
      <c r="BQ8" s="150"/>
      <c r="BR8" s="150"/>
      <c r="BS8" s="150">
        <v>9</v>
      </c>
      <c r="BT8" s="150"/>
      <c r="BU8" s="150">
        <v>110</v>
      </c>
      <c r="BV8" s="150"/>
      <c r="BW8" s="150"/>
      <c r="BX8" s="150"/>
      <c r="BY8" s="150"/>
      <c r="BZ8" s="150"/>
      <c r="CA8" s="150"/>
      <c r="CB8" s="150"/>
      <c r="CC8" s="150"/>
      <c r="CD8" s="150">
        <v>120</v>
      </c>
      <c r="CE8" s="150">
        <v>449</v>
      </c>
    </row>
    <row r="9" spans="1:83" x14ac:dyDescent="0.25">
      <c r="A9" s="1" t="s">
        <v>17</v>
      </c>
      <c r="B9" s="1" t="s">
        <v>187</v>
      </c>
      <c r="C9" s="1" t="str">
        <f>VLOOKUP(B9,[1]Months!$A$4:$B$16,2,0)</f>
        <v>March</v>
      </c>
      <c r="D9" s="1" t="str">
        <f t="shared" si="33"/>
        <v>FY23P9C</v>
      </c>
      <c r="E9" s="1" t="str">
        <f t="shared" si="34"/>
        <v>FY23P930008167</v>
      </c>
      <c r="F9" s="1">
        <f t="shared" si="35"/>
        <v>0</v>
      </c>
      <c r="G9" s="1">
        <f t="shared" si="36"/>
        <v>1</v>
      </c>
      <c r="H9" s="1">
        <f t="shared" si="37"/>
        <v>1</v>
      </c>
      <c r="I9" s="1" t="str">
        <f t="shared" si="38"/>
        <v>45012C</v>
      </c>
      <c r="J9" s="2" t="str">
        <f t="shared" si="39"/>
        <v>45012C        FS01</v>
      </c>
      <c r="K9" s="1" t="str">
        <f t="shared" si="40"/>
        <v>FY23P9        FS01C</v>
      </c>
      <c r="L9" s="1" t="str">
        <f t="shared" si="41"/>
        <v>FY23        FS01</v>
      </c>
      <c r="M9" s="1" t="str">
        <f>IF((T9&gt;='[1]DT date range'!$A$15)*AND(T9&lt;='[1]DT date range'!$A$17), IF(U9='[1]DT date range'!$A$19, "in", IF('[1]DT date range'!$A$19="Both", "in", "out")),"out")&amp;V9</f>
        <v>in        FS01</v>
      </c>
      <c r="N9" s="1" t="str">
        <f t="shared" si="42"/>
        <v>FY23P9        FS01</v>
      </c>
      <c r="O9" s="3">
        <f>IF(ISERROR((VLOOKUP(X9,'[1]labor  rates'!$C$3:$AP$289,40,FALSE))*AZ9),((Z9/(AH9/60))*0.51*AZ9),((VLOOKUP(X9,'[1]labor  rates'!$C$3:$AP$289,40,FALSE))*AZ9))</f>
        <v>79.030000000000015</v>
      </c>
      <c r="P9" s="4">
        <f>IF(ISERROR((VLOOKUP(X9,'[1]labor  rates'!$C$3:$AP$289,40,FALSE))*CE9),((Z9/(AH9/60))*0.51*CE9),((VLOOKUP(X9,'[1]labor  rates'!$C$3:$AP$289,40,FALSE))*CE9))</f>
        <v>533.4525000000001</v>
      </c>
      <c r="Q9" s="4">
        <f>IF(ISERROR((VLOOKUP(X9,'[1]labor  rates'!$C$3:$AK$289,35,FALSE))*Z9),(Z9*30.85),((VLOOKUP(X9,'[1]labor  rates'!$C$3:$AK$289,35,FALSE))*Z9))</f>
        <v>1066.9050000000002</v>
      </c>
      <c r="R9" s="4">
        <f>IF(ISERROR((VLOOKUP(X9,'[1]labor  rates'!$C$3:$AO$289,39,FALSE))*AA9),(VLOOKUP(V9,'[1]labor  rates'!$C$3:$AO$289,39,FALSE)*AA9),(VLOOKUP(X9,'[1]labor  rates'!$C$3:$AO$289,39,FALSE))*AA9)</f>
        <v>559.94399999999996</v>
      </c>
      <c r="S9" s="5">
        <f t="shared" si="43"/>
        <v>-506.96100000000024</v>
      </c>
      <c r="T9" s="151">
        <v>45012</v>
      </c>
      <c r="U9" s="161" t="s">
        <v>16</v>
      </c>
      <c r="V9" s="150" t="s">
        <v>19</v>
      </c>
      <c r="W9" s="150">
        <v>417488</v>
      </c>
      <c r="X9" s="150">
        <v>30008167</v>
      </c>
      <c r="Y9" s="150" t="s">
        <v>202</v>
      </c>
      <c r="Z9" s="150">
        <v>36</v>
      </c>
      <c r="AA9" s="150">
        <v>462</v>
      </c>
      <c r="AB9" s="150">
        <v>12</v>
      </c>
      <c r="AC9" s="150">
        <v>5544</v>
      </c>
      <c r="AD9" s="150">
        <v>70</v>
      </c>
      <c r="AE9" s="150">
        <v>70</v>
      </c>
      <c r="AF9" s="150">
        <v>240</v>
      </c>
      <c r="AG9" s="150"/>
      <c r="AH9" s="150">
        <v>240</v>
      </c>
      <c r="AI9" s="150">
        <v>16800</v>
      </c>
      <c r="AJ9" s="150">
        <v>1400</v>
      </c>
      <c r="AK9" s="150">
        <v>5544</v>
      </c>
      <c r="AL9" s="150">
        <v>33</v>
      </c>
      <c r="AM9" s="150">
        <v>39.58</v>
      </c>
      <c r="AN9" s="150">
        <v>83.37</v>
      </c>
      <c r="AO9" s="150">
        <v>100</v>
      </c>
      <c r="AP9" s="150">
        <v>5</v>
      </c>
      <c r="AQ9" s="150">
        <v>15</v>
      </c>
      <c r="AR9" s="150"/>
      <c r="AS9" s="150"/>
      <c r="AT9" s="150"/>
      <c r="AU9" s="150"/>
      <c r="AV9" s="150">
        <v>125</v>
      </c>
      <c r="AW9" s="150">
        <v>145</v>
      </c>
      <c r="AX9" s="150"/>
      <c r="AY9" s="150"/>
      <c r="AZ9" s="150">
        <v>20</v>
      </c>
      <c r="BA9" s="150"/>
      <c r="BB9" s="150"/>
      <c r="BC9" s="150">
        <v>45</v>
      </c>
      <c r="BD9" s="150"/>
      <c r="BE9" s="150"/>
      <c r="BF9" s="150"/>
      <c r="BG9" s="150"/>
      <c r="BH9" s="150"/>
      <c r="BI9" s="150"/>
      <c r="BJ9" s="150"/>
      <c r="BK9" s="150">
        <v>6</v>
      </c>
      <c r="BL9" s="150"/>
      <c r="BM9" s="150"/>
      <c r="BN9" s="150"/>
      <c r="BO9" s="150"/>
      <c r="BP9" s="150">
        <v>10</v>
      </c>
      <c r="BQ9" s="150"/>
      <c r="BR9" s="150"/>
      <c r="BS9" s="150">
        <v>4</v>
      </c>
      <c r="BT9" s="150">
        <v>70</v>
      </c>
      <c r="BU9" s="150"/>
      <c r="BV9" s="150"/>
      <c r="BW9" s="150"/>
      <c r="BX9" s="150"/>
      <c r="BY9" s="150"/>
      <c r="BZ9" s="150"/>
      <c r="CA9" s="150"/>
      <c r="CB9" s="150"/>
      <c r="CC9" s="150"/>
      <c r="CD9" s="150">
        <v>225</v>
      </c>
      <c r="CE9" s="150">
        <v>135</v>
      </c>
    </row>
    <row r="10" spans="1:83" x14ac:dyDescent="0.25">
      <c r="A10" s="1" t="s">
        <v>17</v>
      </c>
      <c r="B10" s="1" t="s">
        <v>187</v>
      </c>
      <c r="C10" s="1" t="str">
        <f>VLOOKUP(B10,[1]Months!$A$4:$B$16,2,0)</f>
        <v>March</v>
      </c>
      <c r="D10" s="1" t="str">
        <f t="shared" si="33"/>
        <v>FY23P9C</v>
      </c>
      <c r="E10" s="1" t="str">
        <f t="shared" si="34"/>
        <v>FY23P971608004</v>
      </c>
      <c r="F10" s="1">
        <f t="shared" si="35"/>
        <v>0</v>
      </c>
      <c r="G10" s="1">
        <f t="shared" si="36"/>
        <v>0</v>
      </c>
      <c r="H10" s="1">
        <f t="shared" si="37"/>
        <v>0</v>
      </c>
      <c r="I10" s="1" t="str">
        <f t="shared" si="38"/>
        <v>45012C</v>
      </c>
      <c r="J10" s="2" t="str">
        <f t="shared" si="39"/>
        <v>45012C        FS01</v>
      </c>
      <c r="K10" s="1" t="str">
        <f t="shared" si="40"/>
        <v>FY23P9        FS01C</v>
      </c>
      <c r="L10" s="1" t="str">
        <f t="shared" si="41"/>
        <v>FY23        FS01</v>
      </c>
      <c r="M10" s="1" t="str">
        <f>IF((T10&gt;='[1]DT date range'!$A$15)*AND(T10&lt;='[1]DT date range'!$A$17), IF(U10='[1]DT date range'!$A$19, "in", IF('[1]DT date range'!$A$19="Both", "in", "out")),"out")&amp;V10</f>
        <v>in        FS01</v>
      </c>
      <c r="N10" s="1" t="str">
        <f t="shared" si="42"/>
        <v>FY23P9        FS01</v>
      </c>
      <c r="O10" s="3">
        <f>IF(ISERROR((VLOOKUP(X10,'[1]labor  rates'!$C$3:$AP$289,40,FALSE))*AZ10),((Z10/(AH10/60))*0.51*AZ10),((VLOOKUP(X10,'[1]labor  rates'!$C$3:$AP$289,40,FALSE))*AZ10))</f>
        <v>367.2</v>
      </c>
      <c r="P10" s="4">
        <f>IF(ISERROR((VLOOKUP(X10,'[1]labor  rates'!$C$3:$AP$289,40,FALSE))*CE10),((Z10/(AH10/60))*0.51*CE10),((VLOOKUP(X10,'[1]labor  rates'!$C$3:$AP$289,40,FALSE))*CE10))</f>
        <v>0</v>
      </c>
      <c r="Q10" s="4">
        <f>IF(ISERROR((VLOOKUP(X10,'[1]labor  rates'!$C$3:$AK$289,35,FALSE))*Z10),(Z10*30.85),((VLOOKUP(X10,'[1]labor  rates'!$C$3:$AK$289,35,FALSE))*Z10))</f>
        <v>2221.2000000000003</v>
      </c>
      <c r="R10" s="4">
        <f>IF(ISERROR((VLOOKUP(X10,'[1]labor  rates'!$C$3:$AO$289,39,FALSE))*AA10),(VLOOKUP(V10,'[1]labor  rates'!$C$3:$AO$289,39,FALSE)*AA10),(VLOOKUP(X10,'[1]labor  rates'!$C$3:$AO$289,39,FALSE))*AA10)</f>
        <v>0</v>
      </c>
      <c r="S10" s="5">
        <f t="shared" si="43"/>
        <v>-2221.2000000000003</v>
      </c>
      <c r="T10" s="151">
        <v>45012</v>
      </c>
      <c r="U10" s="161" t="s">
        <v>16</v>
      </c>
      <c r="V10" s="150" t="s">
        <v>19</v>
      </c>
      <c r="W10" s="150">
        <v>424499</v>
      </c>
      <c r="X10" s="150">
        <v>71608004</v>
      </c>
      <c r="Y10" s="150" t="s">
        <v>207</v>
      </c>
      <c r="Z10" s="150">
        <v>72</v>
      </c>
      <c r="AA10" s="150"/>
      <c r="AB10" s="150">
        <v>6</v>
      </c>
      <c r="AC10" s="150"/>
      <c r="AD10" s="150">
        <v>55</v>
      </c>
      <c r="AE10" s="150">
        <v>55</v>
      </c>
      <c r="AF10" s="150">
        <v>480</v>
      </c>
      <c r="AG10" s="150">
        <v>30</v>
      </c>
      <c r="AH10" s="150">
        <v>450</v>
      </c>
      <c r="AI10" s="150">
        <v>24750</v>
      </c>
      <c r="AJ10" s="150">
        <v>4125</v>
      </c>
      <c r="AK10" s="150">
        <v>0</v>
      </c>
      <c r="AL10" s="150">
        <v>0</v>
      </c>
      <c r="AM10" s="150">
        <v>90</v>
      </c>
      <c r="AN10" s="150">
        <v>0</v>
      </c>
      <c r="AO10" s="150">
        <v>0</v>
      </c>
      <c r="AP10" s="150"/>
      <c r="AQ10" s="150">
        <v>45</v>
      </c>
      <c r="AR10" s="150"/>
      <c r="AS10" s="150"/>
      <c r="AT10" s="150"/>
      <c r="AU10" s="150"/>
      <c r="AV10" s="150"/>
      <c r="AW10" s="150">
        <v>45</v>
      </c>
      <c r="AX10" s="150"/>
      <c r="AY10" s="150"/>
      <c r="AZ10" s="150">
        <v>75</v>
      </c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>
        <v>1</v>
      </c>
      <c r="CE10" s="150"/>
    </row>
    <row r="11" spans="1:83" x14ac:dyDescent="0.25">
      <c r="A11" s="1" t="s">
        <v>17</v>
      </c>
      <c r="B11" s="1" t="s">
        <v>187</v>
      </c>
      <c r="C11" s="1" t="str">
        <f>VLOOKUP(B11,[1]Months!$A$4:$B$16,2,0)</f>
        <v>March</v>
      </c>
      <c r="D11" s="1" t="str">
        <f t="shared" si="33"/>
        <v>FY23P9C</v>
      </c>
      <c r="E11" s="1" t="str">
        <f t="shared" si="34"/>
        <v>FY23P930000034</v>
      </c>
      <c r="F11" s="1">
        <f t="shared" si="35"/>
        <v>0</v>
      </c>
      <c r="G11" s="1">
        <f t="shared" si="36"/>
        <v>0</v>
      </c>
      <c r="H11" s="1">
        <f t="shared" si="37"/>
        <v>1</v>
      </c>
      <c r="I11" s="1" t="str">
        <f t="shared" si="38"/>
        <v>45012C</v>
      </c>
      <c r="J11" s="2" t="str">
        <f t="shared" si="39"/>
        <v>45012C        FS03</v>
      </c>
      <c r="K11" s="1" t="str">
        <f t="shared" si="40"/>
        <v>FY23P9        FS03C</v>
      </c>
      <c r="L11" s="1" t="str">
        <f t="shared" si="41"/>
        <v>FY23        FS03</v>
      </c>
      <c r="M11" s="1" t="str">
        <f>IF((T11&gt;='[1]DT date range'!$A$15)*AND(T11&lt;='[1]DT date range'!$A$17), IF(U11='[1]DT date range'!$A$19, "in", IF('[1]DT date range'!$A$19="Both", "in", "out")),"out")&amp;V11</f>
        <v>in        FS03</v>
      </c>
      <c r="N11" s="1" t="str">
        <f t="shared" si="42"/>
        <v>FY23P9        FS03</v>
      </c>
      <c r="O11" s="3">
        <f>IF(ISERROR((VLOOKUP(X11,'[1]labor  rates'!$C$3:$AP$289,40,FALSE))*AZ11),((Z11/(AH11/60))*0.51*AZ11),((VLOOKUP(X11,'[1]labor  rates'!$C$3:$AP$289,40,FALSE))*AZ11))</f>
        <v>361.14000000000004</v>
      </c>
      <c r="P11" s="4">
        <f>IF(ISERROR((VLOOKUP(X11,'[1]labor  rates'!$C$3:$AP$289,40,FALSE))*CE11),((Z11/(AH11/60))*0.51*CE11),((VLOOKUP(X11,'[1]labor  rates'!$C$3:$AP$289,40,FALSE))*CE11))</f>
        <v>947.99250000000018</v>
      </c>
      <c r="Q11" s="4">
        <f>IF(ISERROR((VLOOKUP(X11,'[1]labor  rates'!$C$3:$AK$289,35,FALSE))*Z11),(Z11*30.85),((VLOOKUP(X11,'[1]labor  rates'!$C$3:$AK$289,35,FALSE))*Z11))</f>
        <v>2166.84</v>
      </c>
      <c r="R11" s="4">
        <f>IF(ISERROR((VLOOKUP(X11,'[1]labor  rates'!$C$3:$AO$289,39,FALSE))*AA11),(VLOOKUP(V11,'[1]labor  rates'!$C$3:$AO$289,39,FALSE)*AA11),(VLOOKUP(X11,'[1]labor  rates'!$C$3:$AO$289,39,FALSE))*AA11)</f>
        <v>1923.4079999999997</v>
      </c>
      <c r="S11" s="5">
        <f t="shared" si="43"/>
        <v>-243.43200000000047</v>
      </c>
      <c r="T11" s="151">
        <v>45012</v>
      </c>
      <c r="U11" s="161" t="s">
        <v>16</v>
      </c>
      <c r="V11" s="150" t="s">
        <v>20</v>
      </c>
      <c r="W11" s="150">
        <v>419154</v>
      </c>
      <c r="X11" s="150">
        <v>30000034</v>
      </c>
      <c r="Y11" s="150" t="s">
        <v>199</v>
      </c>
      <c r="Z11" s="150">
        <v>60</v>
      </c>
      <c r="AA11" s="150">
        <v>855</v>
      </c>
      <c r="AB11" s="150">
        <v>120</v>
      </c>
      <c r="AC11" s="150">
        <v>102600</v>
      </c>
      <c r="AD11" s="150">
        <v>380</v>
      </c>
      <c r="AE11" s="150">
        <v>380</v>
      </c>
      <c r="AF11" s="150">
        <v>720</v>
      </c>
      <c r="AG11" s="150">
        <v>30</v>
      </c>
      <c r="AH11" s="150">
        <v>690</v>
      </c>
      <c r="AI11" s="150">
        <v>262200</v>
      </c>
      <c r="AJ11" s="150">
        <v>2185</v>
      </c>
      <c r="AK11" s="150">
        <v>102600</v>
      </c>
      <c r="AL11" s="150">
        <v>39.130000000000003</v>
      </c>
      <c r="AM11" s="150">
        <v>44.78</v>
      </c>
      <c r="AN11" s="150">
        <v>87.38</v>
      </c>
      <c r="AO11" s="150">
        <v>100</v>
      </c>
      <c r="AP11" s="150">
        <v>10</v>
      </c>
      <c r="AQ11" s="150">
        <v>60</v>
      </c>
      <c r="AR11" s="150"/>
      <c r="AS11" s="150"/>
      <c r="AT11" s="150">
        <v>20</v>
      </c>
      <c r="AU11" s="150"/>
      <c r="AV11" s="150">
        <v>291</v>
      </c>
      <c r="AW11" s="150">
        <v>381</v>
      </c>
      <c r="AX11" s="150"/>
      <c r="AY11" s="150"/>
      <c r="AZ11" s="150">
        <v>120</v>
      </c>
      <c r="BA11" s="150">
        <v>12</v>
      </c>
      <c r="BB11" s="150"/>
      <c r="BC11" s="150">
        <v>22</v>
      </c>
      <c r="BD11" s="150"/>
      <c r="BE11" s="150"/>
      <c r="BF11" s="150"/>
      <c r="BG11" s="150"/>
      <c r="BH11" s="150"/>
      <c r="BI11" s="150"/>
      <c r="BJ11" s="150">
        <v>7</v>
      </c>
      <c r="BK11" s="150"/>
      <c r="BL11" s="150">
        <v>16</v>
      </c>
      <c r="BM11" s="150">
        <v>9</v>
      </c>
      <c r="BN11" s="150">
        <v>92</v>
      </c>
      <c r="BO11" s="150">
        <v>29</v>
      </c>
      <c r="BP11" s="150"/>
      <c r="BQ11" s="150"/>
      <c r="BR11" s="150">
        <v>34</v>
      </c>
      <c r="BS11" s="150">
        <v>17</v>
      </c>
      <c r="BT11" s="150"/>
      <c r="BU11" s="150">
        <v>46</v>
      </c>
      <c r="BV11" s="150"/>
      <c r="BW11" s="150"/>
      <c r="BX11" s="150">
        <v>23</v>
      </c>
      <c r="BY11" s="150"/>
      <c r="BZ11" s="150"/>
      <c r="CA11" s="150"/>
      <c r="CB11" s="150"/>
      <c r="CC11" s="150">
        <v>8</v>
      </c>
      <c r="CD11" s="150">
        <v>81</v>
      </c>
      <c r="CE11" s="150">
        <v>315</v>
      </c>
    </row>
    <row r="12" spans="1:83" x14ac:dyDescent="0.25">
      <c r="A12" s="1" t="s">
        <v>17</v>
      </c>
      <c r="B12" s="1" t="s">
        <v>187</v>
      </c>
      <c r="C12" s="1" t="str">
        <f>VLOOKUP(B12,[1]Months!$A$4:$B$16,2,0)</f>
        <v>March</v>
      </c>
      <c r="D12" s="1" t="str">
        <f t="shared" si="33"/>
        <v>FY23P9C</v>
      </c>
      <c r="E12" s="1" t="str">
        <f t="shared" si="34"/>
        <v>FY23P930001034</v>
      </c>
      <c r="F12" s="1">
        <f t="shared" si="35"/>
        <v>0</v>
      </c>
      <c r="G12" s="1">
        <f t="shared" si="36"/>
        <v>0</v>
      </c>
      <c r="H12" s="1">
        <f t="shared" si="37"/>
        <v>1</v>
      </c>
      <c r="I12" s="1" t="str">
        <f t="shared" si="38"/>
        <v>45012C</v>
      </c>
      <c r="J12" s="2" t="str">
        <f t="shared" si="39"/>
        <v>45012C        FS05</v>
      </c>
      <c r="K12" s="1" t="str">
        <f t="shared" si="40"/>
        <v>FY23P9        FS05C</v>
      </c>
      <c r="L12" s="1" t="str">
        <f t="shared" si="41"/>
        <v>FY23        FS05</v>
      </c>
      <c r="M12" s="1" t="str">
        <f>IF((T12&gt;='[1]DT date range'!$A$15)*AND(T12&lt;='[1]DT date range'!$A$17), IF(U12='[1]DT date range'!$A$19, "in", IF('[1]DT date range'!$A$19="Both", "in", "out")),"out")&amp;V12</f>
        <v>in        FS05</v>
      </c>
      <c r="N12" s="1" t="str">
        <f t="shared" si="42"/>
        <v>FY23P9        FS05</v>
      </c>
      <c r="O12" s="3">
        <f>IF(ISERROR((VLOOKUP(X12,'[1]labor  rates'!$C$3:$AP$289,40,FALSE))*AZ12),((Z12/(AH12/60))*0.51*AZ12),((VLOOKUP(X12,'[1]labor  rates'!$C$3:$AP$289,40,FALSE))*AZ12))</f>
        <v>49.852500000000006</v>
      </c>
      <c r="P12" s="4">
        <f>IF(ISERROR((VLOOKUP(X12,'[1]labor  rates'!$C$3:$AP$289,40,FALSE))*CE12),((Z12/(AH12/60))*0.51*CE12),((VLOOKUP(X12,'[1]labor  rates'!$C$3:$AP$289,40,FALSE))*CE12))</f>
        <v>372.23200000000008</v>
      </c>
      <c r="Q12" s="4">
        <f>IF(ISERROR((VLOOKUP(X12,'[1]labor  rates'!$C$3:$AK$289,35,FALSE))*Z12),(Z12*30.85),((VLOOKUP(X12,'[1]labor  rates'!$C$3:$AK$289,35,FALSE))*Z12))</f>
        <v>681.31750000000011</v>
      </c>
      <c r="R12" s="4">
        <f>IF(ISERROR((VLOOKUP(X12,'[1]labor  rates'!$C$3:$AO$289,39,FALSE))*AA12),(VLOOKUP(V12,'[1]labor  rates'!$C$3:$AO$289,39,FALSE)*AA12),(VLOOKUP(X12,'[1]labor  rates'!$C$3:$AO$289,39,FALSE))*AA12)</f>
        <v>489.24359999999996</v>
      </c>
      <c r="S12" s="5">
        <f t="shared" si="43"/>
        <v>-192.07390000000015</v>
      </c>
      <c r="T12" s="151">
        <v>45012</v>
      </c>
      <c r="U12" s="161" t="s">
        <v>16</v>
      </c>
      <c r="V12" s="150" t="s">
        <v>22</v>
      </c>
      <c r="W12" s="150">
        <v>417589</v>
      </c>
      <c r="X12" s="150">
        <v>30001034</v>
      </c>
      <c r="Y12" s="150" t="s">
        <v>208</v>
      </c>
      <c r="Z12" s="150">
        <v>20.5</v>
      </c>
      <c r="AA12" s="150">
        <v>333</v>
      </c>
      <c r="AB12" s="150">
        <v>48</v>
      </c>
      <c r="AC12" s="150">
        <v>15984</v>
      </c>
      <c r="AD12" s="150">
        <v>250</v>
      </c>
      <c r="AE12" s="150">
        <v>250</v>
      </c>
      <c r="AF12" s="150">
        <v>205</v>
      </c>
      <c r="AG12" s="150"/>
      <c r="AH12" s="150">
        <v>205</v>
      </c>
      <c r="AI12" s="150">
        <v>51250</v>
      </c>
      <c r="AJ12" s="150">
        <v>1068</v>
      </c>
      <c r="AK12" s="150">
        <v>15984</v>
      </c>
      <c r="AL12" s="150">
        <v>31.19</v>
      </c>
      <c r="AM12" s="150">
        <v>41.46</v>
      </c>
      <c r="AN12" s="150">
        <v>75.22</v>
      </c>
      <c r="AO12" s="150">
        <v>100</v>
      </c>
      <c r="AP12" s="150"/>
      <c r="AQ12" s="150">
        <v>15</v>
      </c>
      <c r="AR12" s="150"/>
      <c r="AS12" s="150"/>
      <c r="AT12" s="150"/>
      <c r="AU12" s="150"/>
      <c r="AV12" s="150">
        <v>105</v>
      </c>
      <c r="AW12" s="150">
        <v>120</v>
      </c>
      <c r="AX12" s="150"/>
      <c r="AY12" s="150"/>
      <c r="AZ12" s="150">
        <v>15</v>
      </c>
      <c r="BA12" s="150"/>
      <c r="BB12" s="150"/>
      <c r="BC12" s="150"/>
      <c r="BD12" s="150"/>
      <c r="BE12" s="150"/>
      <c r="BF12" s="150"/>
      <c r="BG12" s="150"/>
      <c r="BH12" s="150"/>
      <c r="BI12" s="150"/>
      <c r="BJ12" s="150">
        <v>30</v>
      </c>
      <c r="BK12" s="150">
        <v>55</v>
      </c>
      <c r="BL12" s="150"/>
      <c r="BM12" s="150"/>
      <c r="BN12" s="150"/>
      <c r="BO12" s="150"/>
      <c r="BP12" s="150"/>
      <c r="BQ12" s="150"/>
      <c r="BR12" s="150">
        <v>4</v>
      </c>
      <c r="BS12" s="150">
        <v>3</v>
      </c>
      <c r="BT12" s="150"/>
      <c r="BU12" s="150">
        <v>20</v>
      </c>
      <c r="BV12" s="150"/>
      <c r="BW12" s="150"/>
      <c r="BX12" s="150"/>
      <c r="BY12" s="150"/>
      <c r="BZ12" s="150"/>
      <c r="CA12" s="150"/>
      <c r="CB12" s="150"/>
      <c r="CC12" s="150"/>
      <c r="CD12" s="150">
        <v>57</v>
      </c>
      <c r="CE12" s="150">
        <v>112</v>
      </c>
    </row>
    <row r="13" spans="1:83" x14ac:dyDescent="0.25">
      <c r="A13" s="1" t="s">
        <v>17</v>
      </c>
      <c r="B13" s="1" t="s">
        <v>187</v>
      </c>
      <c r="C13" s="1" t="str">
        <f>VLOOKUP(B13,[1]Months!$A$4:$B$16,2,0)</f>
        <v>March</v>
      </c>
      <c r="D13" s="1" t="str">
        <f t="shared" si="33"/>
        <v>FY23P9C</v>
      </c>
      <c r="E13" s="1" t="str">
        <f t="shared" si="34"/>
        <v>FY23P930001034</v>
      </c>
      <c r="F13" s="1">
        <f t="shared" si="35"/>
        <v>0</v>
      </c>
      <c r="G13" s="1">
        <f t="shared" si="36"/>
        <v>0</v>
      </c>
      <c r="H13" s="1">
        <f t="shared" si="37"/>
        <v>0</v>
      </c>
      <c r="I13" s="1" t="str">
        <f t="shared" si="38"/>
        <v>45012C</v>
      </c>
      <c r="J13" s="2" t="str">
        <f t="shared" si="39"/>
        <v>45012C        FS05</v>
      </c>
      <c r="K13" s="1" t="str">
        <f t="shared" si="40"/>
        <v>FY23P9        FS05C</v>
      </c>
      <c r="L13" s="1" t="str">
        <f t="shared" si="41"/>
        <v>FY23        FS05</v>
      </c>
      <c r="M13" s="1" t="str">
        <f>IF((T13&gt;='[1]DT date range'!$A$15)*AND(T13&lt;='[1]DT date range'!$A$17), IF(U13='[1]DT date range'!$A$19, "in", IF('[1]DT date range'!$A$19="Both", "in", "out")),"out")&amp;V13</f>
        <v>in        FS05</v>
      </c>
      <c r="N13" s="1" t="str">
        <f t="shared" si="42"/>
        <v>FY23P9        FS05</v>
      </c>
      <c r="O13" s="3">
        <f>IF(ISERROR((VLOOKUP(X13,'[1]labor  rates'!$C$3:$AP$289,40,FALSE))*AZ13),((Z13/(AH13/60))*0.51*AZ13),((VLOOKUP(X13,'[1]labor  rates'!$C$3:$AP$289,40,FALSE))*AZ13))</f>
        <v>166.17500000000004</v>
      </c>
      <c r="P13" s="4">
        <f>IF(ISERROR((VLOOKUP(X13,'[1]labor  rates'!$C$3:$AP$289,40,FALSE))*CE13),((Z13/(AH13/60))*0.51*CE13),((VLOOKUP(X13,'[1]labor  rates'!$C$3:$AP$289,40,FALSE))*CE13))</f>
        <v>545.05400000000009</v>
      </c>
      <c r="Q13" s="4">
        <f>IF(ISERROR((VLOOKUP(X13,'[1]labor  rates'!$C$3:$AK$289,35,FALSE))*Z13),(Z13*30.85),((VLOOKUP(X13,'[1]labor  rates'!$C$3:$AK$289,35,FALSE))*Z13))</f>
        <v>1434.7549500000002</v>
      </c>
      <c r="R13" s="4">
        <f>IF(ISERROR((VLOOKUP(X13,'[1]labor  rates'!$C$3:$AO$289,39,FALSE))*AA13),(VLOOKUP(V13,'[1]labor  rates'!$C$3:$AO$289,39,FALSE)*AA13),(VLOOKUP(X13,'[1]labor  rates'!$C$3:$AO$289,39,FALSE))*AA13)</f>
        <v>952.0415999999999</v>
      </c>
      <c r="S13" s="5">
        <f t="shared" si="43"/>
        <v>-482.71335000000033</v>
      </c>
      <c r="T13" s="151">
        <v>45012</v>
      </c>
      <c r="U13" s="161" t="s">
        <v>16</v>
      </c>
      <c r="V13" s="150" t="s">
        <v>22</v>
      </c>
      <c r="W13" s="150">
        <v>417594</v>
      </c>
      <c r="X13" s="150">
        <v>30001034</v>
      </c>
      <c r="Y13" s="150" t="s">
        <v>208</v>
      </c>
      <c r="Z13" s="150">
        <v>43.17</v>
      </c>
      <c r="AA13" s="150">
        <v>648</v>
      </c>
      <c r="AB13" s="150">
        <v>48</v>
      </c>
      <c r="AC13" s="150">
        <v>31104</v>
      </c>
      <c r="AD13" s="150">
        <v>250</v>
      </c>
      <c r="AE13" s="150">
        <v>250</v>
      </c>
      <c r="AF13" s="150">
        <v>370</v>
      </c>
      <c r="AG13" s="150"/>
      <c r="AH13" s="150">
        <v>370</v>
      </c>
      <c r="AI13" s="150">
        <v>92500</v>
      </c>
      <c r="AJ13" s="150">
        <v>1927</v>
      </c>
      <c r="AK13" s="150">
        <v>31104</v>
      </c>
      <c r="AL13" s="150">
        <v>33.630000000000003</v>
      </c>
      <c r="AM13" s="150">
        <v>43.24</v>
      </c>
      <c r="AN13" s="150">
        <v>77.760000000000005</v>
      </c>
      <c r="AO13" s="150">
        <v>100</v>
      </c>
      <c r="AP13" s="150"/>
      <c r="AQ13" s="150">
        <v>30</v>
      </c>
      <c r="AR13" s="150"/>
      <c r="AS13" s="150"/>
      <c r="AT13" s="150">
        <v>20</v>
      </c>
      <c r="AU13" s="150"/>
      <c r="AV13" s="150">
        <v>160</v>
      </c>
      <c r="AW13" s="150">
        <v>210</v>
      </c>
      <c r="AX13" s="150"/>
      <c r="AY13" s="150"/>
      <c r="AZ13" s="150">
        <v>50</v>
      </c>
      <c r="BA13" s="150"/>
      <c r="BB13" s="150"/>
      <c r="BC13" s="150">
        <v>13</v>
      </c>
      <c r="BD13" s="150"/>
      <c r="BE13" s="150"/>
      <c r="BF13" s="150"/>
      <c r="BG13" s="150"/>
      <c r="BH13" s="150"/>
      <c r="BI13" s="150"/>
      <c r="BJ13" s="150">
        <v>11</v>
      </c>
      <c r="BK13" s="150">
        <v>80</v>
      </c>
      <c r="BL13" s="150"/>
      <c r="BM13" s="150"/>
      <c r="BN13" s="150"/>
      <c r="BO13" s="150">
        <v>38</v>
      </c>
      <c r="BP13" s="150"/>
      <c r="BQ13" s="150"/>
      <c r="BR13" s="150">
        <v>4</v>
      </c>
      <c r="BS13" s="150">
        <v>18</v>
      </c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>
        <v>168</v>
      </c>
      <c r="CE13" s="150">
        <v>164</v>
      </c>
    </row>
    <row r="14" spans="1:83" x14ac:dyDescent="0.25">
      <c r="A14" s="1" t="s">
        <v>17</v>
      </c>
      <c r="B14" s="1" t="s">
        <v>187</v>
      </c>
      <c r="C14" s="1" t="str">
        <f>VLOOKUP(B14,[1]Months!$A$4:$B$16,2,0)</f>
        <v>March</v>
      </c>
      <c r="D14" s="1" t="str">
        <f t="shared" si="33"/>
        <v>FY23P9C</v>
      </c>
      <c r="E14" s="1" t="str">
        <f t="shared" si="34"/>
        <v>FY23P963009850</v>
      </c>
      <c r="F14" s="1">
        <f t="shared" si="35"/>
        <v>0</v>
      </c>
      <c r="G14" s="1">
        <f t="shared" si="36"/>
        <v>0</v>
      </c>
      <c r="H14" s="1">
        <f t="shared" si="37"/>
        <v>1</v>
      </c>
      <c r="I14" s="1" t="str">
        <f t="shared" si="38"/>
        <v>45012C</v>
      </c>
      <c r="J14" s="2" t="str">
        <f t="shared" si="39"/>
        <v>45012C        FS10</v>
      </c>
      <c r="K14" s="1" t="str">
        <f t="shared" si="40"/>
        <v>FY23P9        FS10C</v>
      </c>
      <c r="L14" s="1" t="str">
        <f t="shared" si="41"/>
        <v>FY23        FS10</v>
      </c>
      <c r="M14" s="1" t="str">
        <f>IF((T14&gt;='[1]DT date range'!$A$15)*AND(T14&lt;='[1]DT date range'!$A$17), IF(U14='[1]DT date range'!$A$19, "in", IF('[1]DT date range'!$A$19="Both", "in", "out")),"out")&amp;V14</f>
        <v>in        FS10</v>
      </c>
      <c r="N14" s="1" t="str">
        <f t="shared" si="42"/>
        <v>FY23P9        FS10</v>
      </c>
      <c r="O14" s="3">
        <f>IF(ISERROR((VLOOKUP(X14,'[1]labor  rates'!$C$3:$AP$289,40,FALSE))*AZ14),((Z14/(AH14/60))*0.51*AZ14),((VLOOKUP(X14,'[1]labor  rates'!$C$3:$AP$289,40,FALSE))*AZ14))</f>
        <v>41.518333333333331</v>
      </c>
      <c r="P14" s="4">
        <f>IF(ISERROR((VLOOKUP(X14,'[1]labor  rates'!$C$3:$AP$289,40,FALSE))*CE14),((Z14/(AH14/60))*0.51*CE14),((VLOOKUP(X14,'[1]labor  rates'!$C$3:$AP$289,40,FALSE))*CE14))</f>
        <v>323.84300000000002</v>
      </c>
      <c r="Q14" s="4">
        <f>IF(ISERROR((VLOOKUP(X14,'[1]labor  rates'!$C$3:$AK$289,35,FALSE))*Z14),(Z14*30.85),((VLOOKUP(X14,'[1]labor  rates'!$C$3:$AK$289,35,FALSE))*Z14))</f>
        <v>1120.9950000000001</v>
      </c>
      <c r="R14" s="4">
        <f>IF(ISERROR((VLOOKUP(X14,'[1]labor  rates'!$C$3:$AO$289,39,FALSE))*AA14),(VLOOKUP(V14,'[1]labor  rates'!$C$3:$AO$289,39,FALSE)*AA14),(VLOOKUP(X14,'[1]labor  rates'!$C$3:$AO$289,39,FALSE))*AA14)</f>
        <v>1051.3395</v>
      </c>
      <c r="S14" s="5">
        <f t="shared" si="43"/>
        <v>-69.655500000000075</v>
      </c>
      <c r="T14" s="151">
        <v>45012</v>
      </c>
      <c r="U14" s="161" t="s">
        <v>16</v>
      </c>
      <c r="V14" s="150" t="s">
        <v>24</v>
      </c>
      <c r="W14" s="150">
        <v>421248</v>
      </c>
      <c r="X14" s="150">
        <v>63009850</v>
      </c>
      <c r="Y14" s="150" t="s">
        <v>205</v>
      </c>
      <c r="Z14" s="150">
        <v>31.5</v>
      </c>
      <c r="AA14" s="150">
        <v>2545</v>
      </c>
      <c r="AB14" s="150">
        <v>12</v>
      </c>
      <c r="AC14" s="150">
        <v>30540</v>
      </c>
      <c r="AD14" s="150">
        <v>250</v>
      </c>
      <c r="AE14" s="150">
        <v>250</v>
      </c>
      <c r="AF14" s="150">
        <v>210</v>
      </c>
      <c r="AG14" s="150"/>
      <c r="AH14" s="150">
        <v>210</v>
      </c>
      <c r="AI14" s="150">
        <v>52500</v>
      </c>
      <c r="AJ14" s="150">
        <v>4375</v>
      </c>
      <c r="AK14" s="150">
        <v>30540</v>
      </c>
      <c r="AL14" s="150">
        <v>58.17</v>
      </c>
      <c r="AM14" s="150">
        <v>58.1</v>
      </c>
      <c r="AN14" s="150">
        <v>100.13</v>
      </c>
      <c r="AO14" s="150">
        <v>100</v>
      </c>
      <c r="AP14" s="150">
        <v>10</v>
      </c>
      <c r="AQ14" s="150"/>
      <c r="AR14" s="150"/>
      <c r="AS14" s="150"/>
      <c r="AT14" s="150"/>
      <c r="AU14" s="150"/>
      <c r="AV14" s="150">
        <v>78</v>
      </c>
      <c r="AW14" s="150">
        <v>88</v>
      </c>
      <c r="AX14" s="150"/>
      <c r="AY14" s="150"/>
      <c r="AZ14" s="150">
        <v>10</v>
      </c>
      <c r="BA14" s="150">
        <v>10</v>
      </c>
      <c r="BB14" s="150"/>
      <c r="BC14" s="150">
        <v>15</v>
      </c>
      <c r="BD14" s="150"/>
      <c r="BE14" s="150"/>
      <c r="BF14" s="150"/>
      <c r="BG14" s="150"/>
      <c r="BH14" s="150"/>
      <c r="BI14" s="150"/>
      <c r="BJ14" s="150"/>
      <c r="BK14" s="150">
        <v>23</v>
      </c>
      <c r="BL14" s="150"/>
      <c r="BM14" s="150"/>
      <c r="BN14" s="150"/>
      <c r="BO14" s="150"/>
      <c r="BP14" s="150"/>
      <c r="BQ14" s="150"/>
      <c r="BR14" s="150"/>
      <c r="BS14" s="150">
        <v>30</v>
      </c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>
        <v>783</v>
      </c>
      <c r="CE14" s="150">
        <v>78</v>
      </c>
    </row>
    <row r="15" spans="1:83" x14ac:dyDescent="0.25">
      <c r="A15" s="1" t="s">
        <v>17</v>
      </c>
      <c r="B15" s="1" t="s">
        <v>187</v>
      </c>
      <c r="C15" s="1" t="str">
        <f>VLOOKUP(B15,[1]Months!$A$4:$B$16,2,0)</f>
        <v>March</v>
      </c>
      <c r="D15" s="1" t="str">
        <f t="shared" si="33"/>
        <v>FY23P9C</v>
      </c>
      <c r="E15" s="1" t="str">
        <f t="shared" si="34"/>
        <v>FY23P963009850</v>
      </c>
      <c r="F15" s="1">
        <f t="shared" si="35"/>
        <v>0</v>
      </c>
      <c r="G15" s="1">
        <f t="shared" si="36"/>
        <v>0</v>
      </c>
      <c r="H15" s="1">
        <f t="shared" si="37"/>
        <v>0</v>
      </c>
      <c r="I15" s="1" t="str">
        <f t="shared" si="38"/>
        <v>45012C</v>
      </c>
      <c r="J15" s="2" t="str">
        <f t="shared" si="39"/>
        <v>45012C        FS10</v>
      </c>
      <c r="K15" s="1" t="str">
        <f t="shared" si="40"/>
        <v>FY23P9        FS10C</v>
      </c>
      <c r="L15" s="1" t="str">
        <f t="shared" si="41"/>
        <v>FY23        FS10</v>
      </c>
      <c r="M15" s="1" t="str">
        <f>IF((T15&gt;='[1]DT date range'!$A$15)*AND(T15&lt;='[1]DT date range'!$A$17), IF(U15='[1]DT date range'!$A$19, "in", IF('[1]DT date range'!$A$19="Both", "in", "out")),"out")&amp;V15</f>
        <v>in        FS10</v>
      </c>
      <c r="N15" s="1" t="str">
        <f t="shared" si="42"/>
        <v>FY23P9        FS10</v>
      </c>
      <c r="O15" s="3">
        <f>IF(ISERROR((VLOOKUP(X15,'[1]labor  rates'!$C$3:$AP$289,40,FALSE))*AZ15),((Z15/(AH15/60))*0.51*AZ15),((VLOOKUP(X15,'[1]labor  rates'!$C$3:$AP$289,40,FALSE))*AZ15))</f>
        <v>166.07333333333332</v>
      </c>
      <c r="P15" s="4">
        <f>IF(ISERROR((VLOOKUP(X15,'[1]labor  rates'!$C$3:$AP$289,40,FALSE))*CE15),((Z15/(AH15/60))*0.51*CE15),((VLOOKUP(X15,'[1]labor  rates'!$C$3:$AP$289,40,FALSE))*CE15))</f>
        <v>423.48699999999997</v>
      </c>
      <c r="Q15" s="4">
        <f>IF(ISERROR((VLOOKUP(X15,'[1]labor  rates'!$C$3:$AK$289,35,FALSE))*Z15),(Z15*30.85),((VLOOKUP(X15,'[1]labor  rates'!$C$3:$AK$289,35,FALSE))*Z15))</f>
        <v>1574.7310714285716</v>
      </c>
      <c r="R15" s="4">
        <f>IF(ISERROR((VLOOKUP(X15,'[1]labor  rates'!$C$3:$AO$289,39,FALSE))*AA15),(VLOOKUP(V15,'[1]labor  rates'!$C$3:$AO$289,39,FALSE)*AA15),(VLOOKUP(X15,'[1]labor  rates'!$C$3:$AO$289,39,FALSE))*AA15)</f>
        <v>1578.0420000000001</v>
      </c>
      <c r="S15" s="5">
        <f t="shared" si="43"/>
        <v>3.3109285714285761</v>
      </c>
      <c r="T15" s="151">
        <v>45012</v>
      </c>
      <c r="U15" s="161" t="s">
        <v>16</v>
      </c>
      <c r="V15" s="150" t="s">
        <v>24</v>
      </c>
      <c r="W15" s="150">
        <v>425872</v>
      </c>
      <c r="X15" s="150">
        <v>63009850</v>
      </c>
      <c r="Y15" s="150" t="s">
        <v>205</v>
      </c>
      <c r="Z15" s="150">
        <v>44.25</v>
      </c>
      <c r="AA15" s="150">
        <v>3820</v>
      </c>
      <c r="AB15" s="150">
        <v>12</v>
      </c>
      <c r="AC15" s="150">
        <v>45840</v>
      </c>
      <c r="AD15" s="150">
        <v>250</v>
      </c>
      <c r="AE15" s="150">
        <v>250</v>
      </c>
      <c r="AF15" s="150">
        <v>295</v>
      </c>
      <c r="AG15" s="150">
        <v>30</v>
      </c>
      <c r="AH15" s="150">
        <v>265</v>
      </c>
      <c r="AI15" s="150">
        <v>66250</v>
      </c>
      <c r="AJ15" s="150">
        <v>5521</v>
      </c>
      <c r="AK15" s="150">
        <v>45840</v>
      </c>
      <c r="AL15" s="150">
        <v>69.19</v>
      </c>
      <c r="AM15" s="150">
        <v>60.75</v>
      </c>
      <c r="AN15" s="150">
        <v>113.89</v>
      </c>
      <c r="AO15" s="150">
        <v>100</v>
      </c>
      <c r="AP15" s="150"/>
      <c r="AQ15" s="150"/>
      <c r="AR15" s="150">
        <v>10</v>
      </c>
      <c r="AS15" s="150"/>
      <c r="AT15" s="150"/>
      <c r="AU15" s="150"/>
      <c r="AV15" s="150">
        <v>94</v>
      </c>
      <c r="AW15" s="150">
        <v>104</v>
      </c>
      <c r="AX15" s="150"/>
      <c r="AY15" s="150"/>
      <c r="AZ15" s="150">
        <v>40</v>
      </c>
      <c r="BA15" s="150"/>
      <c r="BB15" s="150"/>
      <c r="BC15" s="150"/>
      <c r="BD15" s="150"/>
      <c r="BE15" s="150"/>
      <c r="BF15" s="150"/>
      <c r="BG15" s="150"/>
      <c r="BH15" s="150"/>
      <c r="BI15" s="150"/>
      <c r="BJ15" s="150">
        <v>23</v>
      </c>
      <c r="BK15" s="150"/>
      <c r="BL15" s="150"/>
      <c r="BM15" s="150">
        <v>8</v>
      </c>
      <c r="BN15" s="150"/>
      <c r="BO15" s="150"/>
      <c r="BP15" s="150">
        <v>10</v>
      </c>
      <c r="BQ15" s="150"/>
      <c r="BR15" s="150"/>
      <c r="BS15" s="150">
        <v>35</v>
      </c>
      <c r="BT15" s="150"/>
      <c r="BU15" s="150"/>
      <c r="BV15" s="150">
        <v>26</v>
      </c>
      <c r="BW15" s="150"/>
      <c r="BX15" s="150"/>
      <c r="BY15" s="150"/>
      <c r="BZ15" s="150"/>
      <c r="CA15" s="150"/>
      <c r="CB15" s="150"/>
      <c r="CC15" s="150"/>
      <c r="CD15" s="150">
        <v>234</v>
      </c>
      <c r="CE15" s="150">
        <v>102</v>
      </c>
    </row>
    <row r="16" spans="1:83" x14ac:dyDescent="0.25">
      <c r="A16" s="1" t="s">
        <v>17</v>
      </c>
      <c r="B16" s="1" t="s">
        <v>187</v>
      </c>
      <c r="C16" s="1" t="str">
        <f>VLOOKUP(B16,[1]Months!$A$4:$B$16,2,0)</f>
        <v>March</v>
      </c>
      <c r="D16" s="1" t="str">
        <f t="shared" si="33"/>
        <v>FY23P9C</v>
      </c>
      <c r="E16" s="1" t="str">
        <f t="shared" si="34"/>
        <v>FY23P930012034</v>
      </c>
      <c r="F16" s="1">
        <f t="shared" si="35"/>
        <v>0</v>
      </c>
      <c r="G16" s="1">
        <f t="shared" si="36"/>
        <v>0</v>
      </c>
      <c r="H16" s="1">
        <f t="shared" si="37"/>
        <v>1</v>
      </c>
      <c r="I16" s="1" t="str">
        <f t="shared" si="38"/>
        <v>45012C</v>
      </c>
      <c r="J16" s="2" t="str">
        <f t="shared" si="39"/>
        <v>45012C        FS12</v>
      </c>
      <c r="K16" s="1" t="str">
        <f t="shared" si="40"/>
        <v>FY23P9        FS12C</v>
      </c>
      <c r="L16" s="1" t="str">
        <f t="shared" si="41"/>
        <v>FY23        FS12</v>
      </c>
      <c r="M16" s="1" t="str">
        <f>IF((T16&gt;='[1]DT date range'!$A$15)*AND(T16&lt;='[1]DT date range'!$A$17), IF(U16='[1]DT date range'!$A$19, "in", IF('[1]DT date range'!$A$19="Both", "in", "out")),"out")&amp;V16</f>
        <v>in        FS12</v>
      </c>
      <c r="N16" s="1" t="str">
        <f t="shared" si="42"/>
        <v>FY23P9        FS12</v>
      </c>
      <c r="O16" s="3">
        <f>IF(ISERROR((VLOOKUP(X16,'[1]labor  rates'!$C$3:$AP$289,40,FALSE))*AZ16),((Z16/(AH16/60))*0.51*AZ16),((VLOOKUP(X16,'[1]labor  rates'!$C$3:$AP$289,40,FALSE))*AZ16))</f>
        <v>90.285000000000011</v>
      </c>
      <c r="P16" s="4">
        <f>IF(ISERROR((VLOOKUP(X16,'[1]labor  rates'!$C$3:$AP$289,40,FALSE))*CE16),((Z16/(AH16/60))*0.51*CE16),((VLOOKUP(X16,'[1]labor  rates'!$C$3:$AP$289,40,FALSE))*CE16))</f>
        <v>279.88350000000003</v>
      </c>
      <c r="Q16" s="4">
        <f>IF(ISERROR((VLOOKUP(X16,'[1]labor  rates'!$C$3:$AK$289,35,FALSE))*Z16),(Z16*30.85),((VLOOKUP(X16,'[1]labor  rates'!$C$3:$AK$289,35,FALSE))*Z16))</f>
        <v>650.05200000000013</v>
      </c>
      <c r="R16" s="4">
        <f>IF(ISERROR((VLOOKUP(X16,'[1]labor  rates'!$C$3:$AO$289,39,FALSE))*AA16),(VLOOKUP(V16,'[1]labor  rates'!$C$3:$AO$289,39,FALSE)*AA16),(VLOOKUP(X16,'[1]labor  rates'!$C$3:$AO$289,39,FALSE))*AA16)</f>
        <v>262.404</v>
      </c>
      <c r="S16" s="5">
        <f t="shared" si="43"/>
        <v>-387.64800000000014</v>
      </c>
      <c r="T16" s="151">
        <v>45012</v>
      </c>
      <c r="U16" s="161" t="s">
        <v>16</v>
      </c>
      <c r="V16" s="150" t="s">
        <v>25</v>
      </c>
      <c r="W16" s="150">
        <v>417600</v>
      </c>
      <c r="X16" s="150">
        <v>30012034</v>
      </c>
      <c r="Y16" s="150" t="s">
        <v>206</v>
      </c>
      <c r="Z16" s="150">
        <v>18</v>
      </c>
      <c r="AA16" s="150">
        <v>1182</v>
      </c>
      <c r="AB16" s="150">
        <v>6</v>
      </c>
      <c r="AC16" s="150">
        <v>7092</v>
      </c>
      <c r="AD16" s="150">
        <v>130</v>
      </c>
      <c r="AE16" s="150">
        <v>130</v>
      </c>
      <c r="AF16" s="150">
        <v>180</v>
      </c>
      <c r="AG16" s="150"/>
      <c r="AH16" s="150">
        <v>180</v>
      </c>
      <c r="AI16" s="150">
        <v>23400</v>
      </c>
      <c r="AJ16" s="150">
        <v>3900</v>
      </c>
      <c r="AK16" s="150">
        <v>7092</v>
      </c>
      <c r="AL16" s="150">
        <v>30.31</v>
      </c>
      <c r="AM16" s="150">
        <v>41.11</v>
      </c>
      <c r="AN16" s="150">
        <v>73.72</v>
      </c>
      <c r="AO16" s="150">
        <v>100</v>
      </c>
      <c r="AP16" s="150"/>
      <c r="AQ16" s="150"/>
      <c r="AR16" s="150"/>
      <c r="AS16" s="150"/>
      <c r="AT16" s="150">
        <v>30</v>
      </c>
      <c r="AU16" s="150"/>
      <c r="AV16" s="150">
        <v>76</v>
      </c>
      <c r="AW16" s="150">
        <v>106</v>
      </c>
      <c r="AX16" s="150"/>
      <c r="AY16" s="150"/>
      <c r="AZ16" s="150">
        <v>30</v>
      </c>
      <c r="BA16" s="150"/>
      <c r="BB16" s="150"/>
      <c r="BC16" s="150">
        <v>10</v>
      </c>
      <c r="BD16" s="150"/>
      <c r="BE16" s="150"/>
      <c r="BF16" s="150"/>
      <c r="BG16" s="150"/>
      <c r="BH16" s="150">
        <v>43</v>
      </c>
      <c r="BI16" s="150"/>
      <c r="BJ16" s="150">
        <v>10</v>
      </c>
      <c r="BK16" s="150"/>
      <c r="BL16" s="150"/>
      <c r="BM16" s="150">
        <v>9</v>
      </c>
      <c r="BN16" s="150"/>
      <c r="BO16" s="150">
        <v>13</v>
      </c>
      <c r="BP16" s="150"/>
      <c r="BQ16" s="150"/>
      <c r="BR16" s="150"/>
      <c r="BS16" s="150">
        <v>8</v>
      </c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>
        <v>462</v>
      </c>
      <c r="CE16" s="150">
        <v>93</v>
      </c>
    </row>
    <row r="17" spans="1:83" x14ac:dyDescent="0.25">
      <c r="A17" s="1" t="s">
        <v>17</v>
      </c>
      <c r="B17" s="1" t="s">
        <v>187</v>
      </c>
      <c r="C17" s="1" t="str">
        <f>VLOOKUP(B17,[1]Months!$A$4:$B$16,2,0)</f>
        <v>March</v>
      </c>
      <c r="D17" s="1" t="str">
        <f t="shared" si="33"/>
        <v>FY23P9C</v>
      </c>
      <c r="E17" s="1" t="str">
        <f t="shared" si="34"/>
        <v>FY23P930012034</v>
      </c>
      <c r="F17" s="1">
        <f t="shared" si="35"/>
        <v>0</v>
      </c>
      <c r="G17" s="1">
        <f t="shared" si="36"/>
        <v>0</v>
      </c>
      <c r="H17" s="1">
        <f t="shared" si="37"/>
        <v>0</v>
      </c>
      <c r="I17" s="1" t="str">
        <f t="shared" si="38"/>
        <v>45012C</v>
      </c>
      <c r="J17" s="2" t="str">
        <f t="shared" si="39"/>
        <v>45012C        FS12</v>
      </c>
      <c r="K17" s="1" t="str">
        <f t="shared" si="40"/>
        <v>FY23P9        FS12C</v>
      </c>
      <c r="L17" s="1" t="str">
        <f t="shared" si="41"/>
        <v>FY23        FS12</v>
      </c>
      <c r="M17" s="1" t="str">
        <f>IF((T17&gt;='[1]DT date range'!$A$15)*AND(T17&lt;='[1]DT date range'!$A$17), IF(U17='[1]DT date range'!$A$19, "in", IF('[1]DT date range'!$A$19="Both", "in", "out")),"out")&amp;V17</f>
        <v>in        FS12</v>
      </c>
      <c r="N17" s="1" t="str">
        <f t="shared" si="42"/>
        <v>FY23P9        FS12</v>
      </c>
      <c r="O17" s="3">
        <f>IF(ISERROR((VLOOKUP(X17,'[1]labor  rates'!$C$3:$AP$289,40,FALSE))*AZ17),((Z17/(AH17/60))*0.51*AZ17),((VLOOKUP(X17,'[1]labor  rates'!$C$3:$AP$289,40,FALSE))*AZ17))</f>
        <v>120.38000000000002</v>
      </c>
      <c r="P17" s="4">
        <f>IF(ISERROR((VLOOKUP(X17,'[1]labor  rates'!$C$3:$AP$289,40,FALSE))*CE17),((Z17/(AH17/60))*0.51*CE17),((VLOOKUP(X17,'[1]labor  rates'!$C$3:$AP$289,40,FALSE))*CE17))</f>
        <v>625.97600000000011</v>
      </c>
      <c r="Q17" s="4">
        <f>IF(ISERROR((VLOOKUP(X17,'[1]labor  rates'!$C$3:$AK$289,35,FALSE))*Z17),(Z17*30.85),((VLOOKUP(X17,'[1]labor  rates'!$C$3:$AK$289,35,FALSE))*Z17))</f>
        <v>1625.13</v>
      </c>
      <c r="R17" s="4">
        <f>IF(ISERROR((VLOOKUP(X17,'[1]labor  rates'!$C$3:$AO$289,39,FALSE))*AA17),(VLOOKUP(V17,'[1]labor  rates'!$C$3:$AO$289,39,FALSE)*AA17),(VLOOKUP(X17,'[1]labor  rates'!$C$3:$AO$289,39,FALSE))*AA17)</f>
        <v>934.17600000000004</v>
      </c>
      <c r="S17" s="5">
        <f t="shared" si="43"/>
        <v>-690.95400000000006</v>
      </c>
      <c r="T17" s="151">
        <v>45012</v>
      </c>
      <c r="U17" s="161" t="s">
        <v>16</v>
      </c>
      <c r="V17" s="150" t="s">
        <v>25</v>
      </c>
      <c r="W17" s="150">
        <v>417588</v>
      </c>
      <c r="X17" s="150">
        <v>30012034</v>
      </c>
      <c r="Y17" s="150" t="s">
        <v>206</v>
      </c>
      <c r="Z17" s="150">
        <v>45</v>
      </c>
      <c r="AA17" s="150">
        <v>4208</v>
      </c>
      <c r="AB17" s="150">
        <v>6</v>
      </c>
      <c r="AC17" s="150">
        <v>25248</v>
      </c>
      <c r="AD17" s="150">
        <v>130</v>
      </c>
      <c r="AE17" s="150">
        <v>130</v>
      </c>
      <c r="AF17" s="150">
        <v>450</v>
      </c>
      <c r="AG17" s="150">
        <v>30</v>
      </c>
      <c r="AH17" s="150">
        <v>420</v>
      </c>
      <c r="AI17" s="150">
        <v>54600</v>
      </c>
      <c r="AJ17" s="150">
        <v>9100</v>
      </c>
      <c r="AK17" s="150">
        <v>25248</v>
      </c>
      <c r="AL17" s="150">
        <v>46.24</v>
      </c>
      <c r="AM17" s="150">
        <v>50</v>
      </c>
      <c r="AN17" s="150">
        <v>92.48</v>
      </c>
      <c r="AO17" s="150">
        <v>100</v>
      </c>
      <c r="AP17" s="150">
        <v>10</v>
      </c>
      <c r="AQ17" s="150"/>
      <c r="AR17" s="150"/>
      <c r="AS17" s="150"/>
      <c r="AT17" s="150"/>
      <c r="AU17" s="150"/>
      <c r="AV17" s="150">
        <v>200</v>
      </c>
      <c r="AW17" s="150">
        <v>210</v>
      </c>
      <c r="AX17" s="150"/>
      <c r="AY17" s="150"/>
      <c r="AZ17" s="150">
        <v>40</v>
      </c>
      <c r="BA17" s="150"/>
      <c r="BB17" s="150"/>
      <c r="BC17" s="150"/>
      <c r="BD17" s="150">
        <v>8</v>
      </c>
      <c r="BE17" s="150"/>
      <c r="BF17" s="150"/>
      <c r="BG17" s="150"/>
      <c r="BH17" s="150">
        <v>115</v>
      </c>
      <c r="BI17" s="150"/>
      <c r="BJ17" s="150"/>
      <c r="BK17" s="150">
        <v>17</v>
      </c>
      <c r="BL17" s="150"/>
      <c r="BM17" s="150"/>
      <c r="BN17" s="150"/>
      <c r="BO17" s="150">
        <v>25</v>
      </c>
      <c r="BP17" s="150"/>
      <c r="BQ17" s="150"/>
      <c r="BR17" s="150"/>
      <c r="BS17" s="150">
        <v>23</v>
      </c>
      <c r="BT17" s="150"/>
      <c r="BU17" s="150">
        <v>20</v>
      </c>
      <c r="BV17" s="150"/>
      <c r="BW17" s="150"/>
      <c r="BX17" s="150"/>
      <c r="BY17" s="150"/>
      <c r="BZ17" s="150"/>
      <c r="CA17" s="150"/>
      <c r="CB17" s="150"/>
      <c r="CC17" s="150"/>
      <c r="CD17" s="150">
        <v>657</v>
      </c>
      <c r="CE17" s="150">
        <v>208</v>
      </c>
    </row>
    <row r="18" spans="1:83" x14ac:dyDescent="0.25">
      <c r="A18" s="1" t="s">
        <v>17</v>
      </c>
      <c r="B18" s="1" t="s">
        <v>187</v>
      </c>
      <c r="C18" s="1" t="str">
        <f>VLOOKUP(B18,[1]Months!$A$4:$B$16,2,0)</f>
        <v>March</v>
      </c>
      <c r="D18" s="1" t="str">
        <f t="shared" ref="D18:D30" si="44">CONCATENATE(A18,B18,U18)</f>
        <v>FY23P9B</v>
      </c>
      <c r="E18" s="1" t="str">
        <f t="shared" ref="E18:E30" si="45">CONCATENATE(A18,B18,X18)</f>
        <v>FY23P971608004</v>
      </c>
      <c r="F18" s="1">
        <f t="shared" ref="F18:F30" si="46">IF(T18=T17,0,1)</f>
        <v>1</v>
      </c>
      <c r="G18" s="1">
        <f t="shared" ref="G18:G30" si="47">IF(AND(T18=T17, U18=U17),0,1)</f>
        <v>1</v>
      </c>
      <c r="H18" s="1">
        <f t="shared" ref="H18:H30" si="48">IF(AND(T18=T17, U18=U17, V18=V17),0,1)</f>
        <v>1</v>
      </c>
      <c r="I18" s="1" t="str">
        <f t="shared" ref="I18:I30" si="49">CONCATENATE(T18,U18)</f>
        <v>45013B</v>
      </c>
      <c r="J18" s="2" t="str">
        <f t="shared" ref="J18:J30" si="50">CONCATENATE(T18,U18,V18)</f>
        <v>45013B        FS01</v>
      </c>
      <c r="K18" s="1" t="str">
        <f t="shared" ref="K18:K30" si="51">CONCATENATE(A18,B18,V18,U18)</f>
        <v>FY23P9        FS01B</v>
      </c>
      <c r="L18" s="1" t="str">
        <f t="shared" ref="L18:L30" si="52">CONCATENATE(A18,V18)</f>
        <v>FY23        FS01</v>
      </c>
      <c r="M18" s="1" t="str">
        <f>IF((T18&gt;='[1]DT date range'!$A$15)*AND(T18&lt;='[1]DT date range'!$A$17), IF(U18='[1]DT date range'!$A$19, "in", IF('[1]DT date range'!$A$19="Both", "in", "out")),"out")&amp;V18</f>
        <v>in        FS01</v>
      </c>
      <c r="N18" s="1" t="str">
        <f t="shared" ref="N18:N30" si="53">CONCATENATE(A18,B18,V18)</f>
        <v>FY23P9        FS01</v>
      </c>
      <c r="O18" s="3">
        <f>IF(ISERROR((VLOOKUP(X18,'[1]labor  rates'!$C$3:$AP$289,40,FALSE))*AZ18),((Z18/(AH18/60))*0.51*AZ18),((VLOOKUP(X18,'[1]labor  rates'!$C$3:$AP$289,40,FALSE))*AZ18))</f>
        <v>899.3739130434783</v>
      </c>
      <c r="P18" s="4">
        <f>IF(ISERROR((VLOOKUP(X18,'[1]labor  rates'!$C$3:$AP$289,40,FALSE))*CE18),((Z18/(AH18/60))*0.51*CE18),((VLOOKUP(X18,'[1]labor  rates'!$C$3:$AP$289,40,FALSE))*CE18))</f>
        <v>3777.3704347826088</v>
      </c>
      <c r="Q18" s="4">
        <f>IF(ISERROR((VLOOKUP(X18,'[1]labor  rates'!$C$3:$AK$289,35,FALSE))*Z18),(Z18*30.85),((VLOOKUP(X18,'[1]labor  rates'!$C$3:$AK$289,35,FALSE))*Z18))</f>
        <v>4812.6000000000004</v>
      </c>
      <c r="R18" s="4">
        <f>IF(ISERROR((VLOOKUP(X18,'[1]labor  rates'!$C$3:$AO$289,39,FALSE))*AA18),(VLOOKUP(V18,'[1]labor  rates'!$C$3:$AO$289,39,FALSE)*AA18),(VLOOKUP(X18,'[1]labor  rates'!$C$3:$AO$289,39,FALSE))*AA18)</f>
        <v>180.196</v>
      </c>
      <c r="S18" s="5">
        <f t="shared" ref="S18:S30" si="54">+R18-Q18</f>
        <v>-4632.4040000000005</v>
      </c>
      <c r="T18" s="151">
        <v>45013</v>
      </c>
      <c r="U18" s="161" t="s">
        <v>18</v>
      </c>
      <c r="V18" s="150" t="s">
        <v>19</v>
      </c>
      <c r="W18" s="150">
        <v>424499</v>
      </c>
      <c r="X18" s="150">
        <v>71608004</v>
      </c>
      <c r="Y18" s="150" t="s">
        <v>207</v>
      </c>
      <c r="Z18" s="150">
        <v>156</v>
      </c>
      <c r="AA18" s="150">
        <v>190</v>
      </c>
      <c r="AB18" s="150">
        <v>6</v>
      </c>
      <c r="AC18" s="150">
        <v>1140</v>
      </c>
      <c r="AD18" s="150">
        <v>55</v>
      </c>
      <c r="AE18" s="150">
        <v>55</v>
      </c>
      <c r="AF18" s="150">
        <v>720</v>
      </c>
      <c r="AG18" s="150">
        <v>30</v>
      </c>
      <c r="AH18" s="150">
        <v>690</v>
      </c>
      <c r="AI18" s="150">
        <v>37950</v>
      </c>
      <c r="AJ18" s="150">
        <v>6325</v>
      </c>
      <c r="AK18" s="150">
        <v>1140</v>
      </c>
      <c r="AL18" s="150">
        <v>3</v>
      </c>
      <c r="AM18" s="150">
        <v>7.39</v>
      </c>
      <c r="AN18" s="150">
        <v>40.64</v>
      </c>
      <c r="AO18" s="150">
        <v>100</v>
      </c>
      <c r="AP18" s="150">
        <v>10</v>
      </c>
      <c r="AQ18" s="150">
        <v>60</v>
      </c>
      <c r="AR18" s="150">
        <v>10</v>
      </c>
      <c r="AS18" s="150"/>
      <c r="AT18" s="150">
        <v>20</v>
      </c>
      <c r="AU18" s="150"/>
      <c r="AV18" s="150">
        <v>539</v>
      </c>
      <c r="AW18" s="150">
        <v>639</v>
      </c>
      <c r="AX18" s="150"/>
      <c r="AY18" s="150"/>
      <c r="AZ18" s="150">
        <v>130</v>
      </c>
      <c r="BA18" s="150"/>
      <c r="BB18" s="150"/>
      <c r="BC18" s="150"/>
      <c r="BD18" s="150"/>
      <c r="BE18" s="150"/>
      <c r="BF18" s="150"/>
      <c r="BG18" s="150">
        <v>25</v>
      </c>
      <c r="BH18" s="150">
        <v>420</v>
      </c>
      <c r="BI18" s="150">
        <v>10</v>
      </c>
      <c r="BJ18" s="150">
        <v>12</v>
      </c>
      <c r="BK18" s="150"/>
      <c r="BL18" s="150"/>
      <c r="BM18" s="150"/>
      <c r="BN18" s="150">
        <v>7</v>
      </c>
      <c r="BO18" s="150">
        <v>10</v>
      </c>
      <c r="BP18" s="150"/>
      <c r="BQ18" s="150"/>
      <c r="BR18" s="150"/>
      <c r="BS18" s="150">
        <v>62</v>
      </c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>
        <v>546</v>
      </c>
    </row>
    <row r="19" spans="1:83" x14ac:dyDescent="0.25">
      <c r="A19" s="1" t="s">
        <v>17</v>
      </c>
      <c r="B19" s="1" t="s">
        <v>187</v>
      </c>
      <c r="C19" s="1" t="str">
        <f>VLOOKUP(B19,[1]Months!$A$4:$B$16,2,0)</f>
        <v>March</v>
      </c>
      <c r="D19" s="1" t="str">
        <f t="shared" si="44"/>
        <v>FY23P9B</v>
      </c>
      <c r="E19" s="1" t="str">
        <f t="shared" si="45"/>
        <v>FY23P930000034</v>
      </c>
      <c r="F19" s="1">
        <f t="shared" si="46"/>
        <v>0</v>
      </c>
      <c r="G19" s="1">
        <f t="shared" si="47"/>
        <v>0</v>
      </c>
      <c r="H19" s="1">
        <f t="shared" si="48"/>
        <v>1</v>
      </c>
      <c r="I19" s="1" t="str">
        <f t="shared" si="49"/>
        <v>45013B</v>
      </c>
      <c r="J19" s="2" t="str">
        <f t="shared" si="50"/>
        <v>45013B        FS03</v>
      </c>
      <c r="K19" s="1" t="str">
        <f t="shared" si="51"/>
        <v>FY23P9        FS03B</v>
      </c>
      <c r="L19" s="1" t="str">
        <f t="shared" si="52"/>
        <v>FY23        FS03</v>
      </c>
      <c r="M19" s="1" t="str">
        <f>IF((T19&gt;='[1]DT date range'!$A$15)*AND(T19&lt;='[1]DT date range'!$A$17), IF(U19='[1]DT date range'!$A$19, "in", IF('[1]DT date range'!$A$19="Both", "in", "out")),"out")&amp;V19</f>
        <v>in        FS03</v>
      </c>
      <c r="N19" s="1" t="str">
        <f t="shared" si="53"/>
        <v>FY23P9        FS03</v>
      </c>
      <c r="O19" s="3">
        <f>IF(ISERROR((VLOOKUP(X19,'[1]labor  rates'!$C$3:$AP$289,40,FALSE))*AZ19),((Z19/(AH19/60))*0.51*AZ19),((VLOOKUP(X19,'[1]labor  rates'!$C$3:$AP$289,40,FALSE))*AZ19))</f>
        <v>195.61750000000004</v>
      </c>
      <c r="P19" s="4">
        <f>IF(ISERROR((VLOOKUP(X19,'[1]labor  rates'!$C$3:$AP$289,40,FALSE))*CE19),((Z19/(AH19/60))*0.51*CE19),((VLOOKUP(X19,'[1]labor  rates'!$C$3:$AP$289,40,FALSE))*CE19))</f>
        <v>1083.42</v>
      </c>
      <c r="Q19" s="4">
        <f>IF(ISERROR((VLOOKUP(X19,'[1]labor  rates'!$C$3:$AK$289,35,FALSE))*Z19),(Z19*30.85),((VLOOKUP(X19,'[1]labor  rates'!$C$3:$AK$289,35,FALSE))*Z19))</f>
        <v>2166.84</v>
      </c>
      <c r="R19" s="4">
        <f>IF(ISERROR((VLOOKUP(X19,'[1]labor  rates'!$C$3:$AO$289,39,FALSE))*AA19),(VLOOKUP(V19,'[1]labor  rates'!$C$3:$AO$289,39,FALSE)*AA19),(VLOOKUP(X19,'[1]labor  rates'!$C$3:$AO$289,39,FALSE))*AA19)</f>
        <v>2085.3791999999999</v>
      </c>
      <c r="S19" s="5">
        <f t="shared" si="54"/>
        <v>-81.46080000000029</v>
      </c>
      <c r="T19" s="151">
        <v>45013</v>
      </c>
      <c r="U19" s="161" t="s">
        <v>18</v>
      </c>
      <c r="V19" s="150" t="s">
        <v>20</v>
      </c>
      <c r="W19" s="150">
        <v>419155</v>
      </c>
      <c r="X19" s="150">
        <v>30000034</v>
      </c>
      <c r="Y19" s="150" t="s">
        <v>199</v>
      </c>
      <c r="Z19" s="150">
        <v>60</v>
      </c>
      <c r="AA19" s="150">
        <v>927</v>
      </c>
      <c r="AB19" s="150">
        <v>120</v>
      </c>
      <c r="AC19" s="150">
        <v>111240</v>
      </c>
      <c r="AD19" s="150">
        <v>380</v>
      </c>
      <c r="AE19" s="150">
        <v>380</v>
      </c>
      <c r="AF19" s="150">
        <v>720</v>
      </c>
      <c r="AG19" s="150">
        <v>30</v>
      </c>
      <c r="AH19" s="150">
        <v>690</v>
      </c>
      <c r="AI19" s="150">
        <v>262200</v>
      </c>
      <c r="AJ19" s="150">
        <v>2185</v>
      </c>
      <c r="AK19" s="150">
        <v>111240</v>
      </c>
      <c r="AL19" s="150">
        <v>42.43</v>
      </c>
      <c r="AM19" s="150">
        <v>43.77</v>
      </c>
      <c r="AN19" s="150">
        <v>96.93</v>
      </c>
      <c r="AO19" s="150">
        <v>100</v>
      </c>
      <c r="AP19" s="150"/>
      <c r="AQ19" s="150">
        <v>15</v>
      </c>
      <c r="AR19" s="150"/>
      <c r="AS19" s="150"/>
      <c r="AT19" s="150">
        <v>20</v>
      </c>
      <c r="AU19" s="150"/>
      <c r="AV19" s="150">
        <v>353</v>
      </c>
      <c r="AW19" s="150">
        <v>388</v>
      </c>
      <c r="AX19" s="150"/>
      <c r="AY19" s="150"/>
      <c r="AZ19" s="150">
        <v>65</v>
      </c>
      <c r="BA19" s="150">
        <v>25</v>
      </c>
      <c r="BB19" s="150"/>
      <c r="BC19" s="150">
        <v>15</v>
      </c>
      <c r="BD19" s="150">
        <v>30</v>
      </c>
      <c r="BE19" s="150"/>
      <c r="BF19" s="150"/>
      <c r="BG19" s="150"/>
      <c r="BH19" s="150"/>
      <c r="BI19" s="150"/>
      <c r="BJ19" s="150"/>
      <c r="BK19" s="150">
        <v>80</v>
      </c>
      <c r="BL19" s="150"/>
      <c r="BM19" s="150">
        <v>15</v>
      </c>
      <c r="BN19" s="150">
        <v>70</v>
      </c>
      <c r="BO19" s="150">
        <v>23</v>
      </c>
      <c r="BP19" s="150"/>
      <c r="BQ19" s="150"/>
      <c r="BR19" s="150"/>
      <c r="BS19" s="150"/>
      <c r="BT19" s="150"/>
      <c r="BU19" s="150"/>
      <c r="BV19" s="150"/>
      <c r="BW19" s="150">
        <v>25</v>
      </c>
      <c r="BX19" s="150">
        <v>7</v>
      </c>
      <c r="BY19" s="150">
        <v>70</v>
      </c>
      <c r="BZ19" s="150"/>
      <c r="CA19" s="150"/>
      <c r="CB19" s="150"/>
      <c r="CC19" s="150"/>
      <c r="CD19" s="150">
        <v>120</v>
      </c>
      <c r="CE19" s="150">
        <v>360</v>
      </c>
    </row>
    <row r="20" spans="1:83" x14ac:dyDescent="0.25">
      <c r="A20" s="1" t="s">
        <v>17</v>
      </c>
      <c r="B20" s="1" t="s">
        <v>187</v>
      </c>
      <c r="C20" s="1" t="str">
        <f>VLOOKUP(B20,[1]Months!$A$4:$B$16,2,0)</f>
        <v>March</v>
      </c>
      <c r="D20" s="1" t="str">
        <f t="shared" si="44"/>
        <v>FY23P9B</v>
      </c>
      <c r="E20" s="1" t="str">
        <f t="shared" si="45"/>
        <v>FY23P996705001</v>
      </c>
      <c r="F20" s="1">
        <f t="shared" si="46"/>
        <v>0</v>
      </c>
      <c r="G20" s="1">
        <f t="shared" si="47"/>
        <v>0</v>
      </c>
      <c r="H20" s="1">
        <f t="shared" si="48"/>
        <v>1</v>
      </c>
      <c r="I20" s="1" t="str">
        <f t="shared" si="49"/>
        <v>45013B</v>
      </c>
      <c r="J20" s="2" t="str">
        <f t="shared" si="50"/>
        <v>45013B        FS04</v>
      </c>
      <c r="K20" s="1" t="str">
        <f t="shared" si="51"/>
        <v>FY23P9        FS04B</v>
      </c>
      <c r="L20" s="1" t="str">
        <f t="shared" si="52"/>
        <v>FY23        FS04</v>
      </c>
      <c r="M20" s="1" t="str">
        <f>IF((T20&gt;='[1]DT date range'!$A$15)*AND(T20&lt;='[1]DT date range'!$A$17), IF(U20='[1]DT date range'!$A$19, "in", IF('[1]DT date range'!$A$19="Both", "in", "out")),"out")&amp;V20</f>
        <v>in        FS04</v>
      </c>
      <c r="N20" s="1" t="str">
        <f t="shared" si="53"/>
        <v>FY23P9        FS04</v>
      </c>
      <c r="O20" s="3">
        <f>IF(ISERROR((VLOOKUP(X20,'[1]labor  rates'!$C$3:$AP$289,40,FALSE))*AZ20),((Z20/(AH20/60))*0.51*AZ20),((VLOOKUP(X20,'[1]labor  rates'!$C$3:$AP$289,40,FALSE))*AZ20))</f>
        <v>16.617500000000003</v>
      </c>
      <c r="P20" s="4">
        <f>IF(ISERROR((VLOOKUP(X20,'[1]labor  rates'!$C$3:$AP$289,40,FALSE))*CE20),((Z20/(AH20/60))*0.51*CE20),((VLOOKUP(X20,'[1]labor  rates'!$C$3:$AP$289,40,FALSE))*CE20))</f>
        <v>106.35200000000002</v>
      </c>
      <c r="Q20" s="4">
        <f>IF(ISERROR((VLOOKUP(X20,'[1]labor  rates'!$C$3:$AK$289,35,FALSE))*Z20),(Z20*30.85),((VLOOKUP(X20,'[1]labor  rates'!$C$3:$AK$289,35,FALSE))*Z20))</f>
        <v>286.81805000000008</v>
      </c>
      <c r="R20" s="4">
        <f>IF(ISERROR((VLOOKUP(X20,'[1]labor  rates'!$C$3:$AO$289,39,FALSE))*AA20),(VLOOKUP(V20,'[1]labor  rates'!$C$3:$AO$289,39,FALSE)*AA20),(VLOOKUP(X20,'[1]labor  rates'!$C$3:$AO$289,39,FALSE))*AA20)</f>
        <v>312.74250000000001</v>
      </c>
      <c r="S20" s="5">
        <f t="shared" si="54"/>
        <v>25.924449999999922</v>
      </c>
      <c r="T20" s="151">
        <v>45013</v>
      </c>
      <c r="U20" s="161" t="s">
        <v>18</v>
      </c>
      <c r="V20" s="150" t="s">
        <v>21</v>
      </c>
      <c r="W20" s="150">
        <v>417639</v>
      </c>
      <c r="X20" s="150">
        <v>96705001</v>
      </c>
      <c r="Y20" s="150" t="s">
        <v>204</v>
      </c>
      <c r="Z20" s="150">
        <v>8.6300000000000008</v>
      </c>
      <c r="AA20" s="150">
        <v>575</v>
      </c>
      <c r="AB20" s="150">
        <v>12</v>
      </c>
      <c r="AC20" s="150">
        <v>6900</v>
      </c>
      <c r="AD20" s="150">
        <v>185</v>
      </c>
      <c r="AE20" s="150">
        <v>185</v>
      </c>
      <c r="AF20" s="150">
        <v>74</v>
      </c>
      <c r="AG20" s="150"/>
      <c r="AH20" s="150">
        <v>74</v>
      </c>
      <c r="AI20" s="150">
        <v>13690</v>
      </c>
      <c r="AJ20" s="150">
        <v>1141</v>
      </c>
      <c r="AK20" s="150">
        <v>6900</v>
      </c>
      <c r="AL20" s="150">
        <v>50.4</v>
      </c>
      <c r="AM20" s="150">
        <v>79.73</v>
      </c>
      <c r="AN20" s="150">
        <v>63.22</v>
      </c>
      <c r="AO20" s="150">
        <v>100</v>
      </c>
      <c r="AP20" s="150">
        <v>5</v>
      </c>
      <c r="AQ20" s="150"/>
      <c r="AR20" s="150"/>
      <c r="AS20" s="150"/>
      <c r="AT20" s="150"/>
      <c r="AU20" s="150"/>
      <c r="AV20" s="150">
        <v>10</v>
      </c>
      <c r="AW20" s="150">
        <v>15</v>
      </c>
      <c r="AX20" s="150"/>
      <c r="AY20" s="150"/>
      <c r="AZ20" s="150">
        <v>5</v>
      </c>
      <c r="BA20" s="150"/>
      <c r="BB20" s="150"/>
      <c r="BC20" s="150"/>
      <c r="BD20" s="150"/>
      <c r="BE20" s="150"/>
      <c r="BF20" s="150"/>
      <c r="BG20" s="150"/>
      <c r="BH20" s="150">
        <v>6</v>
      </c>
      <c r="BI20" s="150"/>
      <c r="BJ20" s="150">
        <v>6</v>
      </c>
      <c r="BK20" s="150"/>
      <c r="BL20" s="150"/>
      <c r="BM20" s="150"/>
      <c r="BN20" s="150"/>
      <c r="BO20" s="150">
        <v>4</v>
      </c>
      <c r="BP20" s="150">
        <v>6</v>
      </c>
      <c r="BQ20" s="150"/>
      <c r="BR20" s="150"/>
      <c r="BS20" s="150"/>
      <c r="BT20" s="150"/>
      <c r="BU20" s="150">
        <v>10</v>
      </c>
      <c r="BV20" s="150"/>
      <c r="BW20" s="150"/>
      <c r="BX20" s="150"/>
      <c r="BY20" s="150"/>
      <c r="BZ20" s="150"/>
      <c r="CA20" s="150"/>
      <c r="CB20" s="150"/>
      <c r="CC20" s="150"/>
      <c r="CD20" s="150">
        <v>497</v>
      </c>
      <c r="CE20" s="150">
        <v>32</v>
      </c>
    </row>
    <row r="21" spans="1:83" x14ac:dyDescent="0.25">
      <c r="A21" s="1" t="s">
        <v>17</v>
      </c>
      <c r="B21" s="1" t="s">
        <v>187</v>
      </c>
      <c r="C21" s="1" t="str">
        <f>VLOOKUP(B21,[1]Months!$A$4:$B$16,2,0)</f>
        <v>March</v>
      </c>
      <c r="D21" s="1" t="str">
        <f t="shared" si="44"/>
        <v>FY23P9B</v>
      </c>
      <c r="E21" s="1" t="str">
        <f t="shared" si="45"/>
        <v>FY23P996705001</v>
      </c>
      <c r="F21" s="1">
        <f t="shared" si="46"/>
        <v>0</v>
      </c>
      <c r="G21" s="1">
        <f t="shared" si="47"/>
        <v>0</v>
      </c>
      <c r="H21" s="1">
        <f t="shared" si="48"/>
        <v>0</v>
      </c>
      <c r="I21" s="1" t="str">
        <f t="shared" si="49"/>
        <v>45013B</v>
      </c>
      <c r="J21" s="2" t="str">
        <f t="shared" si="50"/>
        <v>45013B        FS04</v>
      </c>
      <c r="K21" s="1" t="str">
        <f t="shared" si="51"/>
        <v>FY23P9        FS04B</v>
      </c>
      <c r="L21" s="1" t="str">
        <f t="shared" si="52"/>
        <v>FY23        FS04</v>
      </c>
      <c r="M21" s="1" t="str">
        <f>IF((T21&gt;='[1]DT date range'!$A$15)*AND(T21&lt;='[1]DT date range'!$A$17), IF(U21='[1]DT date range'!$A$19, "in", IF('[1]DT date range'!$A$19="Both", "in", "out")),"out")&amp;V21</f>
        <v>in        FS04</v>
      </c>
      <c r="N21" s="1" t="str">
        <f t="shared" si="53"/>
        <v>FY23P9        FS04</v>
      </c>
      <c r="O21" s="3">
        <f>IF(ISERROR((VLOOKUP(X21,'[1]labor  rates'!$C$3:$AP$289,40,FALSE))*AZ21),((Z21/(AH21/60))*0.51*AZ21),((VLOOKUP(X21,'[1]labor  rates'!$C$3:$AP$289,40,FALSE))*AZ21))</f>
        <v>49.852500000000006</v>
      </c>
      <c r="P21" s="4">
        <f>IF(ISERROR((VLOOKUP(X21,'[1]labor  rates'!$C$3:$AP$289,40,FALSE))*CE21),((Z21/(AH21/60))*0.51*CE21),((VLOOKUP(X21,'[1]labor  rates'!$C$3:$AP$289,40,FALSE))*CE21))</f>
        <v>501.84850000000006</v>
      </c>
      <c r="Q21" s="4">
        <f>IF(ISERROR((VLOOKUP(X21,'[1]labor  rates'!$C$3:$AK$289,35,FALSE))*Z21),(Z21*30.85),((VLOOKUP(X21,'[1]labor  rates'!$C$3:$AK$289,35,FALSE))*Z21))</f>
        <v>732.83175000000017</v>
      </c>
      <c r="R21" s="4">
        <f>IF(ISERROR((VLOOKUP(X21,'[1]labor  rates'!$C$3:$AO$289,39,FALSE))*AA21),(VLOOKUP(V21,'[1]labor  rates'!$C$3:$AO$289,39,FALSE)*AA21),(VLOOKUP(X21,'[1]labor  rates'!$C$3:$AO$289,39,FALSE))*AA21)</f>
        <v>146.85300000000001</v>
      </c>
      <c r="S21" s="5">
        <f t="shared" si="54"/>
        <v>-585.97875000000022</v>
      </c>
      <c r="T21" s="151">
        <v>45013</v>
      </c>
      <c r="U21" s="161" t="s">
        <v>18</v>
      </c>
      <c r="V21" s="150" t="s">
        <v>21</v>
      </c>
      <c r="W21" s="150">
        <v>428113</v>
      </c>
      <c r="X21" s="150">
        <v>96705001</v>
      </c>
      <c r="Y21" s="150" t="s">
        <v>204</v>
      </c>
      <c r="Z21" s="150">
        <v>22.05</v>
      </c>
      <c r="AA21" s="150">
        <v>270</v>
      </c>
      <c r="AB21" s="150">
        <v>12</v>
      </c>
      <c r="AC21" s="150">
        <v>3240</v>
      </c>
      <c r="AD21" s="150">
        <v>185</v>
      </c>
      <c r="AE21" s="150">
        <v>185</v>
      </c>
      <c r="AF21" s="150">
        <v>189</v>
      </c>
      <c r="AG21" s="150"/>
      <c r="AH21" s="150">
        <v>189</v>
      </c>
      <c r="AI21" s="150">
        <v>34965</v>
      </c>
      <c r="AJ21" s="150">
        <v>2914</v>
      </c>
      <c r="AK21" s="150">
        <v>3240</v>
      </c>
      <c r="AL21" s="150">
        <v>9.27</v>
      </c>
      <c r="AM21" s="150">
        <v>15.34</v>
      </c>
      <c r="AN21" s="150">
        <v>60.39</v>
      </c>
      <c r="AO21" s="150">
        <v>100</v>
      </c>
      <c r="AP21" s="150"/>
      <c r="AQ21" s="150">
        <v>15</v>
      </c>
      <c r="AR21" s="150"/>
      <c r="AS21" s="150"/>
      <c r="AT21" s="150"/>
      <c r="AU21" s="150"/>
      <c r="AV21" s="150">
        <v>145</v>
      </c>
      <c r="AW21" s="150">
        <v>160</v>
      </c>
      <c r="AX21" s="150"/>
      <c r="AY21" s="150"/>
      <c r="AZ21" s="150">
        <v>15</v>
      </c>
      <c r="BA21" s="150"/>
      <c r="BB21" s="150"/>
      <c r="BC21" s="150"/>
      <c r="BD21" s="150">
        <v>25</v>
      </c>
      <c r="BE21" s="150"/>
      <c r="BF21" s="150"/>
      <c r="BG21" s="150"/>
      <c r="BH21" s="150"/>
      <c r="BI21" s="150"/>
      <c r="BJ21" s="150">
        <v>16</v>
      </c>
      <c r="BK21" s="150"/>
      <c r="BL21" s="150"/>
      <c r="BM21" s="150"/>
      <c r="BN21" s="150"/>
      <c r="BO21" s="150"/>
      <c r="BP21" s="150"/>
      <c r="BQ21" s="150"/>
      <c r="BR21" s="150"/>
      <c r="BS21" s="150"/>
      <c r="BT21" s="150">
        <v>104</v>
      </c>
      <c r="BU21" s="150">
        <v>6</v>
      </c>
      <c r="BV21" s="150"/>
      <c r="BW21" s="150"/>
      <c r="BX21" s="150"/>
      <c r="BY21" s="150"/>
      <c r="BZ21" s="150"/>
      <c r="CA21" s="150"/>
      <c r="CB21" s="150"/>
      <c r="CC21" s="150"/>
      <c r="CD21" s="150">
        <v>270</v>
      </c>
      <c r="CE21" s="150">
        <v>151</v>
      </c>
    </row>
    <row r="22" spans="1:83" x14ac:dyDescent="0.25">
      <c r="A22" s="1" t="s">
        <v>17</v>
      </c>
      <c r="B22" s="1" t="s">
        <v>187</v>
      </c>
      <c r="C22" s="1" t="str">
        <f>VLOOKUP(B22,[1]Months!$A$4:$B$16,2,0)</f>
        <v>March</v>
      </c>
      <c r="D22" s="1" t="str">
        <f t="shared" si="44"/>
        <v>FY23P9B</v>
      </c>
      <c r="E22" s="1" t="str">
        <f t="shared" si="45"/>
        <v>FY23P930001034</v>
      </c>
      <c r="F22" s="1">
        <f t="shared" si="46"/>
        <v>0</v>
      </c>
      <c r="G22" s="1">
        <f t="shared" si="47"/>
        <v>0</v>
      </c>
      <c r="H22" s="1">
        <f t="shared" si="48"/>
        <v>1</v>
      </c>
      <c r="I22" s="1" t="str">
        <f t="shared" si="49"/>
        <v>45013B</v>
      </c>
      <c r="J22" s="2" t="str">
        <f t="shared" si="50"/>
        <v>45013B        FS05</v>
      </c>
      <c r="K22" s="1" t="str">
        <f t="shared" si="51"/>
        <v>FY23P9        FS05B</v>
      </c>
      <c r="L22" s="1" t="str">
        <f t="shared" si="52"/>
        <v>FY23        FS05</v>
      </c>
      <c r="M22" s="1" t="str">
        <f>IF((T22&gt;='[1]DT date range'!$A$15)*AND(T22&lt;='[1]DT date range'!$A$17), IF(U22='[1]DT date range'!$A$19, "in", IF('[1]DT date range'!$A$19="Both", "in", "out")),"out")&amp;V22</f>
        <v>in        FS05</v>
      </c>
      <c r="N22" s="1" t="str">
        <f t="shared" si="53"/>
        <v>FY23P9        FS05</v>
      </c>
      <c r="O22" s="3">
        <f>IF(ISERROR((VLOOKUP(X22,'[1]labor  rates'!$C$3:$AP$289,40,FALSE))*AZ22),((Z22/(AH22/60))*0.51*AZ22),((VLOOKUP(X22,'[1]labor  rates'!$C$3:$AP$289,40,FALSE))*AZ22))</f>
        <v>66.470000000000013</v>
      </c>
      <c r="P22" s="4">
        <f>IF(ISERROR((VLOOKUP(X22,'[1]labor  rates'!$C$3:$AP$289,40,FALSE))*CE22),((Z22/(AH22/60))*0.51*CE22),((VLOOKUP(X22,'[1]labor  rates'!$C$3:$AP$289,40,FALSE))*CE22))</f>
        <v>239.29200000000003</v>
      </c>
      <c r="Q22" s="4">
        <f>IF(ISERROR((VLOOKUP(X22,'[1]labor  rates'!$C$3:$AK$289,35,FALSE))*Z22),(Z22*30.85),((VLOOKUP(X22,'[1]labor  rates'!$C$3:$AK$289,35,FALSE))*Z22))</f>
        <v>567.98615000000007</v>
      </c>
      <c r="R22" s="4">
        <f>IF(ISERROR((VLOOKUP(X22,'[1]labor  rates'!$C$3:$AO$289,39,FALSE))*AA22),(VLOOKUP(V22,'[1]labor  rates'!$C$3:$AO$289,39,FALSE)*AA22),(VLOOKUP(X22,'[1]labor  rates'!$C$3:$AO$289,39,FALSE))*AA22)</f>
        <v>793.36799999999994</v>
      </c>
      <c r="S22" s="5">
        <f t="shared" si="54"/>
        <v>225.38184999999987</v>
      </c>
      <c r="T22" s="151">
        <v>45013</v>
      </c>
      <c r="U22" s="161" t="s">
        <v>18</v>
      </c>
      <c r="V22" s="150" t="s">
        <v>22</v>
      </c>
      <c r="W22" s="150">
        <v>417594</v>
      </c>
      <c r="X22" s="150">
        <v>30001034</v>
      </c>
      <c r="Y22" s="150" t="s">
        <v>208</v>
      </c>
      <c r="Z22" s="150">
        <v>17.09</v>
      </c>
      <c r="AA22" s="150">
        <v>540</v>
      </c>
      <c r="AB22" s="150">
        <v>48</v>
      </c>
      <c r="AC22" s="150">
        <v>25920</v>
      </c>
      <c r="AD22" s="150">
        <v>250</v>
      </c>
      <c r="AE22" s="150">
        <v>250</v>
      </c>
      <c r="AF22" s="150">
        <v>205</v>
      </c>
      <c r="AG22" s="150"/>
      <c r="AH22" s="150">
        <v>205</v>
      </c>
      <c r="AI22" s="150">
        <v>51250</v>
      </c>
      <c r="AJ22" s="150">
        <v>1068</v>
      </c>
      <c r="AK22" s="150">
        <v>25920</v>
      </c>
      <c r="AL22" s="150">
        <v>50.58</v>
      </c>
      <c r="AM22" s="150">
        <v>70.73</v>
      </c>
      <c r="AN22" s="150">
        <v>71.5</v>
      </c>
      <c r="AO22" s="150">
        <v>100</v>
      </c>
      <c r="AP22" s="150">
        <v>5</v>
      </c>
      <c r="AQ22" s="150">
        <v>15</v>
      </c>
      <c r="AR22" s="150"/>
      <c r="AS22" s="150"/>
      <c r="AT22" s="150"/>
      <c r="AU22" s="150"/>
      <c r="AV22" s="150">
        <v>40</v>
      </c>
      <c r="AW22" s="150">
        <v>60</v>
      </c>
      <c r="AX22" s="150"/>
      <c r="AY22" s="150"/>
      <c r="AZ22" s="150">
        <v>20</v>
      </c>
      <c r="BA22" s="150"/>
      <c r="BB22" s="150">
        <v>15</v>
      </c>
      <c r="BC22" s="150">
        <v>5</v>
      </c>
      <c r="BD22" s="150"/>
      <c r="BE22" s="150"/>
      <c r="BF22" s="150">
        <v>5</v>
      </c>
      <c r="BG22" s="150"/>
      <c r="BH22" s="150">
        <v>3</v>
      </c>
      <c r="BI22" s="150"/>
      <c r="BJ22" s="150">
        <v>6</v>
      </c>
      <c r="BK22" s="150"/>
      <c r="BL22" s="150"/>
      <c r="BM22" s="150"/>
      <c r="BN22" s="150"/>
      <c r="BO22" s="150">
        <v>6</v>
      </c>
      <c r="BP22" s="150"/>
      <c r="BQ22" s="150"/>
      <c r="BR22" s="150">
        <v>5</v>
      </c>
      <c r="BS22" s="150">
        <v>25</v>
      </c>
      <c r="BT22" s="150"/>
      <c r="BU22" s="150">
        <v>2</v>
      </c>
      <c r="BV22" s="150"/>
      <c r="BW22" s="150"/>
      <c r="BX22" s="150"/>
      <c r="BY22" s="150"/>
      <c r="BZ22" s="150"/>
      <c r="CA22" s="150"/>
      <c r="CB22" s="150"/>
      <c r="CC22" s="150"/>
      <c r="CD22" s="150">
        <v>190</v>
      </c>
      <c r="CE22" s="150">
        <v>72</v>
      </c>
    </row>
    <row r="23" spans="1:83" x14ac:dyDescent="0.25">
      <c r="A23" s="1" t="s">
        <v>17</v>
      </c>
      <c r="B23" s="1" t="s">
        <v>187</v>
      </c>
      <c r="C23" s="1" t="str">
        <f>VLOOKUP(B23,[1]Months!$A$4:$B$16,2,0)</f>
        <v>March</v>
      </c>
      <c r="D23" s="1" t="str">
        <f t="shared" si="44"/>
        <v>FY23P9B</v>
      </c>
      <c r="E23" s="1" t="str">
        <f t="shared" si="45"/>
        <v>FY23P930001034</v>
      </c>
      <c r="F23" s="1">
        <f t="shared" si="46"/>
        <v>0</v>
      </c>
      <c r="G23" s="1">
        <f t="shared" si="47"/>
        <v>0</v>
      </c>
      <c r="H23" s="1">
        <f t="shared" si="48"/>
        <v>0</v>
      </c>
      <c r="I23" s="1" t="str">
        <f t="shared" si="49"/>
        <v>45013B</v>
      </c>
      <c r="J23" s="2" t="str">
        <f t="shared" si="50"/>
        <v>45013B        FS05</v>
      </c>
      <c r="K23" s="1" t="str">
        <f t="shared" si="51"/>
        <v>FY23P9        FS05B</v>
      </c>
      <c r="L23" s="1" t="str">
        <f t="shared" si="52"/>
        <v>FY23        FS05</v>
      </c>
      <c r="M23" s="1" t="str">
        <f>IF((T23&gt;='[1]DT date range'!$A$15)*AND(T23&lt;='[1]DT date range'!$A$17), IF(U23='[1]DT date range'!$A$19, "in", IF('[1]DT date range'!$A$19="Both", "in", "out")),"out")&amp;V23</f>
        <v>in        FS05</v>
      </c>
      <c r="N23" s="1" t="str">
        <f t="shared" si="53"/>
        <v>FY23P9        FS05</v>
      </c>
      <c r="O23" s="3">
        <f>IF(ISERROR((VLOOKUP(X23,'[1]labor  rates'!$C$3:$AP$289,40,FALSE))*AZ23),((Z23/(AH23/60))*0.51*AZ23),((VLOOKUP(X23,'[1]labor  rates'!$C$3:$AP$289,40,FALSE))*AZ23))</f>
        <v>249.26250000000005</v>
      </c>
      <c r="P23" s="4">
        <f>IF(ISERROR((VLOOKUP(X23,'[1]labor  rates'!$C$3:$AP$289,40,FALSE))*CE23),((Z23/(AH23/60))*0.51*CE23),((VLOOKUP(X23,'[1]labor  rates'!$C$3:$AP$289,40,FALSE))*CE23))</f>
        <v>481.90750000000008</v>
      </c>
      <c r="Q23" s="4">
        <f>IF(ISERROR((VLOOKUP(X23,'[1]labor  rates'!$C$3:$AK$289,35,FALSE))*Z23),(Z23*30.85),((VLOOKUP(X23,'[1]labor  rates'!$C$3:$AK$289,35,FALSE))*Z23))</f>
        <v>1370.9437500000004</v>
      </c>
      <c r="R23" s="4">
        <f>IF(ISERROR((VLOOKUP(X23,'[1]labor  rates'!$C$3:$AO$289,39,FALSE))*AA23),(VLOOKUP(V23,'[1]labor  rates'!$C$3:$AO$289,39,FALSE)*AA23),(VLOOKUP(X23,'[1]labor  rates'!$C$3:$AO$289,39,FALSE))*AA23)</f>
        <v>1614.6507999999999</v>
      </c>
      <c r="S23" s="5">
        <f t="shared" si="54"/>
        <v>243.70704999999953</v>
      </c>
      <c r="T23" s="151">
        <v>45013</v>
      </c>
      <c r="U23" s="161" t="s">
        <v>18</v>
      </c>
      <c r="V23" s="150" t="s">
        <v>22</v>
      </c>
      <c r="W23" s="150">
        <v>417601</v>
      </c>
      <c r="X23" s="150">
        <v>30001034</v>
      </c>
      <c r="Y23" s="150" t="s">
        <v>208</v>
      </c>
      <c r="Z23" s="150">
        <v>41.25</v>
      </c>
      <c r="AA23" s="150">
        <v>1099</v>
      </c>
      <c r="AB23" s="150">
        <v>48</v>
      </c>
      <c r="AC23" s="150">
        <v>52752</v>
      </c>
      <c r="AD23" s="150">
        <v>250</v>
      </c>
      <c r="AE23" s="150">
        <v>250</v>
      </c>
      <c r="AF23" s="150">
        <v>495</v>
      </c>
      <c r="AG23" s="150">
        <v>30</v>
      </c>
      <c r="AH23" s="150">
        <v>465</v>
      </c>
      <c r="AI23" s="150">
        <v>116250</v>
      </c>
      <c r="AJ23" s="150">
        <v>2422</v>
      </c>
      <c r="AK23" s="150">
        <v>52752</v>
      </c>
      <c r="AL23" s="150">
        <v>45.38</v>
      </c>
      <c r="AM23" s="150">
        <v>66.67</v>
      </c>
      <c r="AN23" s="150">
        <v>68.069999999999993</v>
      </c>
      <c r="AO23" s="150">
        <v>100</v>
      </c>
      <c r="AP23" s="150"/>
      <c r="AQ23" s="150">
        <v>15</v>
      </c>
      <c r="AR23" s="150"/>
      <c r="AS23" s="150"/>
      <c r="AT23" s="150">
        <v>30</v>
      </c>
      <c r="AU23" s="150"/>
      <c r="AV23" s="150">
        <v>110</v>
      </c>
      <c r="AW23" s="150">
        <v>155</v>
      </c>
      <c r="AX23" s="150"/>
      <c r="AY23" s="150"/>
      <c r="AZ23" s="150">
        <v>75</v>
      </c>
      <c r="BA23" s="150"/>
      <c r="BB23" s="150"/>
      <c r="BC23" s="150">
        <v>8</v>
      </c>
      <c r="BD23" s="150">
        <v>15</v>
      </c>
      <c r="BE23" s="150"/>
      <c r="BF23" s="150">
        <v>5</v>
      </c>
      <c r="BG23" s="150"/>
      <c r="BH23" s="150">
        <v>10</v>
      </c>
      <c r="BI23" s="150"/>
      <c r="BJ23" s="150">
        <v>3</v>
      </c>
      <c r="BK23" s="150">
        <v>40</v>
      </c>
      <c r="BL23" s="150"/>
      <c r="BM23" s="150">
        <v>4</v>
      </c>
      <c r="BN23" s="150">
        <v>9</v>
      </c>
      <c r="BO23" s="150">
        <v>24</v>
      </c>
      <c r="BP23" s="150"/>
      <c r="BQ23" s="150"/>
      <c r="BR23" s="150"/>
      <c r="BS23" s="150">
        <v>21</v>
      </c>
      <c r="BT23" s="150"/>
      <c r="BU23" s="150">
        <v>6</v>
      </c>
      <c r="BV23" s="150"/>
      <c r="BW23" s="150"/>
      <c r="BX23" s="150"/>
      <c r="BY23" s="150"/>
      <c r="BZ23" s="150"/>
      <c r="CA23" s="150"/>
      <c r="CB23" s="150"/>
      <c r="CC23" s="150"/>
      <c r="CD23" s="150"/>
      <c r="CE23" s="150">
        <v>145</v>
      </c>
    </row>
    <row r="24" spans="1:83" x14ac:dyDescent="0.25">
      <c r="A24" s="1" t="s">
        <v>17</v>
      </c>
      <c r="B24" s="1" t="s">
        <v>187</v>
      </c>
      <c r="C24" s="1" t="str">
        <f>VLOOKUP(B24,[1]Months!$A$4:$B$16,2,0)</f>
        <v>March</v>
      </c>
      <c r="D24" s="1" t="str">
        <f t="shared" si="44"/>
        <v>FY23P9B</v>
      </c>
      <c r="E24" s="1" t="str">
        <f t="shared" si="45"/>
        <v>FY23P963009851</v>
      </c>
      <c r="F24" s="1">
        <f t="shared" si="46"/>
        <v>0</v>
      </c>
      <c r="G24" s="1">
        <f t="shared" si="47"/>
        <v>0</v>
      </c>
      <c r="H24" s="1">
        <f t="shared" si="48"/>
        <v>1</v>
      </c>
      <c r="I24" s="1" t="str">
        <f t="shared" si="49"/>
        <v>45013B</v>
      </c>
      <c r="J24" s="2" t="str">
        <f t="shared" si="50"/>
        <v>45013B        FS10</v>
      </c>
      <c r="K24" s="1" t="str">
        <f t="shared" si="51"/>
        <v>FY23P9        FS10B</v>
      </c>
      <c r="L24" s="1" t="str">
        <f t="shared" si="52"/>
        <v>FY23        FS10</v>
      </c>
      <c r="M24" s="1" t="str">
        <f>IF((T24&gt;='[1]DT date range'!$A$15)*AND(T24&lt;='[1]DT date range'!$A$17), IF(U24='[1]DT date range'!$A$19, "in", IF('[1]DT date range'!$A$19="Both", "in", "out")),"out")&amp;V24</f>
        <v>in        FS10</v>
      </c>
      <c r="N24" s="1" t="str">
        <f t="shared" si="53"/>
        <v>FY23P9        FS10</v>
      </c>
      <c r="O24" s="3">
        <f>IF(ISERROR((VLOOKUP(X24,'[1]labor  rates'!$C$3:$AP$289,40,FALSE))*AZ24),((Z24/(AH24/60))*0.51*AZ24),((VLOOKUP(X24,'[1]labor  rates'!$C$3:$AP$289,40,FALSE))*AZ24))</f>
        <v>290.62833333333333</v>
      </c>
      <c r="P24" s="4">
        <f>IF(ISERROR((VLOOKUP(X24,'[1]labor  rates'!$C$3:$AP$289,40,FALSE))*CE24),((Z24/(AH24/60))*0.51*CE24),((VLOOKUP(X24,'[1]labor  rates'!$C$3:$AP$289,40,FALSE))*CE24))</f>
        <v>1282.9165</v>
      </c>
      <c r="Q24" s="4">
        <f>IF(ISERROR((VLOOKUP(X24,'[1]labor  rates'!$C$3:$AK$289,35,FALSE))*Z24),(Z24*30.85),((VLOOKUP(X24,'[1]labor  rates'!$C$3:$AK$289,35,FALSE))*Z24))</f>
        <v>2241.9900000000002</v>
      </c>
      <c r="R24" s="4">
        <f>IF(ISERROR((VLOOKUP(X24,'[1]labor  rates'!$C$3:$AO$289,39,FALSE))*AA24),(VLOOKUP(V24,'[1]labor  rates'!$C$3:$AO$289,39,FALSE)*AA24),(VLOOKUP(X24,'[1]labor  rates'!$C$3:$AO$289,39,FALSE))*AA24)</f>
        <v>2077.8338000000003</v>
      </c>
      <c r="S24" s="5">
        <f t="shared" si="54"/>
        <v>-164.1561999999999</v>
      </c>
      <c r="T24" s="151">
        <v>45013</v>
      </c>
      <c r="U24" s="161" t="s">
        <v>18</v>
      </c>
      <c r="V24" s="150" t="s">
        <v>24</v>
      </c>
      <c r="W24" s="150">
        <v>417509</v>
      </c>
      <c r="X24" s="150">
        <v>63009851</v>
      </c>
      <c r="Y24" s="150" t="s">
        <v>216</v>
      </c>
      <c r="Z24" s="150">
        <v>63</v>
      </c>
      <c r="AA24" s="150">
        <v>5222</v>
      </c>
      <c r="AB24" s="150">
        <v>12</v>
      </c>
      <c r="AC24" s="150">
        <v>62664</v>
      </c>
      <c r="AD24" s="150">
        <v>250</v>
      </c>
      <c r="AE24" s="150">
        <v>250</v>
      </c>
      <c r="AF24" s="150">
        <v>630</v>
      </c>
      <c r="AG24" s="150">
        <v>30</v>
      </c>
      <c r="AH24" s="150">
        <v>600</v>
      </c>
      <c r="AI24" s="150">
        <v>150000</v>
      </c>
      <c r="AJ24" s="150">
        <v>12500</v>
      </c>
      <c r="AK24" s="150">
        <v>62664</v>
      </c>
      <c r="AL24" s="150">
        <v>41.78</v>
      </c>
      <c r="AM24" s="150">
        <v>42.83</v>
      </c>
      <c r="AN24" s="150">
        <v>97.53</v>
      </c>
      <c r="AO24" s="150">
        <v>100</v>
      </c>
      <c r="AP24" s="150">
        <v>5</v>
      </c>
      <c r="AQ24" s="150">
        <v>15</v>
      </c>
      <c r="AR24" s="150"/>
      <c r="AS24" s="150"/>
      <c r="AT24" s="150">
        <v>20</v>
      </c>
      <c r="AU24" s="150"/>
      <c r="AV24" s="150">
        <v>303</v>
      </c>
      <c r="AW24" s="150">
        <v>343</v>
      </c>
      <c r="AX24" s="150"/>
      <c r="AY24" s="150"/>
      <c r="AZ24" s="150">
        <v>70</v>
      </c>
      <c r="BA24" s="150"/>
      <c r="BB24" s="150">
        <v>35</v>
      </c>
      <c r="BC24" s="150"/>
      <c r="BD24" s="150">
        <v>22</v>
      </c>
      <c r="BE24" s="150"/>
      <c r="BF24" s="150"/>
      <c r="BG24" s="150"/>
      <c r="BH24" s="150">
        <v>12</v>
      </c>
      <c r="BI24" s="150"/>
      <c r="BJ24" s="150"/>
      <c r="BK24" s="150">
        <v>45</v>
      </c>
      <c r="BL24" s="150"/>
      <c r="BM24" s="150">
        <v>25</v>
      </c>
      <c r="BN24" s="150"/>
      <c r="BO24" s="150"/>
      <c r="BP24" s="150"/>
      <c r="BQ24" s="150"/>
      <c r="BR24" s="150"/>
      <c r="BS24" s="150">
        <v>22</v>
      </c>
      <c r="BT24" s="150"/>
      <c r="BU24" s="150">
        <v>44</v>
      </c>
      <c r="BV24" s="150">
        <v>40</v>
      </c>
      <c r="BW24" s="150">
        <v>58</v>
      </c>
      <c r="BX24" s="150"/>
      <c r="BY24" s="150"/>
      <c r="BZ24" s="150"/>
      <c r="CA24" s="150"/>
      <c r="CB24" s="150"/>
      <c r="CC24" s="150">
        <v>6</v>
      </c>
      <c r="CD24" s="150">
        <v>750</v>
      </c>
      <c r="CE24" s="150">
        <v>309</v>
      </c>
    </row>
    <row r="25" spans="1:83" x14ac:dyDescent="0.25">
      <c r="A25" s="1" t="s">
        <v>17</v>
      </c>
      <c r="B25" s="1" t="s">
        <v>187</v>
      </c>
      <c r="C25" s="1" t="str">
        <f>VLOOKUP(B25,[1]Months!$A$4:$B$16,2,0)</f>
        <v>March</v>
      </c>
      <c r="D25" s="1" t="str">
        <f t="shared" si="44"/>
        <v>FY23P9B</v>
      </c>
      <c r="E25" s="1" t="str">
        <f t="shared" si="45"/>
        <v>FY23P930012034</v>
      </c>
      <c r="F25" s="1">
        <f t="shared" si="46"/>
        <v>0</v>
      </c>
      <c r="G25" s="1">
        <f t="shared" si="47"/>
        <v>0</v>
      </c>
      <c r="H25" s="1">
        <f t="shared" si="48"/>
        <v>1</v>
      </c>
      <c r="I25" s="1" t="str">
        <f t="shared" si="49"/>
        <v>45013B</v>
      </c>
      <c r="J25" s="2" t="str">
        <f t="shared" si="50"/>
        <v>45013B        FS12</v>
      </c>
      <c r="K25" s="1" t="str">
        <f t="shared" si="51"/>
        <v>FY23P9        FS12B</v>
      </c>
      <c r="L25" s="1" t="str">
        <f t="shared" si="52"/>
        <v>FY23        FS12</v>
      </c>
      <c r="M25" s="1" t="str">
        <f>IF((T25&gt;='[1]DT date range'!$A$15)*AND(T25&lt;='[1]DT date range'!$A$17), IF(U25='[1]DT date range'!$A$19, "in", IF('[1]DT date range'!$A$19="Both", "in", "out")),"out")&amp;V25</f>
        <v>in        FS12</v>
      </c>
      <c r="N25" s="1" t="str">
        <f t="shared" si="53"/>
        <v>FY23P9        FS12</v>
      </c>
      <c r="O25" s="3">
        <f>IF(ISERROR((VLOOKUP(X25,'[1]labor  rates'!$C$3:$AP$289,40,FALSE))*AZ25),((Z25/(AH25/60))*0.51*AZ25),((VLOOKUP(X25,'[1]labor  rates'!$C$3:$AP$289,40,FALSE))*AZ25))</f>
        <v>315.99750000000006</v>
      </c>
      <c r="P25" s="4">
        <f>IF(ISERROR((VLOOKUP(X25,'[1]labor  rates'!$C$3:$AP$289,40,FALSE))*CE25),((Z25/(AH25/60))*0.51*CE25),((VLOOKUP(X25,'[1]labor  rates'!$C$3:$AP$289,40,FALSE))*CE25))</f>
        <v>331.04500000000007</v>
      </c>
      <c r="Q25" s="4">
        <f>IF(ISERROR((VLOOKUP(X25,'[1]labor  rates'!$C$3:$AK$289,35,FALSE))*Z25),(Z25*30.85),((VLOOKUP(X25,'[1]labor  rates'!$C$3:$AK$289,35,FALSE))*Z25))</f>
        <v>2275.1820000000002</v>
      </c>
      <c r="R25" s="4">
        <f>IF(ISERROR((VLOOKUP(X25,'[1]labor  rates'!$C$3:$AO$289,39,FALSE))*AA25),(VLOOKUP(V25,'[1]labor  rates'!$C$3:$AO$289,39,FALSE)*AA25),(VLOOKUP(X25,'[1]labor  rates'!$C$3:$AO$289,39,FALSE))*AA25)</f>
        <v>1485.18</v>
      </c>
      <c r="S25" s="5">
        <f t="shared" si="54"/>
        <v>-790.00200000000018</v>
      </c>
      <c r="T25" s="151">
        <v>45013</v>
      </c>
      <c r="U25" s="161" t="s">
        <v>18</v>
      </c>
      <c r="V25" s="150" t="s">
        <v>25</v>
      </c>
      <c r="W25" s="150">
        <v>417600</v>
      </c>
      <c r="X25" s="150">
        <v>30012034</v>
      </c>
      <c r="Y25" s="150" t="s">
        <v>206</v>
      </c>
      <c r="Z25" s="150">
        <v>63</v>
      </c>
      <c r="AA25" s="150">
        <v>6690</v>
      </c>
      <c r="AB25" s="150">
        <v>6</v>
      </c>
      <c r="AC25" s="150">
        <v>40140</v>
      </c>
      <c r="AD25" s="150">
        <v>130</v>
      </c>
      <c r="AE25" s="150">
        <v>130</v>
      </c>
      <c r="AF25" s="150">
        <v>630</v>
      </c>
      <c r="AG25" s="150">
        <v>30</v>
      </c>
      <c r="AH25" s="150">
        <v>600</v>
      </c>
      <c r="AI25" s="150">
        <v>78000</v>
      </c>
      <c r="AJ25" s="150">
        <v>13000</v>
      </c>
      <c r="AK25" s="150">
        <v>40140</v>
      </c>
      <c r="AL25" s="150">
        <v>51.46</v>
      </c>
      <c r="AM25" s="150">
        <v>72</v>
      </c>
      <c r="AN25" s="150">
        <v>71.47</v>
      </c>
      <c r="AO25" s="150">
        <v>100</v>
      </c>
      <c r="AP25" s="150">
        <v>10</v>
      </c>
      <c r="AQ25" s="150">
        <v>45</v>
      </c>
      <c r="AR25" s="150"/>
      <c r="AS25" s="150"/>
      <c r="AT25" s="150">
        <v>20</v>
      </c>
      <c r="AU25" s="150"/>
      <c r="AV25" s="150">
        <v>93</v>
      </c>
      <c r="AW25" s="150">
        <v>168</v>
      </c>
      <c r="AX25" s="150"/>
      <c r="AY25" s="150"/>
      <c r="AZ25" s="150">
        <v>105</v>
      </c>
      <c r="BA25" s="150"/>
      <c r="BB25" s="150"/>
      <c r="BC25" s="150">
        <v>34</v>
      </c>
      <c r="BD25" s="150">
        <v>7</v>
      </c>
      <c r="BE25" s="150"/>
      <c r="BF25" s="150"/>
      <c r="BG25" s="150"/>
      <c r="BH25" s="150"/>
      <c r="BI25" s="150"/>
      <c r="BJ25" s="150"/>
      <c r="BK25" s="150">
        <v>25</v>
      </c>
      <c r="BL25" s="150"/>
      <c r="BM25" s="150">
        <v>5</v>
      </c>
      <c r="BN25" s="150"/>
      <c r="BO25" s="150">
        <v>5</v>
      </c>
      <c r="BP25" s="150"/>
      <c r="BQ25" s="150"/>
      <c r="BR25" s="150"/>
      <c r="BS25" s="150">
        <v>21</v>
      </c>
      <c r="BT25" s="150"/>
      <c r="BU25" s="150">
        <v>13</v>
      </c>
      <c r="BV25" s="150"/>
      <c r="BW25" s="150"/>
      <c r="BX25" s="150"/>
      <c r="BY25" s="150"/>
      <c r="BZ25" s="150"/>
      <c r="CA25" s="150"/>
      <c r="CB25" s="150"/>
      <c r="CC25" s="150"/>
      <c r="CD25" s="150">
        <v>880</v>
      </c>
      <c r="CE25" s="150">
        <v>110</v>
      </c>
    </row>
    <row r="26" spans="1:83" x14ac:dyDescent="0.25">
      <c r="A26" s="1" t="s">
        <v>17</v>
      </c>
      <c r="B26" s="1" t="s">
        <v>187</v>
      </c>
      <c r="C26" s="1" t="str">
        <f>VLOOKUP(B26,[1]Months!$A$4:$B$16,2,0)</f>
        <v>March</v>
      </c>
      <c r="D26" s="1" t="str">
        <f t="shared" si="44"/>
        <v>FY23P9C</v>
      </c>
      <c r="E26" s="1" t="str">
        <f t="shared" si="45"/>
        <v>FY23P971608004</v>
      </c>
      <c r="F26" s="1">
        <f t="shared" si="46"/>
        <v>0</v>
      </c>
      <c r="G26" s="1">
        <f t="shared" si="47"/>
        <v>1</v>
      </c>
      <c r="H26" s="1">
        <f t="shared" si="48"/>
        <v>1</v>
      </c>
      <c r="I26" s="1" t="str">
        <f t="shared" si="49"/>
        <v>45013C</v>
      </c>
      <c r="J26" s="2" t="str">
        <f t="shared" si="50"/>
        <v>45013C        FS01</v>
      </c>
      <c r="K26" s="1" t="str">
        <f t="shared" si="51"/>
        <v>FY23P9        FS01C</v>
      </c>
      <c r="L26" s="1" t="str">
        <f t="shared" si="52"/>
        <v>FY23        FS01</v>
      </c>
      <c r="M26" s="1" t="str">
        <f>IF((T26&gt;='[1]DT date range'!$A$15)*AND(T26&lt;='[1]DT date range'!$A$17), IF(U26='[1]DT date range'!$A$19, "in", IF('[1]DT date range'!$A$19="Both", "in", "out")),"out")&amp;V26</f>
        <v>in        FS01</v>
      </c>
      <c r="N26" s="1" t="str">
        <f t="shared" si="53"/>
        <v>FY23P9        FS01</v>
      </c>
      <c r="O26" s="3">
        <f>IF(ISERROR((VLOOKUP(X26,'[1]labor  rates'!$C$3:$AP$289,40,FALSE))*AZ26),((Z26/(AH26/60))*0.51*AZ26),((VLOOKUP(X26,'[1]labor  rates'!$C$3:$AP$289,40,FALSE))*AZ26))</f>
        <v>1352.8421052631577</v>
      </c>
      <c r="P26" s="4">
        <f>IF(ISERROR((VLOOKUP(X26,'[1]labor  rates'!$C$3:$AP$289,40,FALSE))*CE26),((Z26/(AH26/60))*0.51*CE26),((VLOOKUP(X26,'[1]labor  rates'!$C$3:$AP$289,40,FALSE))*CE26))</f>
        <v>2135.5578947368417</v>
      </c>
      <c r="Q26" s="4">
        <f>IF(ISERROR((VLOOKUP(X26,'[1]labor  rates'!$C$3:$AK$289,35,FALSE))*Z26),(Z26*30.85),((VLOOKUP(X26,'[1]labor  rates'!$C$3:$AK$289,35,FALSE))*Z26))</f>
        <v>5553</v>
      </c>
      <c r="R26" s="4">
        <f>IF(ISERROR((VLOOKUP(X26,'[1]labor  rates'!$C$3:$AO$289,39,FALSE))*AA26),(VLOOKUP(V26,'[1]labor  rates'!$C$3:$AO$289,39,FALSE)*AA26),(VLOOKUP(X26,'[1]labor  rates'!$C$3:$AO$289,39,FALSE))*AA26)</f>
        <v>1878.7804000000001</v>
      </c>
      <c r="S26" s="5">
        <f t="shared" si="54"/>
        <v>-3674.2195999999999</v>
      </c>
      <c r="T26" s="151">
        <v>45013</v>
      </c>
      <c r="U26" s="161" t="s">
        <v>16</v>
      </c>
      <c r="V26" s="150" t="s">
        <v>19</v>
      </c>
      <c r="W26" s="150">
        <v>415762</v>
      </c>
      <c r="X26" s="150">
        <v>71608004</v>
      </c>
      <c r="Y26" s="150" t="s">
        <v>207</v>
      </c>
      <c r="Z26" s="150">
        <v>180</v>
      </c>
      <c r="AA26" s="150">
        <v>1981</v>
      </c>
      <c r="AB26" s="150">
        <v>6</v>
      </c>
      <c r="AC26" s="150">
        <v>11886</v>
      </c>
      <c r="AD26" s="150">
        <v>55</v>
      </c>
      <c r="AE26" s="150">
        <v>55</v>
      </c>
      <c r="AF26" s="150">
        <v>600</v>
      </c>
      <c r="AG26" s="150">
        <v>30</v>
      </c>
      <c r="AH26" s="150">
        <v>570</v>
      </c>
      <c r="AI26" s="150">
        <v>31350</v>
      </c>
      <c r="AJ26" s="150">
        <v>5225</v>
      </c>
      <c r="AK26" s="150">
        <v>11886</v>
      </c>
      <c r="AL26" s="150">
        <v>37.909999999999997</v>
      </c>
      <c r="AM26" s="150">
        <v>43.33</v>
      </c>
      <c r="AN26" s="150">
        <v>87.49</v>
      </c>
      <c r="AO26" s="150">
        <v>100</v>
      </c>
      <c r="AP26" s="150"/>
      <c r="AQ26" s="150">
        <v>60</v>
      </c>
      <c r="AR26" s="150">
        <v>20</v>
      </c>
      <c r="AS26" s="150"/>
      <c r="AT26" s="150">
        <v>30</v>
      </c>
      <c r="AU26" s="150"/>
      <c r="AV26" s="150">
        <v>213</v>
      </c>
      <c r="AW26" s="150">
        <v>323</v>
      </c>
      <c r="AX26" s="150"/>
      <c r="AY26" s="150"/>
      <c r="AZ26" s="150">
        <v>140</v>
      </c>
      <c r="BA26" s="150"/>
      <c r="BB26" s="150"/>
      <c r="BC26" s="150"/>
      <c r="BD26" s="150">
        <v>15</v>
      </c>
      <c r="BE26" s="150"/>
      <c r="BF26" s="150"/>
      <c r="BG26" s="150">
        <v>15</v>
      </c>
      <c r="BH26" s="150"/>
      <c r="BI26" s="150"/>
      <c r="BJ26" s="150"/>
      <c r="BK26" s="150">
        <v>43</v>
      </c>
      <c r="BL26" s="150"/>
      <c r="BM26" s="150"/>
      <c r="BN26" s="150">
        <v>21</v>
      </c>
      <c r="BO26" s="150"/>
      <c r="BP26" s="150">
        <v>8</v>
      </c>
      <c r="BQ26" s="150"/>
      <c r="BR26" s="150"/>
      <c r="BS26" s="150">
        <v>77</v>
      </c>
      <c r="BT26" s="150"/>
      <c r="BU26" s="150">
        <v>32</v>
      </c>
      <c r="BV26" s="150"/>
      <c r="BW26" s="150"/>
      <c r="BX26" s="150"/>
      <c r="BY26" s="150"/>
      <c r="BZ26" s="150"/>
      <c r="CA26" s="150"/>
      <c r="CB26" s="150"/>
      <c r="CC26" s="150">
        <v>10</v>
      </c>
      <c r="CD26" s="150"/>
      <c r="CE26" s="150">
        <v>221</v>
      </c>
    </row>
    <row r="27" spans="1:83" x14ac:dyDescent="0.25">
      <c r="A27" s="1" t="s">
        <v>17</v>
      </c>
      <c r="B27" s="1" t="s">
        <v>187</v>
      </c>
      <c r="C27" s="1" t="str">
        <f>VLOOKUP(B27,[1]Months!$A$4:$B$16,2,0)</f>
        <v>March</v>
      </c>
      <c r="D27" s="1" t="str">
        <f t="shared" si="44"/>
        <v>FY23P9C</v>
      </c>
      <c r="E27" s="1" t="str">
        <f t="shared" si="45"/>
        <v>FY23P971608004</v>
      </c>
      <c r="F27" s="1">
        <f t="shared" si="46"/>
        <v>0</v>
      </c>
      <c r="G27" s="1">
        <f t="shared" si="47"/>
        <v>0</v>
      </c>
      <c r="H27" s="1">
        <f t="shared" si="48"/>
        <v>0</v>
      </c>
      <c r="I27" s="1" t="str">
        <f t="shared" si="49"/>
        <v>45013C</v>
      </c>
      <c r="J27" s="2" t="str">
        <f t="shared" si="50"/>
        <v>45013C        FS01</v>
      </c>
      <c r="K27" s="1" t="str">
        <f t="shared" si="51"/>
        <v>FY23P9        FS01C</v>
      </c>
      <c r="L27" s="1" t="str">
        <f t="shared" si="52"/>
        <v>FY23        FS01</v>
      </c>
      <c r="M27" s="1" t="str">
        <f>IF((T27&gt;='[1]DT date range'!$A$15)*AND(T27&lt;='[1]DT date range'!$A$17), IF(U27='[1]DT date range'!$A$19, "in", IF('[1]DT date range'!$A$19="Both", "in", "out")),"out")&amp;V27</f>
        <v>in        FS01</v>
      </c>
      <c r="N27" s="1" t="str">
        <f t="shared" si="53"/>
        <v>FY23P9        FS01</v>
      </c>
      <c r="O27" s="3">
        <f>IF(ISERROR((VLOOKUP(X27,'[1]labor  rates'!$C$3:$AP$289,40,FALSE))*AZ27),((Z27/(AH27/60))*0.51*AZ27),((VLOOKUP(X27,'[1]labor  rates'!$C$3:$AP$289,40,FALSE))*AZ27))</f>
        <v>33.15</v>
      </c>
      <c r="P27" s="4">
        <f>IF(ISERROR((VLOOKUP(X27,'[1]labor  rates'!$C$3:$AP$289,40,FALSE))*CE27),((Z27/(AH27/60))*0.51*CE27),((VLOOKUP(X27,'[1]labor  rates'!$C$3:$AP$289,40,FALSE))*CE27))</f>
        <v>669.63</v>
      </c>
      <c r="Q27" s="4">
        <f>IF(ISERROR((VLOOKUP(X27,'[1]labor  rates'!$C$3:$AK$289,35,FALSE))*Z27),(Z27*30.85),((VLOOKUP(X27,'[1]labor  rates'!$C$3:$AK$289,35,FALSE))*Z27))</f>
        <v>802.1</v>
      </c>
      <c r="R27" s="4">
        <f>IF(ISERROR((VLOOKUP(X27,'[1]labor  rates'!$C$3:$AO$289,39,FALSE))*AA27),(VLOOKUP(V27,'[1]labor  rates'!$C$3:$AO$289,39,FALSE)*AA27),(VLOOKUP(X27,'[1]labor  rates'!$C$3:$AO$289,39,FALSE))*AA27)</f>
        <v>107.1692</v>
      </c>
      <c r="S27" s="5">
        <f t="shared" si="54"/>
        <v>-694.93079999999998</v>
      </c>
      <c r="T27" s="151">
        <v>45013</v>
      </c>
      <c r="U27" s="161" t="s">
        <v>16</v>
      </c>
      <c r="V27" s="150" t="s">
        <v>19</v>
      </c>
      <c r="W27" s="150">
        <v>424499</v>
      </c>
      <c r="X27" s="150">
        <v>71608004</v>
      </c>
      <c r="Y27" s="150" t="s">
        <v>207</v>
      </c>
      <c r="Z27" s="150">
        <v>26</v>
      </c>
      <c r="AA27" s="150">
        <v>113</v>
      </c>
      <c r="AB27" s="150">
        <v>6</v>
      </c>
      <c r="AC27" s="150">
        <v>678</v>
      </c>
      <c r="AD27" s="150">
        <v>55</v>
      </c>
      <c r="AE27" s="150">
        <v>55</v>
      </c>
      <c r="AF27" s="150">
        <v>120</v>
      </c>
      <c r="AG27" s="150"/>
      <c r="AH27" s="150">
        <v>120</v>
      </c>
      <c r="AI27" s="150">
        <v>6600</v>
      </c>
      <c r="AJ27" s="150">
        <v>1100</v>
      </c>
      <c r="AK27" s="150">
        <v>678</v>
      </c>
      <c r="AL27" s="150">
        <v>10.27</v>
      </c>
      <c r="AM27" s="150">
        <v>11.67</v>
      </c>
      <c r="AN27" s="150">
        <v>88.05</v>
      </c>
      <c r="AO27" s="150">
        <v>100</v>
      </c>
      <c r="AP27" s="150">
        <v>5</v>
      </c>
      <c r="AQ27" s="150"/>
      <c r="AR27" s="150"/>
      <c r="AS27" s="150"/>
      <c r="AT27" s="150"/>
      <c r="AU27" s="150"/>
      <c r="AV27" s="150">
        <v>101</v>
      </c>
      <c r="AW27" s="150">
        <v>106</v>
      </c>
      <c r="AX27" s="150"/>
      <c r="AY27" s="150"/>
      <c r="AZ27" s="150">
        <v>5</v>
      </c>
      <c r="BA27" s="150"/>
      <c r="BB27" s="150"/>
      <c r="BC27" s="150"/>
      <c r="BD27" s="150"/>
      <c r="BE27" s="150"/>
      <c r="BF27" s="150"/>
      <c r="BG27" s="150"/>
      <c r="BH27" s="150"/>
      <c r="BI27" s="150">
        <v>101</v>
      </c>
      <c r="BJ27" s="150"/>
      <c r="BK27" s="150"/>
      <c r="BL27" s="150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>
        <v>20</v>
      </c>
      <c r="CE27" s="150">
        <v>101</v>
      </c>
    </row>
    <row r="28" spans="1:83" x14ac:dyDescent="0.25">
      <c r="A28" s="1" t="s">
        <v>17</v>
      </c>
      <c r="B28" s="1" t="s">
        <v>187</v>
      </c>
      <c r="C28" s="1" t="str">
        <f>VLOOKUP(B28,[1]Months!$A$4:$B$16,2,0)</f>
        <v>March</v>
      </c>
      <c r="D28" s="1" t="str">
        <f t="shared" si="44"/>
        <v>FY23P9C</v>
      </c>
      <c r="E28" s="1" t="str">
        <f t="shared" si="45"/>
        <v>FY23P930000034</v>
      </c>
      <c r="F28" s="1">
        <f t="shared" si="46"/>
        <v>0</v>
      </c>
      <c r="G28" s="1">
        <f t="shared" si="47"/>
        <v>0</v>
      </c>
      <c r="H28" s="1">
        <f t="shared" si="48"/>
        <v>1</v>
      </c>
      <c r="I28" s="1" t="str">
        <f t="shared" si="49"/>
        <v>45013C</v>
      </c>
      <c r="J28" s="2" t="str">
        <f t="shared" si="50"/>
        <v>45013C        FS03</v>
      </c>
      <c r="K28" s="1" t="str">
        <f t="shared" si="51"/>
        <v>FY23P9        FS03C</v>
      </c>
      <c r="L28" s="1" t="str">
        <f t="shared" si="52"/>
        <v>FY23        FS03</v>
      </c>
      <c r="M28" s="1" t="str">
        <f>IF((T28&gt;='[1]DT date range'!$A$15)*AND(T28&lt;='[1]DT date range'!$A$17), IF(U28='[1]DT date range'!$A$19, "in", IF('[1]DT date range'!$A$19="Both", "in", "out")),"out")&amp;V28</f>
        <v>in        FS03</v>
      </c>
      <c r="N28" s="1" t="str">
        <f t="shared" si="53"/>
        <v>FY23P9        FS03</v>
      </c>
      <c r="O28" s="3">
        <f>IF(ISERROR((VLOOKUP(X28,'[1]labor  rates'!$C$3:$AP$289,40,FALSE))*AZ28),((Z28/(AH28/60))*0.51*AZ28),((VLOOKUP(X28,'[1]labor  rates'!$C$3:$AP$289,40,FALSE))*AZ28))</f>
        <v>361.14000000000004</v>
      </c>
      <c r="P28" s="4">
        <f>IF(ISERROR((VLOOKUP(X28,'[1]labor  rates'!$C$3:$AP$289,40,FALSE))*CE28),((Z28/(AH28/60))*0.51*CE28),((VLOOKUP(X28,'[1]labor  rates'!$C$3:$AP$289,40,FALSE))*CE28))</f>
        <v>821.59350000000018</v>
      </c>
      <c r="Q28" s="4">
        <f>IF(ISERROR((VLOOKUP(X28,'[1]labor  rates'!$C$3:$AK$289,35,FALSE))*Z28),(Z28*30.85),((VLOOKUP(X28,'[1]labor  rates'!$C$3:$AK$289,35,FALSE))*Z28))</f>
        <v>2166.84</v>
      </c>
      <c r="R28" s="4">
        <f>IF(ISERROR((VLOOKUP(X28,'[1]labor  rates'!$C$3:$AO$289,39,FALSE))*AA28),(VLOOKUP(V28,'[1]labor  rates'!$C$3:$AO$289,39,FALSE)*AA28),(VLOOKUP(X28,'[1]labor  rates'!$C$3:$AO$289,39,FALSE))*AA28)</f>
        <v>2146.1183999999998</v>
      </c>
      <c r="S28" s="5">
        <f t="shared" si="54"/>
        <v>-20.721600000000308</v>
      </c>
      <c r="T28" s="151">
        <v>45013</v>
      </c>
      <c r="U28" s="161" t="s">
        <v>16</v>
      </c>
      <c r="V28" s="150" t="s">
        <v>20</v>
      </c>
      <c r="W28" s="150">
        <v>419156</v>
      </c>
      <c r="X28" s="150">
        <v>30000034</v>
      </c>
      <c r="Y28" s="150" t="s">
        <v>199</v>
      </c>
      <c r="Z28" s="150">
        <v>60</v>
      </c>
      <c r="AA28" s="150">
        <v>954</v>
      </c>
      <c r="AB28" s="150">
        <v>120</v>
      </c>
      <c r="AC28" s="150">
        <v>114480</v>
      </c>
      <c r="AD28" s="150">
        <v>380</v>
      </c>
      <c r="AE28" s="150">
        <v>380</v>
      </c>
      <c r="AF28" s="150">
        <v>720</v>
      </c>
      <c r="AG28" s="150">
        <v>30</v>
      </c>
      <c r="AH28" s="150">
        <v>690</v>
      </c>
      <c r="AI28" s="150">
        <v>262200</v>
      </c>
      <c r="AJ28" s="150">
        <v>2185</v>
      </c>
      <c r="AK28" s="150">
        <v>114480</v>
      </c>
      <c r="AL28" s="150">
        <v>10.27</v>
      </c>
      <c r="AM28" s="150">
        <v>49.13</v>
      </c>
      <c r="AN28" s="150">
        <v>88.87</v>
      </c>
      <c r="AO28" s="150">
        <v>100</v>
      </c>
      <c r="AP28" s="150">
        <v>10</v>
      </c>
      <c r="AQ28" s="150">
        <v>60</v>
      </c>
      <c r="AR28" s="150"/>
      <c r="AS28" s="150"/>
      <c r="AT28" s="150">
        <v>20</v>
      </c>
      <c r="AU28" s="150"/>
      <c r="AV28" s="150">
        <v>261</v>
      </c>
      <c r="AW28" s="150">
        <v>351</v>
      </c>
      <c r="AX28" s="150"/>
      <c r="AY28" s="150"/>
      <c r="AZ28" s="150">
        <v>120</v>
      </c>
      <c r="BA28" s="150"/>
      <c r="BB28" s="150"/>
      <c r="BC28" s="150">
        <v>28</v>
      </c>
      <c r="BD28" s="150"/>
      <c r="BE28" s="150"/>
      <c r="BF28" s="150"/>
      <c r="BG28" s="150"/>
      <c r="BH28" s="150"/>
      <c r="BI28" s="150"/>
      <c r="BJ28" s="150"/>
      <c r="BK28" s="150"/>
      <c r="BL28" s="150">
        <v>44</v>
      </c>
      <c r="BM28" s="150">
        <v>8</v>
      </c>
      <c r="BN28" s="150">
        <v>117</v>
      </c>
      <c r="BO28" s="150">
        <v>21</v>
      </c>
      <c r="BP28" s="150"/>
      <c r="BQ28" s="150"/>
      <c r="BR28" s="150">
        <v>14</v>
      </c>
      <c r="BS28" s="150">
        <v>4</v>
      </c>
      <c r="BT28" s="150"/>
      <c r="BU28" s="150">
        <v>11</v>
      </c>
      <c r="BV28" s="150"/>
      <c r="BW28" s="150"/>
      <c r="BX28" s="150">
        <v>26</v>
      </c>
      <c r="BY28" s="150"/>
      <c r="BZ28" s="150"/>
      <c r="CA28" s="150"/>
      <c r="CB28" s="150"/>
      <c r="CC28" s="150"/>
      <c r="CD28" s="150">
        <v>97</v>
      </c>
      <c r="CE28" s="150">
        <v>273</v>
      </c>
    </row>
    <row r="29" spans="1:83" x14ac:dyDescent="0.25">
      <c r="A29" s="1" t="s">
        <v>17</v>
      </c>
      <c r="B29" s="1" t="s">
        <v>187</v>
      </c>
      <c r="C29" s="1" t="str">
        <f>VLOOKUP(B29,[1]Months!$A$4:$B$16,2,0)</f>
        <v>March</v>
      </c>
      <c r="D29" s="1" t="str">
        <f t="shared" si="44"/>
        <v>FY23P9C</v>
      </c>
      <c r="E29" s="1" t="str">
        <f t="shared" si="45"/>
        <v>FY23P963009851</v>
      </c>
      <c r="F29" s="1">
        <f t="shared" si="46"/>
        <v>0</v>
      </c>
      <c r="G29" s="1">
        <f t="shared" si="47"/>
        <v>0</v>
      </c>
      <c r="H29" s="1">
        <f t="shared" si="48"/>
        <v>1</v>
      </c>
      <c r="I29" s="1" t="str">
        <f t="shared" si="49"/>
        <v>45013C</v>
      </c>
      <c r="J29" s="2" t="str">
        <f t="shared" si="50"/>
        <v>45013C        FS10</v>
      </c>
      <c r="K29" s="1" t="str">
        <f t="shared" si="51"/>
        <v>FY23P9        FS10C</v>
      </c>
      <c r="L29" s="1" t="str">
        <f t="shared" si="52"/>
        <v>FY23        FS10</v>
      </c>
      <c r="M29" s="1" t="str">
        <f>IF((T29&gt;='[1]DT date range'!$A$15)*AND(T29&lt;='[1]DT date range'!$A$17), IF(U29='[1]DT date range'!$A$19, "in", IF('[1]DT date range'!$A$19="Both", "in", "out")),"out")&amp;V29</f>
        <v>in        FS10</v>
      </c>
      <c r="N29" s="1" t="str">
        <f t="shared" si="53"/>
        <v>FY23P9        FS10</v>
      </c>
      <c r="O29" s="3">
        <f>IF(ISERROR((VLOOKUP(X29,'[1]labor  rates'!$C$3:$AP$289,40,FALSE))*AZ29),((Z29/(AH29/60))*0.51*AZ29),((VLOOKUP(X29,'[1]labor  rates'!$C$3:$AP$289,40,FALSE))*AZ29))</f>
        <v>166.07333333333332</v>
      </c>
      <c r="P29" s="4">
        <f>IF(ISERROR((VLOOKUP(X29,'[1]labor  rates'!$C$3:$AP$289,40,FALSE))*CE29),((Z29/(AH29/60))*0.51*CE29),((VLOOKUP(X29,'[1]labor  rates'!$C$3:$AP$289,40,FALSE))*CE29))</f>
        <v>373.66500000000002</v>
      </c>
      <c r="Q29" s="4">
        <f>IF(ISERROR((VLOOKUP(X29,'[1]labor  rates'!$C$3:$AK$289,35,FALSE))*Z29),(Z29*30.85),((VLOOKUP(X29,'[1]labor  rates'!$C$3:$AK$289,35,FALSE))*Z29))</f>
        <v>2277.5771428571429</v>
      </c>
      <c r="R29" s="4">
        <f>IF(ISERROR((VLOOKUP(X29,'[1]labor  rates'!$C$3:$AO$289,39,FALSE))*AA29),(VLOOKUP(V29,'[1]labor  rates'!$C$3:$AO$289,39,FALSE)*AA29),(VLOOKUP(X29,'[1]labor  rates'!$C$3:$AO$289,39,FALSE))*AA29)</f>
        <v>2652.7993000000001</v>
      </c>
      <c r="S29" s="5">
        <f t="shared" si="54"/>
        <v>375.22215714285721</v>
      </c>
      <c r="T29" s="151">
        <v>45013</v>
      </c>
      <c r="U29" s="161" t="s">
        <v>16</v>
      </c>
      <c r="V29" s="150" t="s">
        <v>24</v>
      </c>
      <c r="W29" s="150">
        <v>417516</v>
      </c>
      <c r="X29" s="150">
        <v>63009851</v>
      </c>
      <c r="Y29" s="150" t="s">
        <v>216</v>
      </c>
      <c r="Z29" s="150">
        <v>64</v>
      </c>
      <c r="AA29" s="150">
        <v>6667</v>
      </c>
      <c r="AB29" s="150">
        <v>12</v>
      </c>
      <c r="AC29" s="150">
        <v>80004</v>
      </c>
      <c r="AD29" s="150">
        <v>250</v>
      </c>
      <c r="AE29" s="150">
        <v>250</v>
      </c>
      <c r="AF29" s="150">
        <v>480</v>
      </c>
      <c r="AG29" s="150">
        <v>30</v>
      </c>
      <c r="AH29" s="150">
        <v>450</v>
      </c>
      <c r="AI29" s="150">
        <v>112500</v>
      </c>
      <c r="AJ29" s="150">
        <v>9375</v>
      </c>
      <c r="AK29" s="150">
        <v>80004</v>
      </c>
      <c r="AL29" s="150">
        <v>71.11</v>
      </c>
      <c r="AM29" s="150">
        <v>78.89</v>
      </c>
      <c r="AN29" s="150">
        <v>90.15</v>
      </c>
      <c r="AO29" s="150">
        <v>100</v>
      </c>
      <c r="AP29" s="150">
        <v>10</v>
      </c>
      <c r="AQ29" s="150"/>
      <c r="AR29" s="150"/>
      <c r="AS29" s="150"/>
      <c r="AT29" s="150"/>
      <c r="AU29" s="150"/>
      <c r="AV29" s="150">
        <v>85</v>
      </c>
      <c r="AW29" s="150">
        <v>95</v>
      </c>
      <c r="AX29" s="150"/>
      <c r="AY29" s="150"/>
      <c r="AZ29" s="150">
        <v>40</v>
      </c>
      <c r="BA29" s="150"/>
      <c r="BB29" s="150"/>
      <c r="BC29" s="150">
        <v>20</v>
      </c>
      <c r="BD29" s="150"/>
      <c r="BE29" s="150"/>
      <c r="BF29" s="150"/>
      <c r="BG29" s="150"/>
      <c r="BH29" s="150"/>
      <c r="BI29" s="150"/>
      <c r="BJ29" s="150">
        <v>20</v>
      </c>
      <c r="BK29" s="150"/>
      <c r="BL29" s="150"/>
      <c r="BM29" s="150"/>
      <c r="BN29" s="150"/>
      <c r="BO29" s="150"/>
      <c r="BP29" s="150">
        <v>12</v>
      </c>
      <c r="BQ29" s="150"/>
      <c r="BR29" s="150"/>
      <c r="BS29" s="150">
        <v>12</v>
      </c>
      <c r="BT29" s="150"/>
      <c r="BU29" s="150">
        <v>11</v>
      </c>
      <c r="BV29" s="150">
        <v>10</v>
      </c>
      <c r="BW29" s="150">
        <v>5</v>
      </c>
      <c r="BX29" s="150"/>
      <c r="BY29" s="150"/>
      <c r="BZ29" s="150"/>
      <c r="CA29" s="150"/>
      <c r="CB29" s="150"/>
      <c r="CC29" s="150"/>
      <c r="CD29" s="150">
        <v>883</v>
      </c>
      <c r="CE29" s="150">
        <v>90</v>
      </c>
    </row>
    <row r="30" spans="1:83" x14ac:dyDescent="0.25">
      <c r="A30" s="1" t="s">
        <v>17</v>
      </c>
      <c r="B30" s="1" t="s">
        <v>187</v>
      </c>
      <c r="C30" s="1" t="str">
        <f>VLOOKUP(B30,[1]Months!$A$4:$B$16,2,0)</f>
        <v>March</v>
      </c>
      <c r="D30" s="1" t="str">
        <f t="shared" si="44"/>
        <v>FY23P9C</v>
      </c>
      <c r="E30" s="1" t="str">
        <f t="shared" si="45"/>
        <v>FY23P963009851</v>
      </c>
      <c r="F30" s="1">
        <f t="shared" si="46"/>
        <v>0</v>
      </c>
      <c r="G30" s="1">
        <f t="shared" si="47"/>
        <v>0</v>
      </c>
      <c r="H30" s="1">
        <f t="shared" si="48"/>
        <v>0</v>
      </c>
      <c r="I30" s="1" t="str">
        <f t="shared" si="49"/>
        <v>45013C</v>
      </c>
      <c r="J30" s="2" t="str">
        <f t="shared" si="50"/>
        <v>45013C        FS10</v>
      </c>
      <c r="K30" s="1" t="str">
        <f t="shared" si="51"/>
        <v>FY23P9        FS10C</v>
      </c>
      <c r="L30" s="1" t="str">
        <f t="shared" si="52"/>
        <v>FY23        FS10</v>
      </c>
      <c r="M30" s="1" t="str">
        <f>IF((T30&gt;='[1]DT date range'!$A$15)*AND(T30&lt;='[1]DT date range'!$A$17), IF(U30='[1]DT date range'!$A$19, "in", IF('[1]DT date range'!$A$19="Both", "in", "out")),"out")&amp;V30</f>
        <v>in        FS10</v>
      </c>
      <c r="N30" s="1" t="str">
        <f t="shared" si="53"/>
        <v>FY23P9        FS10</v>
      </c>
      <c r="O30" s="3">
        <f>IF(ISERROR((VLOOKUP(X30,'[1]labor  rates'!$C$3:$AP$289,40,FALSE))*AZ30),((Z30/(AH30/60))*0.51*AZ30),((VLOOKUP(X30,'[1]labor  rates'!$C$3:$AP$289,40,FALSE))*AZ30))</f>
        <v>166.07333333333332</v>
      </c>
      <c r="P30" s="4">
        <f>IF(ISERROR((VLOOKUP(X30,'[1]labor  rates'!$C$3:$AP$289,40,FALSE))*CE30),((Z30/(AH30/60))*0.51*CE30),((VLOOKUP(X30,'[1]labor  rates'!$C$3:$AP$289,40,FALSE))*CE30))</f>
        <v>91.340333333333334</v>
      </c>
      <c r="Q30" s="4">
        <f>IF(ISERROR((VLOOKUP(X30,'[1]labor  rates'!$C$3:$AK$289,35,FALSE))*Z30),(Z30*30.85),((VLOOKUP(X30,'[1]labor  rates'!$C$3:$AK$289,35,FALSE))*Z30))</f>
        <v>587.18785714285718</v>
      </c>
      <c r="R30" s="4">
        <f>IF(ISERROR((VLOOKUP(X30,'[1]labor  rates'!$C$3:$AO$289,39,FALSE))*AA30),(VLOOKUP(V30,'[1]labor  rates'!$C$3:$AO$289,39,FALSE)*AA30),(VLOOKUP(X30,'[1]labor  rates'!$C$3:$AO$289,39,FALSE))*AA30)</f>
        <v>401.87900000000002</v>
      </c>
      <c r="S30" s="5">
        <f t="shared" si="54"/>
        <v>-185.30885714285716</v>
      </c>
      <c r="T30" s="151">
        <v>45013</v>
      </c>
      <c r="U30" s="161" t="s">
        <v>16</v>
      </c>
      <c r="V30" s="150" t="s">
        <v>24</v>
      </c>
      <c r="W30" s="150">
        <v>417509</v>
      </c>
      <c r="X30" s="150">
        <v>63009851</v>
      </c>
      <c r="Y30" s="150" t="s">
        <v>216</v>
      </c>
      <c r="Z30" s="150">
        <v>16.5</v>
      </c>
      <c r="AA30" s="150">
        <v>1010</v>
      </c>
      <c r="AB30" s="150">
        <v>12</v>
      </c>
      <c r="AC30" s="150">
        <v>12120</v>
      </c>
      <c r="AD30" s="150">
        <v>250</v>
      </c>
      <c r="AE30" s="150">
        <v>250</v>
      </c>
      <c r="AF30" s="150">
        <v>110</v>
      </c>
      <c r="AG30" s="150"/>
      <c r="AH30" s="150">
        <v>110</v>
      </c>
      <c r="AI30" s="150">
        <v>27500</v>
      </c>
      <c r="AJ30" s="150">
        <v>2292</v>
      </c>
      <c r="AK30" s="150">
        <v>12120</v>
      </c>
      <c r="AL30" s="150">
        <v>44.07</v>
      </c>
      <c r="AM30" s="150">
        <v>43.64</v>
      </c>
      <c r="AN30" s="150">
        <v>101</v>
      </c>
      <c r="AO30" s="150">
        <v>100</v>
      </c>
      <c r="AP30" s="150"/>
      <c r="AQ30" s="150"/>
      <c r="AR30" s="150">
        <v>10</v>
      </c>
      <c r="AS30" s="150"/>
      <c r="AT30" s="150">
        <v>30</v>
      </c>
      <c r="AU30" s="150"/>
      <c r="AV30" s="150">
        <v>22</v>
      </c>
      <c r="AW30" s="150">
        <v>62</v>
      </c>
      <c r="AX30" s="150"/>
      <c r="AY30" s="150"/>
      <c r="AZ30" s="150">
        <v>40</v>
      </c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50"/>
      <c r="BQ30" s="150"/>
      <c r="BR30" s="150"/>
      <c r="BS30" s="150">
        <v>22</v>
      </c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>
        <v>820</v>
      </c>
      <c r="CE30" s="150">
        <v>22</v>
      </c>
    </row>
    <row r="31" spans="1:83" x14ac:dyDescent="0.25">
      <c r="A31" s="1" t="s">
        <v>17</v>
      </c>
      <c r="B31" s="1" t="s">
        <v>187</v>
      </c>
      <c r="C31" s="1" t="str">
        <f>VLOOKUP(B31,[1]Months!$A$4:$B$16,2,0)</f>
        <v>March</v>
      </c>
      <c r="D31" s="1" t="str">
        <f t="shared" ref="D31:D43" si="55">CONCATENATE(A31,B31,U31)</f>
        <v>FY23P9B</v>
      </c>
      <c r="E31" s="1" t="str">
        <f t="shared" ref="E31:E43" si="56">CONCATENATE(A31,B31,X31)</f>
        <v>FY23P971608004</v>
      </c>
      <c r="F31" s="1">
        <f t="shared" ref="F31:F43" si="57">IF(T31=T30,0,1)</f>
        <v>1</v>
      </c>
      <c r="G31" s="1">
        <f t="shared" ref="G31:G43" si="58">IF(AND(T31=T30, U31=U30),0,1)</f>
        <v>1</v>
      </c>
      <c r="H31" s="1">
        <f t="shared" ref="H31:H43" si="59">IF(AND(T31=T30, U31=U30, V31=V30),0,1)</f>
        <v>1</v>
      </c>
      <c r="I31" s="1" t="str">
        <f t="shared" ref="I31:I43" si="60">CONCATENATE(T31,U31)</f>
        <v>45014B</v>
      </c>
      <c r="J31" s="2" t="str">
        <f t="shared" ref="J31:J43" si="61">CONCATENATE(T31,U31,V31)</f>
        <v>45014B        FS01</v>
      </c>
      <c r="K31" s="1" t="str">
        <f t="shared" ref="K31:K43" si="62">CONCATENATE(A31,B31,V31,U31)</f>
        <v>FY23P9        FS01B</v>
      </c>
      <c r="L31" s="1" t="str">
        <f t="shared" ref="L31:L43" si="63">CONCATENATE(A31,V31)</f>
        <v>FY23        FS01</v>
      </c>
      <c r="M31" s="1" t="str">
        <f>IF((T31&gt;='[1]DT date range'!$A$15)*AND(T31&lt;='[1]DT date range'!$A$17), IF(U31='[1]DT date range'!$A$19, "in", IF('[1]DT date range'!$A$19="Both", "in", "out")),"out")&amp;V31</f>
        <v>in        FS01</v>
      </c>
      <c r="N31" s="1" t="str">
        <f t="shared" ref="N31:N43" si="64">CONCATENATE(A31,B31,V31)</f>
        <v>FY23P9        FS01</v>
      </c>
      <c r="O31" s="3">
        <f>IF(ISERROR((VLOOKUP(X31,'[1]labor  rates'!$C$3:$AP$289,40,FALSE))*AZ31),((Z31/(AH31/60))*0.51*AZ31),((VLOOKUP(X31,'[1]labor  rates'!$C$3:$AP$289,40,FALSE))*AZ31))</f>
        <v>232.04999999999998</v>
      </c>
      <c r="P31" s="4">
        <f>IF(ISERROR((VLOOKUP(X31,'[1]labor  rates'!$C$3:$AP$289,40,FALSE))*CE31),((Z31/(AH31/60))*0.51*CE31),((VLOOKUP(X31,'[1]labor  rates'!$C$3:$AP$289,40,FALSE))*CE31))</f>
        <v>331.5</v>
      </c>
      <c r="Q31" s="4">
        <f>IF(ISERROR((VLOOKUP(X31,'[1]labor  rates'!$C$3:$AK$289,35,FALSE))*Z31),(Z31*30.85),((VLOOKUP(X31,'[1]labor  rates'!$C$3:$AK$289,35,FALSE))*Z31))</f>
        <v>1403.675</v>
      </c>
      <c r="R31" s="4">
        <f>IF(ISERROR((VLOOKUP(X31,'[1]labor  rates'!$C$3:$AO$289,39,FALSE))*AA31),(VLOOKUP(V31,'[1]labor  rates'!$C$3:$AO$289,39,FALSE)*AA31),(VLOOKUP(X31,'[1]labor  rates'!$C$3:$AO$289,39,FALSE))*AA31)</f>
        <v>777.68799999999999</v>
      </c>
      <c r="S31" s="5">
        <f t="shared" ref="S31:S43" si="65">+R31-Q31</f>
        <v>-625.98699999999997</v>
      </c>
      <c r="T31" s="151">
        <v>45014</v>
      </c>
      <c r="U31" s="161" t="s">
        <v>18</v>
      </c>
      <c r="V31" s="150" t="s">
        <v>19</v>
      </c>
      <c r="W31" s="150">
        <v>415762</v>
      </c>
      <c r="X31" s="150">
        <v>71608004</v>
      </c>
      <c r="Y31" s="150" t="s">
        <v>207</v>
      </c>
      <c r="Z31" s="150">
        <v>45.5</v>
      </c>
      <c r="AA31" s="150">
        <v>820</v>
      </c>
      <c r="AB31" s="150">
        <v>6</v>
      </c>
      <c r="AC31" s="150">
        <v>4920</v>
      </c>
      <c r="AD31" s="150">
        <v>55</v>
      </c>
      <c r="AE31" s="150">
        <v>55</v>
      </c>
      <c r="AF31" s="150">
        <v>210</v>
      </c>
      <c r="AG31" s="150"/>
      <c r="AH31" s="150">
        <v>210</v>
      </c>
      <c r="AI31" s="150">
        <v>11550</v>
      </c>
      <c r="AJ31" s="150">
        <v>1925</v>
      </c>
      <c r="AK31" s="150">
        <v>4920</v>
      </c>
      <c r="AL31" s="150">
        <v>42.6</v>
      </c>
      <c r="AM31" s="150">
        <v>60.95</v>
      </c>
      <c r="AN31" s="150">
        <v>69.89</v>
      </c>
      <c r="AO31" s="150">
        <v>100</v>
      </c>
      <c r="AP31" s="150">
        <v>10</v>
      </c>
      <c r="AQ31" s="150">
        <v>15</v>
      </c>
      <c r="AR31" s="150">
        <v>10</v>
      </c>
      <c r="AS31" s="150"/>
      <c r="AT31" s="150"/>
      <c r="AU31" s="150"/>
      <c r="AV31" s="150">
        <v>47</v>
      </c>
      <c r="AW31" s="150">
        <v>82</v>
      </c>
      <c r="AX31" s="150"/>
      <c r="AY31" s="150"/>
      <c r="AZ31" s="150">
        <v>35</v>
      </c>
      <c r="BA31" s="150"/>
      <c r="BB31" s="150"/>
      <c r="BC31" s="150"/>
      <c r="BD31" s="150">
        <v>15</v>
      </c>
      <c r="BE31" s="150"/>
      <c r="BF31" s="150"/>
      <c r="BG31" s="150"/>
      <c r="BH31" s="150"/>
      <c r="BI31" s="150"/>
      <c r="BJ31" s="150"/>
      <c r="BK31" s="150">
        <v>16</v>
      </c>
      <c r="BL31" s="150"/>
      <c r="BM31" s="150"/>
      <c r="BN31" s="150"/>
      <c r="BO31" s="150"/>
      <c r="BP31" s="150"/>
      <c r="BQ31" s="150"/>
      <c r="BR31" s="150">
        <v>3</v>
      </c>
      <c r="BS31" s="150"/>
      <c r="BT31" s="150">
        <v>16</v>
      </c>
      <c r="BU31" s="150"/>
      <c r="BV31" s="150"/>
      <c r="BW31" s="150"/>
      <c r="BX31" s="150"/>
      <c r="BY31" s="150"/>
      <c r="BZ31" s="150"/>
      <c r="CA31" s="150"/>
      <c r="CB31" s="150"/>
      <c r="CC31" s="150"/>
      <c r="CD31" s="150">
        <v>235</v>
      </c>
      <c r="CE31" s="150">
        <v>50</v>
      </c>
    </row>
    <row r="32" spans="1:83" x14ac:dyDescent="0.25">
      <c r="A32" s="1" t="s">
        <v>17</v>
      </c>
      <c r="B32" s="1" t="s">
        <v>187</v>
      </c>
      <c r="C32" s="1" t="str">
        <f>VLOOKUP(B32,[1]Months!$A$4:$B$16,2,0)</f>
        <v>March</v>
      </c>
      <c r="D32" s="1" t="str">
        <f t="shared" si="55"/>
        <v>FY23P9B</v>
      </c>
      <c r="E32" s="1" t="str">
        <f t="shared" si="56"/>
        <v>FY23P971608001</v>
      </c>
      <c r="F32" s="1">
        <f t="shared" si="57"/>
        <v>0</v>
      </c>
      <c r="G32" s="1">
        <f t="shared" si="58"/>
        <v>0</v>
      </c>
      <c r="H32" s="1">
        <f t="shared" si="59"/>
        <v>0</v>
      </c>
      <c r="I32" s="1" t="str">
        <f t="shared" si="60"/>
        <v>45014B</v>
      </c>
      <c r="J32" s="2" t="str">
        <f t="shared" si="61"/>
        <v>45014B        FS01</v>
      </c>
      <c r="K32" s="1" t="str">
        <f t="shared" si="62"/>
        <v>FY23P9        FS01B</v>
      </c>
      <c r="L32" s="1" t="str">
        <f t="shared" si="63"/>
        <v>FY23        FS01</v>
      </c>
      <c r="M32" s="1" t="str">
        <f>IF((T32&gt;='[1]DT date range'!$A$15)*AND(T32&lt;='[1]DT date range'!$A$17), IF(U32='[1]DT date range'!$A$19, "in", IF('[1]DT date range'!$A$19="Both", "in", "out")),"out")&amp;V32</f>
        <v>in        FS01</v>
      </c>
      <c r="N32" s="1" t="str">
        <f t="shared" si="64"/>
        <v>FY23P9        FS01</v>
      </c>
      <c r="O32" s="3">
        <f>IF(ISERROR((VLOOKUP(X32,'[1]labor  rates'!$C$3:$AP$289,40,FALSE))*AZ32),((Z32/(AH32/60))*0.51*AZ32),((VLOOKUP(X32,'[1]labor  rates'!$C$3:$AP$289,40,FALSE))*AZ32))</f>
        <v>542.20000000000005</v>
      </c>
      <c r="P32" s="4">
        <f>IF(ISERROR((VLOOKUP(X32,'[1]labor  rates'!$C$3:$AP$289,40,FALSE))*CE32),((Z32/(AH32/60))*0.51*CE32),((VLOOKUP(X32,'[1]labor  rates'!$C$3:$AP$289,40,FALSE))*CE32))</f>
        <v>589.64250000000004</v>
      </c>
      <c r="Q32" s="4">
        <f>IF(ISERROR((VLOOKUP(X32,'[1]labor  rates'!$C$3:$AK$289,35,FALSE))*Z32),(Z32*30.85),((VLOOKUP(X32,'[1]labor  rates'!$C$3:$AK$289,35,FALSE))*Z32))</f>
        <v>2643.2249999999999</v>
      </c>
      <c r="R32" s="4">
        <f>IF(ISERROR((VLOOKUP(X32,'[1]labor  rates'!$C$3:$AO$289,39,FALSE))*AA32),(VLOOKUP(V32,'[1]labor  rates'!$C$3:$AO$289,39,FALSE)*AA32),(VLOOKUP(X32,'[1]labor  rates'!$C$3:$AO$289,39,FALSE))*AA32)</f>
        <v>3232.7207999999996</v>
      </c>
      <c r="S32" s="5">
        <f t="shared" si="65"/>
        <v>589.49579999999969</v>
      </c>
      <c r="T32" s="151">
        <v>45014</v>
      </c>
      <c r="U32" s="161" t="s">
        <v>18</v>
      </c>
      <c r="V32" s="150" t="s">
        <v>19</v>
      </c>
      <c r="W32" s="150">
        <v>413422</v>
      </c>
      <c r="X32" s="150">
        <v>71608001</v>
      </c>
      <c r="Y32" s="150" t="s">
        <v>225</v>
      </c>
      <c r="Z32" s="150">
        <v>110.5</v>
      </c>
      <c r="AA32" s="150">
        <v>2052</v>
      </c>
      <c r="AB32" s="150">
        <v>6</v>
      </c>
      <c r="AC32" s="150">
        <v>12312</v>
      </c>
      <c r="AD32" s="150">
        <v>55</v>
      </c>
      <c r="AE32" s="150">
        <v>55</v>
      </c>
      <c r="AF32" s="150">
        <v>510</v>
      </c>
      <c r="AG32" s="150">
        <v>30</v>
      </c>
      <c r="AH32" s="150">
        <v>480</v>
      </c>
      <c r="AI32" s="150">
        <v>26400</v>
      </c>
      <c r="AJ32" s="150">
        <v>4400</v>
      </c>
      <c r="AK32" s="150">
        <v>12312</v>
      </c>
      <c r="AL32" s="150">
        <v>46.64</v>
      </c>
      <c r="AM32" s="150">
        <v>75.42</v>
      </c>
      <c r="AN32" s="150">
        <v>61.84</v>
      </c>
      <c r="AO32" s="150">
        <v>100</v>
      </c>
      <c r="AP32" s="150"/>
      <c r="AQ32" s="150">
        <v>30</v>
      </c>
      <c r="AR32" s="150"/>
      <c r="AS32" s="150"/>
      <c r="AT32" s="150">
        <v>20</v>
      </c>
      <c r="AU32" s="150"/>
      <c r="AV32" s="150">
        <v>68</v>
      </c>
      <c r="AW32" s="150">
        <v>118</v>
      </c>
      <c r="AX32" s="150"/>
      <c r="AY32" s="150"/>
      <c r="AZ32" s="150">
        <v>80</v>
      </c>
      <c r="BA32" s="150"/>
      <c r="BB32" s="150"/>
      <c r="BC32" s="150"/>
      <c r="BD32" s="150">
        <v>21</v>
      </c>
      <c r="BE32" s="150"/>
      <c r="BF32" s="150"/>
      <c r="BG32" s="150">
        <v>16</v>
      </c>
      <c r="BH32" s="150"/>
      <c r="BI32" s="150"/>
      <c r="BJ32" s="150"/>
      <c r="BK32" s="150">
        <v>11</v>
      </c>
      <c r="BL32" s="150"/>
      <c r="BM32" s="150"/>
      <c r="BN32" s="150">
        <v>4</v>
      </c>
      <c r="BO32" s="150"/>
      <c r="BP32" s="150"/>
      <c r="BQ32" s="150"/>
      <c r="BR32" s="150"/>
      <c r="BS32" s="150">
        <v>4</v>
      </c>
      <c r="BT32" s="150"/>
      <c r="BU32" s="150">
        <v>4</v>
      </c>
      <c r="BV32" s="150"/>
      <c r="BW32" s="150"/>
      <c r="BX32" s="150"/>
      <c r="BY32" s="150">
        <v>7</v>
      </c>
      <c r="BZ32" s="150"/>
      <c r="CA32" s="150"/>
      <c r="CB32" s="150"/>
      <c r="CC32" s="150">
        <v>20</v>
      </c>
      <c r="CD32" s="150"/>
      <c r="CE32" s="150">
        <v>87</v>
      </c>
    </row>
    <row r="33" spans="1:83" x14ac:dyDescent="0.25">
      <c r="A33" s="1" t="s">
        <v>17</v>
      </c>
      <c r="B33" s="1" t="s">
        <v>187</v>
      </c>
      <c r="C33" s="1" t="str">
        <f>VLOOKUP(B33,[1]Months!$A$4:$B$16,2,0)</f>
        <v>March</v>
      </c>
      <c r="D33" s="1" t="str">
        <f t="shared" si="55"/>
        <v>FY23P9B</v>
      </c>
      <c r="E33" s="1" t="str">
        <f t="shared" si="56"/>
        <v>FY23P930000034</v>
      </c>
      <c r="F33" s="1">
        <f t="shared" si="57"/>
        <v>0</v>
      </c>
      <c r="G33" s="1">
        <f t="shared" si="58"/>
        <v>0</v>
      </c>
      <c r="H33" s="1">
        <f t="shared" si="59"/>
        <v>1</v>
      </c>
      <c r="I33" s="1" t="str">
        <f t="shared" si="60"/>
        <v>45014B</v>
      </c>
      <c r="J33" s="2" t="str">
        <f t="shared" si="61"/>
        <v>45014B        FS03</v>
      </c>
      <c r="K33" s="1" t="str">
        <f t="shared" si="62"/>
        <v>FY23P9        FS03B</v>
      </c>
      <c r="L33" s="1" t="str">
        <f t="shared" si="63"/>
        <v>FY23        FS03</v>
      </c>
      <c r="M33" s="1" t="str">
        <f>IF((T33&gt;='[1]DT date range'!$A$15)*AND(T33&lt;='[1]DT date range'!$A$17), IF(U33='[1]DT date range'!$A$19, "in", IF('[1]DT date range'!$A$19="Both", "in", "out")),"out")&amp;V33</f>
        <v>in        FS03</v>
      </c>
      <c r="N33" s="1" t="str">
        <f t="shared" si="64"/>
        <v>FY23P9        FS03</v>
      </c>
      <c r="O33" s="3">
        <f>IF(ISERROR((VLOOKUP(X33,'[1]labor  rates'!$C$3:$AP$289,40,FALSE))*AZ33),((Z33/(AH33/60))*0.51*AZ33),((VLOOKUP(X33,'[1]labor  rates'!$C$3:$AP$289,40,FALSE))*AZ33))</f>
        <v>225.71250000000003</v>
      </c>
      <c r="P33" s="4">
        <f>IF(ISERROR((VLOOKUP(X33,'[1]labor  rates'!$C$3:$AP$289,40,FALSE))*CE33),((Z33/(AH33/60))*0.51*CE33),((VLOOKUP(X33,'[1]labor  rates'!$C$3:$AP$289,40,FALSE))*CE33))</f>
        <v>511.61500000000007</v>
      </c>
      <c r="Q33" s="4">
        <f>IF(ISERROR((VLOOKUP(X33,'[1]labor  rates'!$C$3:$AK$289,35,FALSE))*Z33),(Z33*30.85),((VLOOKUP(X33,'[1]labor  rates'!$C$3:$AK$289,35,FALSE))*Z33))</f>
        <v>1083.42</v>
      </c>
      <c r="R33" s="4">
        <f>IF(ISERROR((VLOOKUP(X33,'[1]labor  rates'!$C$3:$AO$289,39,FALSE))*AA33),(VLOOKUP(V33,'[1]labor  rates'!$C$3:$AO$289,39,FALSE)*AA33),(VLOOKUP(X33,'[1]labor  rates'!$C$3:$AO$289,39,FALSE))*AA33)</f>
        <v>818.85439999999983</v>
      </c>
      <c r="S33" s="5">
        <f t="shared" si="65"/>
        <v>-264.56560000000025</v>
      </c>
      <c r="T33" s="151">
        <v>45014</v>
      </c>
      <c r="U33" s="161" t="s">
        <v>18</v>
      </c>
      <c r="V33" s="150" t="s">
        <v>20</v>
      </c>
      <c r="W33" s="150">
        <v>419157</v>
      </c>
      <c r="X33" s="150">
        <v>30000034</v>
      </c>
      <c r="Y33" s="150" t="s">
        <v>199</v>
      </c>
      <c r="Z33" s="150">
        <v>30</v>
      </c>
      <c r="AA33" s="150">
        <v>364</v>
      </c>
      <c r="AB33" s="150">
        <v>120</v>
      </c>
      <c r="AC33" s="150">
        <v>43680</v>
      </c>
      <c r="AD33" s="150">
        <v>380</v>
      </c>
      <c r="AE33" s="150">
        <v>380</v>
      </c>
      <c r="AF33" s="150">
        <v>360</v>
      </c>
      <c r="AG33" s="150"/>
      <c r="AH33" s="150">
        <v>360</v>
      </c>
      <c r="AI33" s="150">
        <v>136800</v>
      </c>
      <c r="AJ33" s="150">
        <v>1140</v>
      </c>
      <c r="AK33" s="150">
        <v>43680</v>
      </c>
      <c r="AL33" s="150">
        <v>31.93</v>
      </c>
      <c r="AM33" s="150">
        <v>39.44</v>
      </c>
      <c r="AN33" s="150">
        <v>80.95</v>
      </c>
      <c r="AO33" s="150">
        <v>100</v>
      </c>
      <c r="AP33" s="150">
        <v>15</v>
      </c>
      <c r="AQ33" s="150">
        <v>45</v>
      </c>
      <c r="AR33" s="150">
        <v>15</v>
      </c>
      <c r="AS33" s="150"/>
      <c r="AT33" s="150"/>
      <c r="AU33" s="150"/>
      <c r="AV33" s="150">
        <v>143</v>
      </c>
      <c r="AW33" s="150">
        <v>218</v>
      </c>
      <c r="AX33" s="150"/>
      <c r="AY33" s="150"/>
      <c r="AZ33" s="150">
        <v>75</v>
      </c>
      <c r="BA33" s="150"/>
      <c r="BB33" s="150"/>
      <c r="BC33" s="150">
        <v>10</v>
      </c>
      <c r="BD33" s="150">
        <v>20</v>
      </c>
      <c r="BE33" s="150"/>
      <c r="BF33" s="150"/>
      <c r="BG33" s="150"/>
      <c r="BH33" s="150"/>
      <c r="BI33" s="150"/>
      <c r="BJ33" s="150"/>
      <c r="BK33" s="150">
        <v>12</v>
      </c>
      <c r="BL33" s="150"/>
      <c r="BM33" s="150"/>
      <c r="BN33" s="150">
        <v>101</v>
      </c>
      <c r="BO33" s="150">
        <v>9</v>
      </c>
      <c r="BP33" s="150"/>
      <c r="BQ33" s="150"/>
      <c r="BR33" s="150">
        <v>8</v>
      </c>
      <c r="BS33" s="150"/>
      <c r="BT33" s="150"/>
      <c r="BU33" s="150"/>
      <c r="BV33" s="150"/>
      <c r="BW33" s="150">
        <v>5</v>
      </c>
      <c r="BX33" s="150"/>
      <c r="BY33" s="150"/>
      <c r="BZ33" s="150"/>
      <c r="CA33" s="150"/>
      <c r="CB33" s="150"/>
      <c r="CC33" s="150">
        <v>5</v>
      </c>
      <c r="CD33" s="150">
        <v>100</v>
      </c>
      <c r="CE33" s="150">
        <v>170</v>
      </c>
    </row>
    <row r="34" spans="1:83" x14ac:dyDescent="0.25">
      <c r="A34" s="1" t="s">
        <v>17</v>
      </c>
      <c r="B34" s="1" t="s">
        <v>187</v>
      </c>
      <c r="C34" s="1" t="str">
        <f>VLOOKUP(B34,[1]Months!$A$4:$B$16,2,0)</f>
        <v>March</v>
      </c>
      <c r="D34" s="1" t="str">
        <f t="shared" si="55"/>
        <v>FY23P9B</v>
      </c>
      <c r="E34" s="1" t="str">
        <f t="shared" si="56"/>
        <v>FY23P961005002</v>
      </c>
      <c r="F34" s="1">
        <f t="shared" si="57"/>
        <v>0</v>
      </c>
      <c r="G34" s="1">
        <f t="shared" si="58"/>
        <v>0</v>
      </c>
      <c r="H34" s="1">
        <f t="shared" si="59"/>
        <v>1</v>
      </c>
      <c r="I34" s="1" t="str">
        <f t="shared" si="60"/>
        <v>45014B</v>
      </c>
      <c r="J34" s="2" t="str">
        <f t="shared" si="61"/>
        <v>45014B        FS04</v>
      </c>
      <c r="K34" s="1" t="str">
        <f t="shared" si="62"/>
        <v>FY23P9        FS04B</v>
      </c>
      <c r="L34" s="1" t="str">
        <f t="shared" si="63"/>
        <v>FY23        FS04</v>
      </c>
      <c r="M34" s="1" t="str">
        <f>IF((T34&gt;='[1]DT date range'!$A$15)*AND(T34&lt;='[1]DT date range'!$A$17), IF(U34='[1]DT date range'!$A$19, "in", IF('[1]DT date range'!$A$19="Both", "in", "out")),"out")&amp;V34</f>
        <v>in        FS04</v>
      </c>
      <c r="N34" s="1" t="str">
        <f t="shared" si="64"/>
        <v>FY23P9        FS04</v>
      </c>
      <c r="O34" s="3">
        <f>IF(ISERROR((VLOOKUP(X34,'[1]labor  rates'!$C$3:$AP$289,40,FALSE))*AZ34),((Z34/(AH34/60))*0.51*AZ34),((VLOOKUP(X34,'[1]labor  rates'!$C$3:$AP$289,40,FALSE))*AZ34))</f>
        <v>315.73250000000007</v>
      </c>
      <c r="P34" s="4">
        <f>IF(ISERROR((VLOOKUP(X34,'[1]labor  rates'!$C$3:$AP$289,40,FALSE))*CE34),((Z34/(AH34/60))*0.51*CE34),((VLOOKUP(X34,'[1]labor  rates'!$C$3:$AP$289,40,FALSE))*CE34))</f>
        <v>1638.4855000000002</v>
      </c>
      <c r="Q34" s="4">
        <f>IF(ISERROR((VLOOKUP(X34,'[1]labor  rates'!$C$3:$AK$289,35,FALSE))*Z34),(Z34*30.85),((VLOOKUP(X34,'[1]labor  rates'!$C$3:$AK$289,35,FALSE))*Z34))</f>
        <v>2093.8050000000003</v>
      </c>
      <c r="R34" s="4">
        <f>IF(ISERROR((VLOOKUP(X34,'[1]labor  rates'!$C$3:$AO$289,39,FALSE))*AA34),(VLOOKUP(V34,'[1]labor  rates'!$C$3:$AO$289,39,FALSE)*AA34),(VLOOKUP(X34,'[1]labor  rates'!$C$3:$AO$289,39,FALSE))*AA34)</f>
        <v>281.93200000000002</v>
      </c>
      <c r="S34" s="5">
        <f t="shared" si="65"/>
        <v>-1811.8730000000003</v>
      </c>
      <c r="T34" s="151">
        <v>45014</v>
      </c>
      <c r="U34" s="161" t="s">
        <v>18</v>
      </c>
      <c r="V34" s="150" t="s">
        <v>21</v>
      </c>
      <c r="W34" s="150">
        <v>421250</v>
      </c>
      <c r="X34" s="150">
        <v>61005002</v>
      </c>
      <c r="Y34" s="150" t="s">
        <v>226</v>
      </c>
      <c r="Z34" s="150">
        <v>63</v>
      </c>
      <c r="AA34" s="150">
        <v>280</v>
      </c>
      <c r="AB34" s="150">
        <v>24</v>
      </c>
      <c r="AC34" s="150">
        <v>6720</v>
      </c>
      <c r="AD34" s="150">
        <v>230</v>
      </c>
      <c r="AE34" s="150">
        <v>230</v>
      </c>
      <c r="AF34" s="150">
        <v>630</v>
      </c>
      <c r="AG34" s="150">
        <v>30</v>
      </c>
      <c r="AH34" s="150">
        <v>600</v>
      </c>
      <c r="AI34" s="150">
        <v>138000</v>
      </c>
      <c r="AJ34" s="150">
        <v>5750</v>
      </c>
      <c r="AK34" s="150">
        <v>6720</v>
      </c>
      <c r="AL34" s="150">
        <v>4.87</v>
      </c>
      <c r="AM34" s="150">
        <v>9</v>
      </c>
      <c r="AN34" s="150">
        <v>54.11</v>
      </c>
      <c r="AO34" s="150">
        <v>100</v>
      </c>
      <c r="AP34" s="150">
        <v>5</v>
      </c>
      <c r="AQ34" s="150">
        <v>30</v>
      </c>
      <c r="AR34" s="150"/>
      <c r="AS34" s="150"/>
      <c r="AT34" s="150">
        <v>30</v>
      </c>
      <c r="AU34" s="150"/>
      <c r="AV34" s="150">
        <v>481</v>
      </c>
      <c r="AW34" s="150">
        <v>546</v>
      </c>
      <c r="AX34" s="150"/>
      <c r="AY34" s="150"/>
      <c r="AZ34" s="150">
        <v>95</v>
      </c>
      <c r="BA34" s="150"/>
      <c r="BB34" s="150"/>
      <c r="BC34" s="150"/>
      <c r="BD34" s="150"/>
      <c r="BE34" s="150"/>
      <c r="BF34" s="150">
        <v>74</v>
      </c>
      <c r="BG34" s="150"/>
      <c r="BH34" s="150"/>
      <c r="BI34" s="150"/>
      <c r="BJ34" s="150">
        <v>4</v>
      </c>
      <c r="BK34" s="150"/>
      <c r="BL34" s="150"/>
      <c r="BM34" s="150">
        <v>3</v>
      </c>
      <c r="BN34" s="150"/>
      <c r="BO34" s="150">
        <v>237</v>
      </c>
      <c r="BP34" s="150"/>
      <c r="BQ34" s="150"/>
      <c r="BR34" s="150"/>
      <c r="BS34" s="150">
        <v>151</v>
      </c>
      <c r="BT34" s="150"/>
      <c r="BU34" s="150">
        <v>19</v>
      </c>
      <c r="BV34" s="150"/>
      <c r="BW34" s="150"/>
      <c r="BX34" s="150"/>
      <c r="BY34" s="150"/>
      <c r="BZ34" s="150">
        <v>5</v>
      </c>
      <c r="CA34" s="150"/>
      <c r="CB34" s="150"/>
      <c r="CC34" s="150"/>
      <c r="CD34" s="150">
        <v>24</v>
      </c>
      <c r="CE34" s="150">
        <v>493</v>
      </c>
    </row>
    <row r="35" spans="1:83" x14ac:dyDescent="0.25">
      <c r="A35" s="1" t="s">
        <v>17</v>
      </c>
      <c r="B35" s="1" t="s">
        <v>187</v>
      </c>
      <c r="C35" s="1" t="str">
        <f>VLOOKUP(B35,[1]Months!$A$4:$B$16,2,0)</f>
        <v>March</v>
      </c>
      <c r="D35" s="1" t="str">
        <f t="shared" si="55"/>
        <v>FY23P9B</v>
      </c>
      <c r="E35" s="1" t="str">
        <f t="shared" si="56"/>
        <v>FY23P963109031</v>
      </c>
      <c r="F35" s="1">
        <f t="shared" si="57"/>
        <v>0</v>
      </c>
      <c r="G35" s="1">
        <f t="shared" si="58"/>
        <v>0</v>
      </c>
      <c r="H35" s="1">
        <f t="shared" si="59"/>
        <v>1</v>
      </c>
      <c r="I35" s="1" t="str">
        <f t="shared" si="60"/>
        <v>45014B</v>
      </c>
      <c r="J35" s="2" t="str">
        <f t="shared" si="61"/>
        <v>45014B        FS10</v>
      </c>
      <c r="K35" s="1" t="str">
        <f t="shared" si="62"/>
        <v>FY23P9        FS10B</v>
      </c>
      <c r="L35" s="1" t="str">
        <f t="shared" si="63"/>
        <v>FY23        FS10</v>
      </c>
      <c r="M35" s="1" t="str">
        <f>IF((T35&gt;='[1]DT date range'!$A$15)*AND(T35&lt;='[1]DT date range'!$A$17), IF(U35='[1]DT date range'!$A$19, "in", IF('[1]DT date range'!$A$19="Both", "in", "out")),"out")&amp;V35</f>
        <v>in        FS10</v>
      </c>
      <c r="N35" s="1" t="str">
        <f t="shared" si="64"/>
        <v>FY23P9        FS10</v>
      </c>
      <c r="O35" s="3">
        <f>IF(ISERROR((VLOOKUP(X35,'[1]labor  rates'!$C$3:$AP$289,40,FALSE))*AZ35),((Z35/(AH35/60))*0.51*AZ35),((VLOOKUP(X35,'[1]labor  rates'!$C$3:$AP$289,40,FALSE))*AZ35))</f>
        <v>39.25951401869159</v>
      </c>
      <c r="P35" s="4">
        <f>IF(ISERROR((VLOOKUP(X35,'[1]labor  rates'!$C$3:$AP$289,40,FALSE))*CE35),((Z35/(AH35/60))*0.51*CE35),((VLOOKUP(X35,'[1]labor  rates'!$C$3:$AP$289,40,FALSE))*CE35))</f>
        <v>424.71656074766355</v>
      </c>
      <c r="Q35" s="4">
        <f>IF(ISERROR((VLOOKUP(X35,'[1]labor  rates'!$C$3:$AK$289,35,FALSE))*Z35),(Z35*30.85),((VLOOKUP(X35,'[1]labor  rates'!$C$3:$AK$289,35,FALSE))*Z35))</f>
        <v>385.00800000000004</v>
      </c>
      <c r="R35" s="4">
        <f>IF(ISERROR((VLOOKUP(X35,'[1]labor  rates'!$C$3:$AO$289,39,FALSE))*AA35),(VLOOKUP(V35,'[1]labor  rates'!$C$3:$AO$289,39,FALSE)*AA35),(VLOOKUP(X35,'[1]labor  rates'!$C$3:$AO$289,39,FALSE))*AA35)</f>
        <v>243.50700000000001</v>
      </c>
      <c r="S35" s="5">
        <f t="shared" si="65"/>
        <v>-141.50100000000003</v>
      </c>
      <c r="T35" s="151">
        <v>45014</v>
      </c>
      <c r="U35" s="161" t="s">
        <v>18</v>
      </c>
      <c r="V35" s="150" t="s">
        <v>24</v>
      </c>
      <c r="W35" s="150">
        <v>425332</v>
      </c>
      <c r="X35" s="150">
        <v>63109031</v>
      </c>
      <c r="Y35" s="150" t="s">
        <v>227</v>
      </c>
      <c r="Z35" s="150">
        <v>12.48</v>
      </c>
      <c r="AA35" s="150">
        <v>470</v>
      </c>
      <c r="AB35" s="150">
        <v>12</v>
      </c>
      <c r="AC35" s="150">
        <v>5640</v>
      </c>
      <c r="AD35" s="150">
        <v>250</v>
      </c>
      <c r="AE35" s="150">
        <v>250</v>
      </c>
      <c r="AF35" s="150">
        <v>107</v>
      </c>
      <c r="AG35" s="150"/>
      <c r="AH35" s="150">
        <v>107</v>
      </c>
      <c r="AI35" s="150">
        <v>26750</v>
      </c>
      <c r="AJ35" s="150">
        <v>2229</v>
      </c>
      <c r="AK35" s="150">
        <v>5640</v>
      </c>
      <c r="AL35" s="150">
        <v>21.08</v>
      </c>
      <c r="AM35" s="150">
        <v>-14.95</v>
      </c>
      <c r="AN35" s="150">
        <v>-141</v>
      </c>
      <c r="AO35" s="150">
        <v>100</v>
      </c>
      <c r="AP35" s="150">
        <v>5</v>
      </c>
      <c r="AQ35" s="150"/>
      <c r="AR35" s="150"/>
      <c r="AS35" s="150"/>
      <c r="AT35" s="150">
        <v>6</v>
      </c>
      <c r="AU35" s="150"/>
      <c r="AV35" s="150">
        <v>112</v>
      </c>
      <c r="AW35" s="150">
        <v>123</v>
      </c>
      <c r="AX35" s="150"/>
      <c r="AY35" s="150"/>
      <c r="AZ35" s="150">
        <v>11</v>
      </c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>
        <v>21</v>
      </c>
      <c r="BO35" s="150"/>
      <c r="BP35" s="150"/>
      <c r="BQ35" s="150"/>
      <c r="BR35" s="150"/>
      <c r="BS35" s="150">
        <v>45</v>
      </c>
      <c r="BT35" s="150">
        <v>46</v>
      </c>
      <c r="BU35" s="150"/>
      <c r="BV35" s="150"/>
      <c r="BW35" s="150"/>
      <c r="BX35" s="150"/>
      <c r="BY35" s="150"/>
      <c r="BZ35" s="150"/>
      <c r="CA35" s="150"/>
      <c r="CB35" s="150"/>
      <c r="CC35" s="150">
        <v>7</v>
      </c>
      <c r="CD35" s="150">
        <v>275</v>
      </c>
      <c r="CE35" s="150">
        <v>119</v>
      </c>
    </row>
    <row r="36" spans="1:83" x14ac:dyDescent="0.25">
      <c r="A36" s="1" t="s">
        <v>17</v>
      </c>
      <c r="B36" s="1" t="s">
        <v>187</v>
      </c>
      <c r="C36" s="1" t="str">
        <f>VLOOKUP(B36,[1]Months!$A$4:$B$16,2,0)</f>
        <v>March</v>
      </c>
      <c r="D36" s="1" t="str">
        <f t="shared" si="55"/>
        <v>FY23P9B</v>
      </c>
      <c r="E36" s="1" t="str">
        <f t="shared" si="56"/>
        <v>FY23P964509017</v>
      </c>
      <c r="F36" s="1">
        <f t="shared" si="57"/>
        <v>0</v>
      </c>
      <c r="G36" s="1">
        <f t="shared" si="58"/>
        <v>0</v>
      </c>
      <c r="H36" s="1">
        <f t="shared" si="59"/>
        <v>0</v>
      </c>
      <c r="I36" s="1" t="str">
        <f t="shared" si="60"/>
        <v>45014B</v>
      </c>
      <c r="J36" s="2" t="str">
        <f t="shared" si="61"/>
        <v>45014B        FS10</v>
      </c>
      <c r="K36" s="1" t="str">
        <f t="shared" si="62"/>
        <v>FY23P9        FS10B</v>
      </c>
      <c r="L36" s="1" t="str">
        <f t="shared" si="63"/>
        <v>FY23        FS10</v>
      </c>
      <c r="M36" s="1" t="str">
        <f>IF((T36&gt;='[1]DT date range'!$A$15)*AND(T36&lt;='[1]DT date range'!$A$17), IF(U36='[1]DT date range'!$A$19, "in", IF('[1]DT date range'!$A$19="Both", "in", "out")),"out")&amp;V36</f>
        <v>in        FS10</v>
      </c>
      <c r="N36" s="1" t="str">
        <f t="shared" si="64"/>
        <v>FY23P9        FS10</v>
      </c>
      <c r="O36" s="3">
        <f>IF(ISERROR((VLOOKUP(X36,'[1]labor  rates'!$C$3:$AP$289,40,FALSE))*AZ36),((Z36/(AH36/60))*0.51*AZ36),((VLOOKUP(X36,'[1]labor  rates'!$C$3:$AP$289,40,FALSE))*AZ36))</f>
        <v>1614.7384615384615</v>
      </c>
      <c r="P36" s="4">
        <f>IF(ISERROR((VLOOKUP(X36,'[1]labor  rates'!$C$3:$AP$289,40,FALSE))*CE36),((Z36/(AH36/60))*0.51*CE36),((VLOOKUP(X36,'[1]labor  rates'!$C$3:$AP$289,40,FALSE))*CE36))</f>
        <v>0</v>
      </c>
      <c r="Q36" s="4">
        <f>IF(ISERROR((VLOOKUP(X36,'[1]labor  rates'!$C$3:$AK$289,35,FALSE))*Z36),(Z36*30.85),((VLOOKUP(X36,'[1]labor  rates'!$C$3:$AK$289,35,FALSE))*Z36))</f>
        <v>1511.65</v>
      </c>
      <c r="R36" s="4">
        <f>IF(ISERROR((VLOOKUP(X36,'[1]labor  rates'!$C$3:$AO$289,39,FALSE))*AA36),(VLOOKUP(V36,'[1]labor  rates'!$C$3:$AO$289,39,FALSE)*AA36),(VLOOKUP(X36,'[1]labor  rates'!$C$3:$AO$289,39,FALSE))*AA36)</f>
        <v>0</v>
      </c>
      <c r="S36" s="5">
        <f t="shared" si="65"/>
        <v>-1511.65</v>
      </c>
      <c r="T36" s="151">
        <v>45014</v>
      </c>
      <c r="U36" s="161" t="s">
        <v>18</v>
      </c>
      <c r="V36" s="150" t="s">
        <v>24</v>
      </c>
      <c r="W36" s="150">
        <v>412452</v>
      </c>
      <c r="X36" s="150">
        <v>64509017</v>
      </c>
      <c r="Y36" s="150" t="s">
        <v>228</v>
      </c>
      <c r="Z36" s="150">
        <v>49</v>
      </c>
      <c r="AA36" s="150"/>
      <c r="AB36" s="150">
        <v>6</v>
      </c>
      <c r="AC36" s="150"/>
      <c r="AD36" s="150">
        <v>180</v>
      </c>
      <c r="AE36" s="150">
        <v>180</v>
      </c>
      <c r="AF36" s="150">
        <v>420</v>
      </c>
      <c r="AG36" s="150">
        <v>30</v>
      </c>
      <c r="AH36" s="150">
        <v>390</v>
      </c>
      <c r="AI36" s="150">
        <v>70200</v>
      </c>
      <c r="AJ36" s="150">
        <v>11700</v>
      </c>
      <c r="AK36" s="150">
        <v>0</v>
      </c>
      <c r="AL36" s="150">
        <v>0</v>
      </c>
      <c r="AM36" s="150">
        <v>0</v>
      </c>
      <c r="AN36" s="150">
        <v>0</v>
      </c>
      <c r="AO36" s="150">
        <v>0</v>
      </c>
      <c r="AP36" s="150"/>
      <c r="AQ36" s="150">
        <v>30</v>
      </c>
      <c r="AR36" s="150"/>
      <c r="AS36" s="150">
        <v>360</v>
      </c>
      <c r="AT36" s="150"/>
      <c r="AU36" s="150"/>
      <c r="AV36" s="150"/>
      <c r="AW36" s="150">
        <v>390</v>
      </c>
      <c r="AX36" s="150"/>
      <c r="AY36" s="150"/>
      <c r="AZ36" s="150">
        <v>420</v>
      </c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50"/>
    </row>
    <row r="37" spans="1:83" x14ac:dyDescent="0.25">
      <c r="A37" s="1" t="s">
        <v>17</v>
      </c>
      <c r="B37" s="1" t="s">
        <v>187</v>
      </c>
      <c r="C37" s="1" t="str">
        <f>VLOOKUP(B37,[1]Months!$A$4:$B$16,2,0)</f>
        <v>March</v>
      </c>
      <c r="D37" s="1" t="str">
        <f t="shared" si="55"/>
        <v>FY23P9B</v>
      </c>
      <c r="E37" s="1" t="str">
        <f t="shared" si="56"/>
        <v>FY23P930012034</v>
      </c>
      <c r="F37" s="1">
        <f t="shared" si="57"/>
        <v>0</v>
      </c>
      <c r="G37" s="1">
        <f t="shared" si="58"/>
        <v>0</v>
      </c>
      <c r="H37" s="1">
        <f t="shared" si="59"/>
        <v>1</v>
      </c>
      <c r="I37" s="1" t="str">
        <f t="shared" si="60"/>
        <v>45014B</v>
      </c>
      <c r="J37" s="2" t="str">
        <f t="shared" si="61"/>
        <v>45014B        FS12</v>
      </c>
      <c r="K37" s="1" t="str">
        <f t="shared" si="62"/>
        <v>FY23P9        FS12B</v>
      </c>
      <c r="L37" s="1" t="str">
        <f t="shared" si="63"/>
        <v>FY23        FS12</v>
      </c>
      <c r="M37" s="1" t="str">
        <f>IF((T37&gt;='[1]DT date range'!$A$15)*AND(T37&lt;='[1]DT date range'!$A$17), IF(U37='[1]DT date range'!$A$19, "in", IF('[1]DT date range'!$A$19="Both", "in", "out")),"out")&amp;V37</f>
        <v>in        FS12</v>
      </c>
      <c r="N37" s="1" t="str">
        <f t="shared" si="64"/>
        <v>FY23P9        FS12</v>
      </c>
      <c r="O37" s="3">
        <f>IF(ISERROR((VLOOKUP(X37,'[1]labor  rates'!$C$3:$AP$289,40,FALSE))*AZ37),((Z37/(AH37/60))*0.51*AZ37),((VLOOKUP(X37,'[1]labor  rates'!$C$3:$AP$289,40,FALSE))*AZ37))</f>
        <v>270.85500000000002</v>
      </c>
      <c r="P37" s="4">
        <f>IF(ISERROR((VLOOKUP(X37,'[1]labor  rates'!$C$3:$AP$289,40,FALSE))*CE37),((Z37/(AH37/60))*0.51*CE37),((VLOOKUP(X37,'[1]labor  rates'!$C$3:$AP$289,40,FALSE))*CE37))</f>
        <v>78.247000000000014</v>
      </c>
      <c r="Q37" s="4">
        <f>IF(ISERROR((VLOOKUP(X37,'[1]labor  rates'!$C$3:$AK$289,35,FALSE))*Z37),(Z37*30.85),((VLOOKUP(X37,'[1]labor  rates'!$C$3:$AK$289,35,FALSE))*Z37))</f>
        <v>1263.9900000000002</v>
      </c>
      <c r="R37" s="4">
        <f>IF(ISERROR((VLOOKUP(X37,'[1]labor  rates'!$C$3:$AO$289,39,FALSE))*AA37),(VLOOKUP(V37,'[1]labor  rates'!$C$3:$AO$289,39,FALSE)*AA37),(VLOOKUP(X37,'[1]labor  rates'!$C$3:$AO$289,39,FALSE))*AA37)</f>
        <v>1282.05</v>
      </c>
      <c r="S37" s="5">
        <f t="shared" si="65"/>
        <v>18.059999999999718</v>
      </c>
      <c r="T37" s="151">
        <v>45014</v>
      </c>
      <c r="U37" s="161" t="s">
        <v>18</v>
      </c>
      <c r="V37" s="150" t="s">
        <v>25</v>
      </c>
      <c r="W37" s="150">
        <v>417611</v>
      </c>
      <c r="X37" s="150">
        <v>30012034</v>
      </c>
      <c r="Y37" s="150" t="s">
        <v>206</v>
      </c>
      <c r="Z37" s="150">
        <v>35</v>
      </c>
      <c r="AA37" s="150">
        <v>5775</v>
      </c>
      <c r="AB37" s="150">
        <v>6</v>
      </c>
      <c r="AC37" s="150">
        <v>34650</v>
      </c>
      <c r="AD37" s="150">
        <v>130</v>
      </c>
      <c r="AE37" s="150">
        <v>130</v>
      </c>
      <c r="AF37" s="150">
        <v>420</v>
      </c>
      <c r="AG37" s="150">
        <v>30</v>
      </c>
      <c r="AH37" s="150">
        <v>390</v>
      </c>
      <c r="AI37" s="150">
        <v>50700</v>
      </c>
      <c r="AJ37" s="150">
        <v>8450</v>
      </c>
      <c r="AK37" s="150">
        <v>34650</v>
      </c>
      <c r="AL37" s="150">
        <v>68.34</v>
      </c>
      <c r="AM37" s="150">
        <v>78.97</v>
      </c>
      <c r="AN37" s="150">
        <v>86.54</v>
      </c>
      <c r="AO37" s="150">
        <v>100</v>
      </c>
      <c r="AP37" s="150">
        <v>10</v>
      </c>
      <c r="AQ37" s="150">
        <v>30</v>
      </c>
      <c r="AR37" s="150"/>
      <c r="AS37" s="150"/>
      <c r="AT37" s="150">
        <v>20</v>
      </c>
      <c r="AU37" s="150"/>
      <c r="AV37" s="150">
        <v>22</v>
      </c>
      <c r="AW37" s="150">
        <v>82</v>
      </c>
      <c r="AX37" s="150"/>
      <c r="AY37" s="150"/>
      <c r="AZ37" s="150">
        <v>90</v>
      </c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>
        <v>4</v>
      </c>
      <c r="BP37" s="150"/>
      <c r="BQ37" s="150"/>
      <c r="BR37" s="150"/>
      <c r="BS37" s="150">
        <v>11</v>
      </c>
      <c r="BT37" s="150"/>
      <c r="BU37" s="150">
        <v>11</v>
      </c>
      <c r="BV37" s="150"/>
      <c r="BW37" s="150"/>
      <c r="BX37" s="150"/>
      <c r="BY37" s="150"/>
      <c r="BZ37" s="150"/>
      <c r="CA37" s="150"/>
      <c r="CB37" s="150"/>
      <c r="CC37" s="150"/>
      <c r="CD37" s="150">
        <v>767</v>
      </c>
      <c r="CE37" s="150">
        <v>26</v>
      </c>
    </row>
    <row r="38" spans="1:83" x14ac:dyDescent="0.25">
      <c r="A38" s="1" t="s">
        <v>17</v>
      </c>
      <c r="B38" s="1" t="s">
        <v>187</v>
      </c>
      <c r="C38" s="1" t="str">
        <f>VLOOKUP(B38,[1]Months!$A$4:$B$16,2,0)</f>
        <v>March</v>
      </c>
      <c r="D38" s="1" t="str">
        <f t="shared" si="55"/>
        <v>FY23P9B</v>
      </c>
      <c r="E38" s="1" t="str">
        <f t="shared" si="56"/>
        <v>FY23P981719001</v>
      </c>
      <c r="F38" s="1">
        <f t="shared" si="57"/>
        <v>0</v>
      </c>
      <c r="G38" s="1">
        <f t="shared" si="58"/>
        <v>0</v>
      </c>
      <c r="H38" s="1">
        <f t="shared" si="59"/>
        <v>1</v>
      </c>
      <c r="I38" s="1" t="str">
        <f t="shared" si="60"/>
        <v>45014B</v>
      </c>
      <c r="J38" s="2" t="str">
        <f t="shared" si="61"/>
        <v>45014B        FS14</v>
      </c>
      <c r="K38" s="1" t="str">
        <f t="shared" si="62"/>
        <v>FY23P9        FS14B</v>
      </c>
      <c r="L38" s="1" t="str">
        <f t="shared" si="63"/>
        <v>FY23        FS14</v>
      </c>
      <c r="M38" s="1" t="str">
        <f>IF((T38&gt;='[1]DT date range'!$A$15)*AND(T38&lt;='[1]DT date range'!$A$17), IF(U38='[1]DT date range'!$A$19, "in", IF('[1]DT date range'!$A$19="Both", "in", "out")),"out")&amp;V38</f>
        <v>in        FS14</v>
      </c>
      <c r="N38" s="1" t="str">
        <f t="shared" si="64"/>
        <v>FY23P9        FS14</v>
      </c>
      <c r="O38" s="3">
        <f>IF(ISERROR((VLOOKUP(X38,'[1]labor  rates'!$C$3:$AP$289,40,FALSE))*AZ38),((Z38/(AH38/60))*0.51*AZ38),((VLOOKUP(X38,'[1]labor  rates'!$C$3:$AP$289,40,FALSE))*AZ38))</f>
        <v>209.27739130434782</v>
      </c>
      <c r="P38" s="4">
        <f>IF(ISERROR((VLOOKUP(X38,'[1]labor  rates'!$C$3:$AP$289,40,FALSE))*CE38),((Z38/(AH38/60))*0.51*CE38),((VLOOKUP(X38,'[1]labor  rates'!$C$3:$AP$289,40,FALSE))*CE38))</f>
        <v>1432.7452173913043</v>
      </c>
      <c r="Q38" s="4">
        <f>IF(ISERROR((VLOOKUP(X38,'[1]labor  rates'!$C$3:$AK$289,35,FALSE))*Z38),(Z38*30.85),((VLOOKUP(X38,'[1]labor  rates'!$C$3:$AK$289,35,FALSE))*Z38))</f>
        <v>1866.4250000000002</v>
      </c>
      <c r="R38" s="4">
        <f>IF(ISERROR((VLOOKUP(X38,'[1]labor  rates'!$C$3:$AO$289,39,FALSE))*AA38),(VLOOKUP(V38,'[1]labor  rates'!$C$3:$AO$289,39,FALSE)*AA38),(VLOOKUP(X38,'[1]labor  rates'!$C$3:$AO$289,39,FALSE))*AA38)</f>
        <v>483.86709999999999</v>
      </c>
      <c r="S38" s="5">
        <f t="shared" si="65"/>
        <v>-1382.5579000000002</v>
      </c>
      <c r="T38" s="151">
        <v>45014</v>
      </c>
      <c r="U38" s="161" t="s">
        <v>18</v>
      </c>
      <c r="V38" s="150" t="s">
        <v>143</v>
      </c>
      <c r="W38" s="150">
        <v>409124</v>
      </c>
      <c r="X38" s="150">
        <v>81719001</v>
      </c>
      <c r="Y38" s="150" t="s">
        <v>229</v>
      </c>
      <c r="Z38" s="150">
        <v>60.5</v>
      </c>
      <c r="AA38" s="150">
        <v>1817</v>
      </c>
      <c r="AB38" s="150">
        <v>24</v>
      </c>
      <c r="AC38" s="150">
        <v>43608</v>
      </c>
      <c r="AD38" s="150">
        <v>533</v>
      </c>
      <c r="AE38" s="150">
        <v>533</v>
      </c>
      <c r="AF38" s="150">
        <v>605</v>
      </c>
      <c r="AG38" s="150">
        <v>30</v>
      </c>
      <c r="AH38" s="150">
        <v>575</v>
      </c>
      <c r="AI38" s="150">
        <v>306475</v>
      </c>
      <c r="AJ38" s="150">
        <v>12770</v>
      </c>
      <c r="AK38" s="150">
        <v>43608</v>
      </c>
      <c r="AL38" s="150">
        <v>14.23</v>
      </c>
      <c r="AM38" s="150">
        <v>16.52</v>
      </c>
      <c r="AN38" s="150">
        <v>86.12</v>
      </c>
      <c r="AO38" s="150">
        <v>100</v>
      </c>
      <c r="AP38" s="150">
        <v>5</v>
      </c>
      <c r="AQ38" s="150">
        <v>30</v>
      </c>
      <c r="AR38" s="150"/>
      <c r="AS38" s="150"/>
      <c r="AT38" s="150"/>
      <c r="AU38" s="150"/>
      <c r="AV38" s="150">
        <v>445</v>
      </c>
      <c r="AW38" s="150">
        <v>480</v>
      </c>
      <c r="AX38" s="150"/>
      <c r="AY38" s="150"/>
      <c r="AZ38" s="150">
        <v>65</v>
      </c>
      <c r="BA38" s="150"/>
      <c r="BB38" s="150"/>
      <c r="BC38" s="150"/>
      <c r="BD38" s="150">
        <v>20</v>
      </c>
      <c r="BE38" s="150"/>
      <c r="BF38" s="150">
        <v>165</v>
      </c>
      <c r="BG38" s="150"/>
      <c r="BH38" s="150"/>
      <c r="BI38" s="150">
        <v>90</v>
      </c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>
        <v>35</v>
      </c>
      <c r="BV38" s="150"/>
      <c r="BW38" s="150"/>
      <c r="BX38" s="150"/>
      <c r="BY38" s="150"/>
      <c r="BZ38" s="150"/>
      <c r="CA38" s="150"/>
      <c r="CB38" s="150"/>
      <c r="CC38" s="150">
        <v>135</v>
      </c>
      <c r="CD38" s="150"/>
      <c r="CE38" s="150">
        <v>445</v>
      </c>
    </row>
    <row r="39" spans="1:83" x14ac:dyDescent="0.25">
      <c r="A39" s="1" t="s">
        <v>17</v>
      </c>
      <c r="B39" s="1" t="s">
        <v>187</v>
      </c>
      <c r="C39" s="1" t="str">
        <f>VLOOKUP(B39,[1]Months!$A$4:$B$16,2,0)</f>
        <v>March</v>
      </c>
      <c r="D39" s="1" t="str">
        <f t="shared" si="55"/>
        <v>FY23P9C</v>
      </c>
      <c r="E39" s="1" t="str">
        <f t="shared" si="56"/>
        <v>FY23P971608001</v>
      </c>
      <c r="F39" s="1">
        <f t="shared" si="57"/>
        <v>0</v>
      </c>
      <c r="G39" s="1">
        <f t="shared" si="58"/>
        <v>1</v>
      </c>
      <c r="H39" s="1">
        <f t="shared" si="59"/>
        <v>1</v>
      </c>
      <c r="I39" s="1" t="str">
        <f t="shared" si="60"/>
        <v>45014C</v>
      </c>
      <c r="J39" s="2" t="str">
        <f t="shared" si="61"/>
        <v>45014C        FS01</v>
      </c>
      <c r="K39" s="1" t="str">
        <f t="shared" si="62"/>
        <v>FY23P9        FS01C</v>
      </c>
      <c r="L39" s="1" t="str">
        <f t="shared" si="63"/>
        <v>FY23        FS01</v>
      </c>
      <c r="M39" s="1" t="str">
        <f>IF((T39&gt;='[1]DT date range'!$A$15)*AND(T39&lt;='[1]DT date range'!$A$17), IF(U39='[1]DT date range'!$A$19, "in", IF('[1]DT date range'!$A$19="Both", "in", "out")),"out")&amp;V39</f>
        <v>in        FS01</v>
      </c>
      <c r="N39" s="1" t="str">
        <f t="shared" si="64"/>
        <v>FY23P9        FS01</v>
      </c>
      <c r="O39" s="3">
        <f>IF(ISERROR((VLOOKUP(X39,'[1]labor  rates'!$C$3:$AP$289,40,FALSE))*AZ39),((Z39/(AH39/60))*0.51*AZ39),((VLOOKUP(X39,'[1]labor  rates'!$C$3:$AP$289,40,FALSE))*AZ39))</f>
        <v>813.3</v>
      </c>
      <c r="P39" s="4">
        <f>IF(ISERROR((VLOOKUP(X39,'[1]labor  rates'!$C$3:$AP$289,40,FALSE))*CE39),((Z39/(AH39/60))*0.51*CE39),((VLOOKUP(X39,'[1]labor  rates'!$C$3:$AP$289,40,FALSE))*CE39))</f>
        <v>1186.0625</v>
      </c>
      <c r="Q39" s="4">
        <f>IF(ISERROR((VLOOKUP(X39,'[1]labor  rates'!$C$3:$AK$289,35,FALSE))*Z39),(Z39*30.85),((VLOOKUP(X39,'[1]labor  rates'!$C$3:$AK$289,35,FALSE))*Z39))</f>
        <v>4305.7058823529405</v>
      </c>
      <c r="R39" s="4">
        <f>IF(ISERROR((VLOOKUP(X39,'[1]labor  rates'!$C$3:$AO$289,39,FALSE))*AA39),(VLOOKUP(V39,'[1]labor  rates'!$C$3:$AO$289,39,FALSE)*AA39),(VLOOKUP(X39,'[1]labor  rates'!$C$3:$AO$289,39,FALSE))*AA39)</f>
        <v>5208.2723999999998</v>
      </c>
      <c r="S39" s="5">
        <f t="shared" si="65"/>
        <v>902.5665176470593</v>
      </c>
      <c r="T39" s="151">
        <v>45014</v>
      </c>
      <c r="U39" s="161" t="s">
        <v>16</v>
      </c>
      <c r="V39" s="150" t="s">
        <v>19</v>
      </c>
      <c r="W39" s="150">
        <v>413422</v>
      </c>
      <c r="X39" s="150">
        <v>71608001</v>
      </c>
      <c r="Y39" s="150" t="s">
        <v>225</v>
      </c>
      <c r="Z39" s="150">
        <v>180</v>
      </c>
      <c r="AA39" s="150">
        <v>3306</v>
      </c>
      <c r="AB39" s="150">
        <v>6</v>
      </c>
      <c r="AC39" s="150">
        <v>19836</v>
      </c>
      <c r="AD39" s="150">
        <v>55</v>
      </c>
      <c r="AE39" s="150">
        <v>55</v>
      </c>
      <c r="AF39" s="150">
        <v>720</v>
      </c>
      <c r="AG39" s="150">
        <v>30</v>
      </c>
      <c r="AH39" s="150">
        <v>690</v>
      </c>
      <c r="AI39" s="150">
        <v>37950</v>
      </c>
      <c r="AJ39" s="150">
        <v>6325</v>
      </c>
      <c r="AK39" s="150">
        <v>19836</v>
      </c>
      <c r="AL39" s="150">
        <v>52.27</v>
      </c>
      <c r="AM39" s="150">
        <v>61.59</v>
      </c>
      <c r="AN39" s="150">
        <v>84.86</v>
      </c>
      <c r="AO39" s="150">
        <v>100</v>
      </c>
      <c r="AP39" s="150">
        <v>10</v>
      </c>
      <c r="AQ39" s="150">
        <v>60</v>
      </c>
      <c r="AR39" s="150"/>
      <c r="AS39" s="150"/>
      <c r="AT39" s="150">
        <v>20</v>
      </c>
      <c r="AU39" s="150"/>
      <c r="AV39" s="150">
        <v>175</v>
      </c>
      <c r="AW39" s="150">
        <v>265</v>
      </c>
      <c r="AX39" s="150"/>
      <c r="AY39" s="150"/>
      <c r="AZ39" s="150">
        <v>120</v>
      </c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>
        <v>15</v>
      </c>
      <c r="BL39" s="150"/>
      <c r="BM39" s="150">
        <v>15</v>
      </c>
      <c r="BN39" s="150"/>
      <c r="BO39" s="150"/>
      <c r="BP39" s="150"/>
      <c r="BQ39" s="150"/>
      <c r="BR39" s="150"/>
      <c r="BS39" s="150">
        <v>30</v>
      </c>
      <c r="BT39" s="150"/>
      <c r="BU39" s="150">
        <v>115</v>
      </c>
      <c r="BV39" s="150"/>
      <c r="BW39" s="150"/>
      <c r="BX39" s="150"/>
      <c r="BY39" s="150"/>
      <c r="BZ39" s="150"/>
      <c r="CA39" s="150"/>
      <c r="CB39" s="150"/>
      <c r="CC39" s="150"/>
      <c r="CD39" s="150">
        <v>233</v>
      </c>
      <c r="CE39" s="150">
        <v>175</v>
      </c>
    </row>
    <row r="40" spans="1:83" x14ac:dyDescent="0.25">
      <c r="A40" s="1" t="s">
        <v>17</v>
      </c>
      <c r="B40" s="1" t="s">
        <v>187</v>
      </c>
      <c r="C40" s="1" t="str">
        <f>VLOOKUP(B40,[1]Months!$A$4:$B$16,2,0)</f>
        <v>March</v>
      </c>
      <c r="D40" s="1" t="str">
        <f t="shared" si="55"/>
        <v>FY23P9C</v>
      </c>
      <c r="E40" s="1" t="str">
        <f t="shared" si="56"/>
        <v>FY23P920000054</v>
      </c>
      <c r="F40" s="1">
        <f t="shared" si="57"/>
        <v>0</v>
      </c>
      <c r="G40" s="1">
        <f t="shared" si="58"/>
        <v>0</v>
      </c>
      <c r="H40" s="1">
        <f t="shared" si="59"/>
        <v>1</v>
      </c>
      <c r="I40" s="1" t="str">
        <f t="shared" si="60"/>
        <v>45014C</v>
      </c>
      <c r="J40" s="2" t="str">
        <f t="shared" si="61"/>
        <v>45014C        FS03</v>
      </c>
      <c r="K40" s="1" t="str">
        <f t="shared" si="62"/>
        <v>FY23P9        FS03C</v>
      </c>
      <c r="L40" s="1" t="str">
        <f t="shared" si="63"/>
        <v>FY23        FS03</v>
      </c>
      <c r="M40" s="1" t="str">
        <f>IF((T40&gt;='[1]DT date range'!$A$15)*AND(T40&lt;='[1]DT date range'!$A$17), IF(U40='[1]DT date range'!$A$19, "in", IF('[1]DT date range'!$A$19="Both", "in", "out")),"out")&amp;V40</f>
        <v>in        FS03</v>
      </c>
      <c r="N40" s="1" t="str">
        <f t="shared" si="64"/>
        <v>FY23P9        FS03</v>
      </c>
      <c r="O40" s="3">
        <f>IF(ISERROR((VLOOKUP(X40,'[1]labor  rates'!$C$3:$AP$289,40,FALSE))*AZ40),((Z40/(AH40/60))*0.51*AZ40),((VLOOKUP(X40,'[1]labor  rates'!$C$3:$AP$289,40,FALSE))*AZ40))</f>
        <v>391.23500000000007</v>
      </c>
      <c r="P40" s="4">
        <f>IF(ISERROR((VLOOKUP(X40,'[1]labor  rates'!$C$3:$AP$289,40,FALSE))*CE40),((Z40/(AH40/60))*0.51*CE40),((VLOOKUP(X40,'[1]labor  rates'!$C$3:$AP$289,40,FALSE))*CE40))</f>
        <v>1522.8070000000002</v>
      </c>
      <c r="Q40" s="4">
        <f>IF(ISERROR((VLOOKUP(X40,'[1]labor  rates'!$C$3:$AK$289,35,FALSE))*Z40),(Z40*30.85),((VLOOKUP(X40,'[1]labor  rates'!$C$3:$AK$289,35,FALSE))*Z40))</f>
        <v>2166.84</v>
      </c>
      <c r="R40" s="4">
        <f>IF(ISERROR((VLOOKUP(X40,'[1]labor  rates'!$C$3:$AO$289,39,FALSE))*AA40),(VLOOKUP(V40,'[1]labor  rates'!$C$3:$AO$289,39,FALSE)*AA40),(VLOOKUP(X40,'[1]labor  rates'!$C$3:$AO$289,39,FALSE))*AA40)</f>
        <v>503.05919999999992</v>
      </c>
      <c r="S40" s="5">
        <f t="shared" si="65"/>
        <v>-1663.7808000000002</v>
      </c>
      <c r="T40" s="151">
        <v>45014</v>
      </c>
      <c r="U40" s="161" t="s">
        <v>16</v>
      </c>
      <c r="V40" s="150" t="s">
        <v>20</v>
      </c>
      <c r="W40" s="150">
        <v>417650</v>
      </c>
      <c r="X40" s="150">
        <v>20000054</v>
      </c>
      <c r="Y40" s="150" t="s">
        <v>230</v>
      </c>
      <c r="Z40" s="150">
        <v>60</v>
      </c>
      <c r="AA40" s="150">
        <v>224</v>
      </c>
      <c r="AB40" s="150">
        <v>120</v>
      </c>
      <c r="AC40" s="150">
        <v>26880</v>
      </c>
      <c r="AD40" s="150">
        <v>380</v>
      </c>
      <c r="AE40" s="150">
        <v>380</v>
      </c>
      <c r="AF40" s="150">
        <v>720</v>
      </c>
      <c r="AG40" s="150">
        <v>30</v>
      </c>
      <c r="AH40" s="150">
        <v>690</v>
      </c>
      <c r="AI40" s="150">
        <v>262200</v>
      </c>
      <c r="AJ40" s="150">
        <v>2185</v>
      </c>
      <c r="AK40" s="150">
        <v>26880</v>
      </c>
      <c r="AL40" s="150">
        <v>10.25</v>
      </c>
      <c r="AM40" s="150">
        <v>14.64</v>
      </c>
      <c r="AN40" s="150">
        <v>70.040000000000006</v>
      </c>
      <c r="AO40" s="150">
        <v>100</v>
      </c>
      <c r="AP40" s="150">
        <v>10</v>
      </c>
      <c r="AQ40" s="150">
        <v>60</v>
      </c>
      <c r="AR40" s="150"/>
      <c r="AS40" s="150"/>
      <c r="AT40" s="150">
        <v>30</v>
      </c>
      <c r="AU40" s="150"/>
      <c r="AV40" s="150">
        <v>489</v>
      </c>
      <c r="AW40" s="150">
        <v>589</v>
      </c>
      <c r="AX40" s="150"/>
      <c r="AY40" s="150"/>
      <c r="AZ40" s="150">
        <v>130</v>
      </c>
      <c r="BA40" s="150"/>
      <c r="BB40" s="150"/>
      <c r="BC40" s="150">
        <v>32</v>
      </c>
      <c r="BD40" s="150"/>
      <c r="BE40" s="150"/>
      <c r="BF40" s="150"/>
      <c r="BG40" s="150">
        <v>25</v>
      </c>
      <c r="BH40" s="150"/>
      <c r="BI40" s="150"/>
      <c r="BJ40" s="150"/>
      <c r="BK40" s="150"/>
      <c r="BL40" s="150">
        <v>131</v>
      </c>
      <c r="BM40" s="150">
        <v>4</v>
      </c>
      <c r="BN40" s="150">
        <v>105</v>
      </c>
      <c r="BO40" s="150">
        <v>9</v>
      </c>
      <c r="BP40" s="150"/>
      <c r="BQ40" s="150"/>
      <c r="BR40" s="150">
        <v>4</v>
      </c>
      <c r="BS40" s="150">
        <v>55</v>
      </c>
      <c r="BT40" s="150"/>
      <c r="BU40" s="150">
        <v>14</v>
      </c>
      <c r="BV40" s="150"/>
      <c r="BW40" s="150"/>
      <c r="BX40" s="150">
        <v>127</v>
      </c>
      <c r="BY40" s="150"/>
      <c r="BZ40" s="150"/>
      <c r="CA40" s="150"/>
      <c r="CB40" s="150"/>
      <c r="CC40" s="150"/>
      <c r="CD40" s="150"/>
      <c r="CE40" s="150">
        <v>506</v>
      </c>
    </row>
    <row r="41" spans="1:83" x14ac:dyDescent="0.25">
      <c r="A41" s="1" t="s">
        <v>17</v>
      </c>
      <c r="B41" s="1" t="s">
        <v>187</v>
      </c>
      <c r="C41" s="1" t="str">
        <f>VLOOKUP(B41,[1]Months!$A$4:$B$16,2,0)</f>
        <v>March</v>
      </c>
      <c r="D41" s="1" t="str">
        <f t="shared" si="55"/>
        <v>FY23P9C</v>
      </c>
      <c r="E41" s="1" t="str">
        <f t="shared" si="56"/>
        <v>FY23P964508017</v>
      </c>
      <c r="F41" s="1">
        <f t="shared" si="57"/>
        <v>0</v>
      </c>
      <c r="G41" s="1">
        <f t="shared" si="58"/>
        <v>0</v>
      </c>
      <c r="H41" s="1">
        <f t="shared" si="59"/>
        <v>1</v>
      </c>
      <c r="I41" s="1" t="str">
        <f t="shared" si="60"/>
        <v>45014C</v>
      </c>
      <c r="J41" s="2" t="str">
        <f t="shared" si="61"/>
        <v>45014C        FS10</v>
      </c>
      <c r="K41" s="1" t="str">
        <f t="shared" si="62"/>
        <v>FY23P9        FS10C</v>
      </c>
      <c r="L41" s="1" t="str">
        <f t="shared" si="63"/>
        <v>FY23        FS10</v>
      </c>
      <c r="M41" s="1" t="str">
        <f>IF((T41&gt;='[1]DT date range'!$A$15)*AND(T41&lt;='[1]DT date range'!$A$17), IF(U41='[1]DT date range'!$A$19, "in", IF('[1]DT date range'!$A$19="Both", "in", "out")),"out")&amp;V41</f>
        <v>in        FS10</v>
      </c>
      <c r="N41" s="1" t="str">
        <f t="shared" si="64"/>
        <v>FY23P9        FS10</v>
      </c>
      <c r="O41" s="3">
        <f>IF(ISERROR((VLOOKUP(X41,'[1]labor  rates'!$C$3:$AP$289,40,FALSE))*AZ41),((Z41/(AH41/60))*0.51*AZ41),((VLOOKUP(X41,'[1]labor  rates'!$C$3:$AP$289,40,FALSE))*AZ41))</f>
        <v>871.88499999999999</v>
      </c>
      <c r="P41" s="4">
        <f>IF(ISERROR((VLOOKUP(X41,'[1]labor  rates'!$C$3:$AP$289,40,FALSE))*CE41),((Z41/(AH41/60))*0.51*CE41),((VLOOKUP(X41,'[1]labor  rates'!$C$3:$AP$289,40,FALSE))*CE41))</f>
        <v>373.66500000000002</v>
      </c>
      <c r="Q41" s="4">
        <f>IF(ISERROR((VLOOKUP(X41,'[1]labor  rates'!$C$3:$AK$289,35,FALSE))*Z41),(Z41*30.85),((VLOOKUP(X41,'[1]labor  rates'!$C$3:$AK$289,35,FALSE))*Z41))</f>
        <v>1120.9950000000001</v>
      </c>
      <c r="R41" s="4">
        <f>IF(ISERROR((VLOOKUP(X41,'[1]labor  rates'!$C$3:$AO$289,39,FALSE))*AA41),(VLOOKUP(V41,'[1]labor  rates'!$C$3:$AO$289,39,FALSE)*AA41),(VLOOKUP(X41,'[1]labor  rates'!$C$3:$AO$289,39,FALSE))*AA41)</f>
        <v>0</v>
      </c>
      <c r="S41" s="5">
        <f t="shared" si="65"/>
        <v>-1120.9950000000001</v>
      </c>
      <c r="T41" s="151">
        <v>45014</v>
      </c>
      <c r="U41" s="161" t="s">
        <v>16</v>
      </c>
      <c r="V41" s="150" t="s">
        <v>24</v>
      </c>
      <c r="W41" s="150">
        <v>413274</v>
      </c>
      <c r="X41" s="150">
        <v>64508017</v>
      </c>
      <c r="Y41" s="150" t="s">
        <v>231</v>
      </c>
      <c r="Z41" s="150">
        <v>31.5</v>
      </c>
      <c r="AA41" s="150"/>
      <c r="AB41" s="150">
        <v>12</v>
      </c>
      <c r="AC41" s="150"/>
      <c r="AD41" s="150">
        <v>290</v>
      </c>
      <c r="AE41" s="150">
        <v>290</v>
      </c>
      <c r="AF41" s="150">
        <v>210</v>
      </c>
      <c r="AG41" s="150"/>
      <c r="AH41" s="150">
        <v>210</v>
      </c>
      <c r="AI41" s="150">
        <v>60900</v>
      </c>
      <c r="AJ41" s="150">
        <v>5075</v>
      </c>
      <c r="AK41" s="150">
        <v>0</v>
      </c>
      <c r="AL41" s="150">
        <v>0</v>
      </c>
      <c r="AM41" s="150">
        <v>-42.86</v>
      </c>
      <c r="AN41" s="150">
        <v>0</v>
      </c>
      <c r="AO41" s="150">
        <v>0</v>
      </c>
      <c r="AP41" s="150"/>
      <c r="AQ41" s="150"/>
      <c r="AR41" s="150"/>
      <c r="AS41" s="150">
        <v>210</v>
      </c>
      <c r="AT41" s="150"/>
      <c r="AU41" s="150"/>
      <c r="AV41" s="150">
        <v>90</v>
      </c>
      <c r="AW41" s="150">
        <v>300</v>
      </c>
      <c r="AX41" s="150"/>
      <c r="AY41" s="150"/>
      <c r="AZ41" s="150">
        <v>210</v>
      </c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>
        <v>90</v>
      </c>
      <c r="BN41" s="150"/>
      <c r="BO41" s="150"/>
      <c r="BP41" s="150"/>
      <c r="BQ41" s="150"/>
      <c r="BR41" s="150"/>
      <c r="BS41" s="150"/>
      <c r="BT41" s="150"/>
      <c r="BU41" s="150"/>
      <c r="BV41" s="150"/>
      <c r="BW41" s="150"/>
      <c r="BX41" s="150"/>
      <c r="BY41" s="150"/>
      <c r="BZ41" s="150"/>
      <c r="CA41" s="150"/>
      <c r="CB41" s="150"/>
      <c r="CC41" s="150"/>
      <c r="CD41" s="150"/>
      <c r="CE41" s="150">
        <v>90</v>
      </c>
    </row>
    <row r="42" spans="1:83" x14ac:dyDescent="0.25">
      <c r="A42" s="1" t="s">
        <v>17</v>
      </c>
      <c r="B42" s="1" t="s">
        <v>187</v>
      </c>
      <c r="C42" s="1" t="str">
        <f>VLOOKUP(B42,[1]Months!$A$4:$B$16,2,0)</f>
        <v>March</v>
      </c>
      <c r="D42" s="1" t="str">
        <f t="shared" si="55"/>
        <v>FY23P9C</v>
      </c>
      <c r="E42" s="1" t="str">
        <f t="shared" si="56"/>
        <v>FY23P963109031</v>
      </c>
      <c r="F42" s="1">
        <f t="shared" si="57"/>
        <v>0</v>
      </c>
      <c r="G42" s="1">
        <f t="shared" si="58"/>
        <v>0</v>
      </c>
      <c r="H42" s="1">
        <f t="shared" si="59"/>
        <v>0</v>
      </c>
      <c r="I42" s="1" t="str">
        <f t="shared" si="60"/>
        <v>45014C</v>
      </c>
      <c r="J42" s="2" t="str">
        <f t="shared" si="61"/>
        <v>45014C        FS10</v>
      </c>
      <c r="K42" s="1" t="str">
        <f t="shared" si="62"/>
        <v>FY23P9        FS10C</v>
      </c>
      <c r="L42" s="1" t="str">
        <f t="shared" si="63"/>
        <v>FY23        FS10</v>
      </c>
      <c r="M42" s="1" t="str">
        <f>IF((T42&gt;='[1]DT date range'!$A$15)*AND(T42&lt;='[1]DT date range'!$A$17), IF(U42='[1]DT date range'!$A$19, "in", IF('[1]DT date range'!$A$19="Both", "in", "out")),"out")&amp;V42</f>
        <v>in        FS10</v>
      </c>
      <c r="N42" s="1" t="str">
        <f t="shared" si="64"/>
        <v>FY23P9        FS10</v>
      </c>
      <c r="O42" s="3">
        <f>IF(ISERROR((VLOOKUP(X42,'[1]labor  rates'!$C$3:$AP$289,40,FALSE))*AZ42),((Z42/(AH42/60))*0.51*AZ42),((VLOOKUP(X42,'[1]labor  rates'!$C$3:$AP$289,40,FALSE))*AZ42))</f>
        <v>321.3</v>
      </c>
      <c r="P42" s="4">
        <f>IF(ISERROR((VLOOKUP(X42,'[1]labor  rates'!$C$3:$AP$289,40,FALSE))*CE42),((Z42/(AH42/60))*0.51*CE42),((VLOOKUP(X42,'[1]labor  rates'!$C$3:$AP$289,40,FALSE))*CE42))</f>
        <v>107.10000000000001</v>
      </c>
      <c r="Q42" s="4">
        <f>IF(ISERROR((VLOOKUP(X42,'[1]labor  rates'!$C$3:$AK$289,35,FALSE))*Z42),(Z42*30.85),((VLOOKUP(X42,'[1]labor  rates'!$C$3:$AK$289,35,FALSE))*Z42))</f>
        <v>539.875</v>
      </c>
      <c r="R42" s="4">
        <f>IF(ISERROR((VLOOKUP(X42,'[1]labor  rates'!$C$3:$AO$289,39,FALSE))*AA42),(VLOOKUP(V42,'[1]labor  rates'!$C$3:$AO$289,39,FALSE)*AA42),(VLOOKUP(X42,'[1]labor  rates'!$C$3:$AO$289,39,FALSE))*AA42)</f>
        <v>0</v>
      </c>
      <c r="S42" s="5">
        <f t="shared" si="65"/>
        <v>-539.875</v>
      </c>
      <c r="T42" s="151">
        <v>45014</v>
      </c>
      <c r="U42" s="161" t="s">
        <v>16</v>
      </c>
      <c r="V42" s="150" t="s">
        <v>24</v>
      </c>
      <c r="W42" s="150">
        <v>425332</v>
      </c>
      <c r="X42" s="150">
        <v>63109031</v>
      </c>
      <c r="Y42" s="150" t="s">
        <v>227</v>
      </c>
      <c r="Z42" s="150">
        <v>17.5</v>
      </c>
      <c r="AA42" s="150"/>
      <c r="AB42" s="150">
        <v>12</v>
      </c>
      <c r="AC42" s="150"/>
      <c r="AD42" s="150">
        <v>250</v>
      </c>
      <c r="AE42" s="150">
        <v>250</v>
      </c>
      <c r="AF42" s="150">
        <v>150</v>
      </c>
      <c r="AG42" s="150"/>
      <c r="AH42" s="150">
        <v>150</v>
      </c>
      <c r="AI42" s="150">
        <v>37500</v>
      </c>
      <c r="AJ42" s="150">
        <v>3125</v>
      </c>
      <c r="AK42" s="150">
        <v>0</v>
      </c>
      <c r="AL42" s="150">
        <v>0</v>
      </c>
      <c r="AM42" s="150">
        <v>0</v>
      </c>
      <c r="AN42" s="150">
        <v>0</v>
      </c>
      <c r="AO42" s="150">
        <v>0</v>
      </c>
      <c r="AP42" s="150"/>
      <c r="AQ42" s="150"/>
      <c r="AR42" s="150"/>
      <c r="AS42" s="150">
        <v>60</v>
      </c>
      <c r="AT42" s="150">
        <v>30</v>
      </c>
      <c r="AU42" s="150"/>
      <c r="AV42" s="150">
        <v>60</v>
      </c>
      <c r="AW42" s="150">
        <v>150</v>
      </c>
      <c r="AX42" s="150"/>
      <c r="AY42" s="150"/>
      <c r="AZ42" s="150">
        <v>90</v>
      </c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0"/>
      <c r="BS42" s="150">
        <v>30</v>
      </c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>
        <v>1</v>
      </c>
      <c r="CE42" s="150">
        <v>30</v>
      </c>
    </row>
    <row r="43" spans="1:83" x14ac:dyDescent="0.25">
      <c r="A43" s="1" t="s">
        <v>17</v>
      </c>
      <c r="B43" s="1" t="s">
        <v>187</v>
      </c>
      <c r="C43" s="1" t="str">
        <f>VLOOKUP(B43,[1]Months!$A$4:$B$16,2,0)</f>
        <v>March</v>
      </c>
      <c r="D43" s="1" t="str">
        <f t="shared" si="55"/>
        <v>FY23P9C</v>
      </c>
      <c r="E43" s="1" t="str">
        <f t="shared" si="56"/>
        <v>FY23P964509017</v>
      </c>
      <c r="F43" s="1">
        <f t="shared" si="57"/>
        <v>0</v>
      </c>
      <c r="G43" s="1">
        <f t="shared" si="58"/>
        <v>0</v>
      </c>
      <c r="H43" s="1">
        <f t="shared" si="59"/>
        <v>0</v>
      </c>
      <c r="I43" s="1" t="str">
        <f t="shared" si="60"/>
        <v>45014C</v>
      </c>
      <c r="J43" s="2" t="str">
        <f t="shared" si="61"/>
        <v>45014C        FS10</v>
      </c>
      <c r="K43" s="1" t="str">
        <f t="shared" si="62"/>
        <v>FY23P9        FS10C</v>
      </c>
      <c r="L43" s="1" t="str">
        <f t="shared" si="63"/>
        <v>FY23        FS10</v>
      </c>
      <c r="M43" s="1" t="str">
        <f>IF((T43&gt;='[1]DT date range'!$A$15)*AND(T43&lt;='[1]DT date range'!$A$17), IF(U43='[1]DT date range'!$A$19, "in", IF('[1]DT date range'!$A$19="Both", "in", "out")),"out")&amp;V43</f>
        <v>in        FS10</v>
      </c>
      <c r="N43" s="1" t="str">
        <f t="shared" si="64"/>
        <v>FY23P9        FS10</v>
      </c>
      <c r="O43" s="3">
        <f>IF(ISERROR((VLOOKUP(X43,'[1]labor  rates'!$C$3:$AP$289,40,FALSE))*AZ43),((Z43/(AH43/60))*0.51*AZ43),((VLOOKUP(X43,'[1]labor  rates'!$C$3:$AP$289,40,FALSE))*AZ43))</f>
        <v>114.75</v>
      </c>
      <c r="P43" s="4">
        <f>IF(ISERROR((VLOOKUP(X43,'[1]labor  rates'!$C$3:$AP$289,40,FALSE))*CE43),((Z43/(AH43/60))*0.51*CE43),((VLOOKUP(X43,'[1]labor  rates'!$C$3:$AP$289,40,FALSE))*CE43))</f>
        <v>582.92999999999995</v>
      </c>
      <c r="Q43" s="4">
        <f>IF(ISERROR((VLOOKUP(X43,'[1]labor  rates'!$C$3:$AK$289,35,FALSE))*Z43),(Z43*30.85),((VLOOKUP(X43,'[1]labor  rates'!$C$3:$AK$289,35,FALSE))*Z43))</f>
        <v>1203.1500000000001</v>
      </c>
      <c r="R43" s="4">
        <f>IF(ISERROR((VLOOKUP(X43,'[1]labor  rates'!$C$3:$AO$289,39,FALSE))*AA43),(VLOOKUP(V43,'[1]labor  rates'!$C$3:$AO$289,39,FALSE)*AA43),(VLOOKUP(X43,'[1]labor  rates'!$C$3:$AO$289,39,FALSE))*AA43)</f>
        <v>920.14560000000006</v>
      </c>
      <c r="S43" s="5">
        <f t="shared" si="65"/>
        <v>-283.00440000000003</v>
      </c>
      <c r="T43" s="151">
        <v>45014</v>
      </c>
      <c r="U43" s="161" t="s">
        <v>16</v>
      </c>
      <c r="V43" s="150" t="s">
        <v>24</v>
      </c>
      <c r="W43" s="150">
        <v>412452</v>
      </c>
      <c r="X43" s="150">
        <v>64509017</v>
      </c>
      <c r="Y43" s="150" t="s">
        <v>228</v>
      </c>
      <c r="Z43" s="150">
        <v>39</v>
      </c>
      <c r="AA43" s="150">
        <v>1776</v>
      </c>
      <c r="AB43" s="150">
        <v>6</v>
      </c>
      <c r="AC43" s="150">
        <v>10656</v>
      </c>
      <c r="AD43" s="150">
        <v>180</v>
      </c>
      <c r="AE43" s="150">
        <v>180</v>
      </c>
      <c r="AF43" s="150">
        <v>260</v>
      </c>
      <c r="AG43" s="150"/>
      <c r="AH43" s="150">
        <v>260</v>
      </c>
      <c r="AI43" s="150">
        <v>46800</v>
      </c>
      <c r="AJ43" s="150">
        <v>7800</v>
      </c>
      <c r="AK43" s="150">
        <v>10656</v>
      </c>
      <c r="AL43" s="150">
        <v>22.77</v>
      </c>
      <c r="AM43" s="150">
        <v>41.54</v>
      </c>
      <c r="AN43" s="150">
        <v>54.81</v>
      </c>
      <c r="AO43" s="150">
        <v>100</v>
      </c>
      <c r="AP43" s="150">
        <v>10</v>
      </c>
      <c r="AQ43" s="150">
        <v>15</v>
      </c>
      <c r="AR43" s="150"/>
      <c r="AS43" s="150"/>
      <c r="AT43" s="150"/>
      <c r="AU43" s="150"/>
      <c r="AV43" s="150">
        <v>127</v>
      </c>
      <c r="AW43" s="150">
        <v>152</v>
      </c>
      <c r="AX43" s="150"/>
      <c r="AY43" s="150"/>
      <c r="AZ43" s="150">
        <v>25</v>
      </c>
      <c r="BA43" s="150"/>
      <c r="BB43" s="150"/>
      <c r="BC43" s="150">
        <v>15</v>
      </c>
      <c r="BD43" s="150"/>
      <c r="BE43" s="150"/>
      <c r="BF43" s="150"/>
      <c r="BG43" s="150"/>
      <c r="BH43" s="150"/>
      <c r="BI43" s="150"/>
      <c r="BJ43" s="150"/>
      <c r="BK43" s="150"/>
      <c r="BL43" s="150"/>
      <c r="BM43" s="150">
        <v>15</v>
      </c>
      <c r="BN43" s="150">
        <v>15</v>
      </c>
      <c r="BO43" s="150"/>
      <c r="BP43" s="150">
        <v>25</v>
      </c>
      <c r="BQ43" s="150"/>
      <c r="BR43" s="150"/>
      <c r="BS43" s="150"/>
      <c r="BT43" s="150"/>
      <c r="BU43" s="150">
        <v>30</v>
      </c>
      <c r="BV43" s="150">
        <v>27</v>
      </c>
      <c r="BW43" s="150"/>
      <c r="BX43" s="150"/>
      <c r="BY43" s="150"/>
      <c r="BZ43" s="150"/>
      <c r="CA43" s="150"/>
      <c r="CB43" s="150"/>
      <c r="CC43" s="150"/>
      <c r="CD43" s="150">
        <v>334</v>
      </c>
      <c r="CE43" s="150">
        <v>127</v>
      </c>
    </row>
    <row r="44" spans="1:83" x14ac:dyDescent="0.25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3"/>
      <c r="P44" s="4"/>
      <c r="Q44" s="4"/>
      <c r="R44" s="4"/>
      <c r="S44" s="5"/>
      <c r="T44" s="151"/>
      <c r="U44" s="161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</row>
    <row r="45" spans="1:83" x14ac:dyDescent="0.25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3"/>
      <c r="P45" s="4"/>
      <c r="Q45" s="4"/>
      <c r="R45" s="4"/>
      <c r="S45" s="5"/>
      <c r="T45" s="151"/>
      <c r="U45" s="161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0"/>
      <c r="BL45" s="150"/>
      <c r="BM45" s="150"/>
      <c r="BN45" s="150"/>
      <c r="BO45" s="150"/>
      <c r="BP45" s="150"/>
      <c r="BQ45" s="150"/>
      <c r="BR45" s="150"/>
      <c r="BS45" s="150"/>
      <c r="BT45" s="150"/>
      <c r="BU45" s="150"/>
      <c r="BV45" s="150"/>
      <c r="BW45" s="150"/>
      <c r="BX45" s="150"/>
      <c r="BY45" s="150"/>
      <c r="BZ45" s="150"/>
      <c r="CA45" s="150"/>
      <c r="CB45" s="150"/>
      <c r="CC45" s="150"/>
      <c r="CD45" s="150"/>
      <c r="CE45" s="150"/>
    </row>
    <row r="46" spans="1:83" x14ac:dyDescent="0.25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3"/>
      <c r="P46" s="4"/>
      <c r="Q46" s="4"/>
      <c r="R46" s="4"/>
      <c r="S46" s="5"/>
      <c r="T46" s="151"/>
      <c r="U46" s="161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50"/>
      <c r="BR46" s="150"/>
      <c r="BS46" s="150"/>
      <c r="BT46" s="150"/>
      <c r="BU46" s="150"/>
      <c r="BV46" s="150"/>
      <c r="BW46" s="150"/>
      <c r="BX46" s="150"/>
      <c r="BY46" s="150"/>
      <c r="BZ46" s="150"/>
      <c r="CA46" s="150"/>
      <c r="CB46" s="150"/>
      <c r="CC46" s="150"/>
      <c r="CD46" s="150"/>
      <c r="CE46" s="150"/>
    </row>
    <row r="47" spans="1:83" x14ac:dyDescent="0.25">
      <c r="A47" s="1"/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3"/>
      <c r="P47" s="4"/>
      <c r="Q47" s="4"/>
      <c r="R47" s="4"/>
      <c r="S47" s="5"/>
      <c r="T47" s="151"/>
      <c r="U47" s="161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  <c r="BF47" s="150"/>
      <c r="BG47" s="150"/>
      <c r="BH47" s="150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50"/>
      <c r="BT47" s="150"/>
      <c r="BU47" s="150"/>
      <c r="BV47" s="150"/>
      <c r="BW47" s="150"/>
      <c r="BX47" s="150"/>
      <c r="BY47" s="150"/>
      <c r="BZ47" s="150"/>
      <c r="CA47" s="150"/>
      <c r="CB47" s="150"/>
      <c r="CC47" s="150"/>
      <c r="CD47" s="150"/>
      <c r="CE47" s="150"/>
    </row>
    <row r="48" spans="1:83" x14ac:dyDescent="0.25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3"/>
      <c r="P48" s="4"/>
      <c r="Q48" s="4"/>
      <c r="R48" s="4"/>
      <c r="S48" s="5"/>
      <c r="T48" s="151"/>
      <c r="U48" s="161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150"/>
      <c r="CA48" s="150"/>
      <c r="CB48" s="150"/>
      <c r="CC48" s="150"/>
      <c r="CD48" s="150"/>
      <c r="CE48" s="150"/>
    </row>
    <row r="49" spans="1:83" x14ac:dyDescent="0.25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3"/>
      <c r="P49" s="4"/>
      <c r="Q49" s="4"/>
      <c r="R49" s="4"/>
      <c r="S49" s="5"/>
      <c r="T49" s="151"/>
      <c r="U49" s="161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  <c r="CE49" s="150"/>
    </row>
    <row r="50" spans="1:83" x14ac:dyDescent="0.25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3"/>
      <c r="P50" s="4"/>
      <c r="Q50" s="4"/>
      <c r="R50" s="4"/>
      <c r="S50" s="5"/>
      <c r="T50" s="151"/>
      <c r="U50" s="161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  <c r="CE50" s="150"/>
    </row>
    <row r="51" spans="1:83" x14ac:dyDescent="0.25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3"/>
      <c r="P51" s="4"/>
      <c r="Q51" s="4"/>
      <c r="R51" s="4"/>
      <c r="S51" s="5"/>
      <c r="T51" s="151"/>
      <c r="U51" s="161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  <c r="CE51" s="150"/>
    </row>
    <row r="52" spans="1:83" x14ac:dyDescent="0.25">
      <c r="A52" s="1"/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3"/>
      <c r="P52" s="4"/>
      <c r="Q52" s="4"/>
      <c r="R52" s="4"/>
      <c r="S52" s="5"/>
      <c r="T52" s="151"/>
      <c r="U52" s="161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</row>
    <row r="53" spans="1:83" x14ac:dyDescent="0.25">
      <c r="A53" s="1"/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3"/>
      <c r="P53" s="4"/>
      <c r="Q53" s="4"/>
      <c r="R53" s="4"/>
      <c r="S53" s="5"/>
      <c r="T53" s="151"/>
      <c r="U53" s="161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I53" s="150"/>
      <c r="BJ53" s="150"/>
      <c r="BK53" s="150"/>
      <c r="BL53" s="150"/>
      <c r="BM53" s="150"/>
      <c r="BN53" s="150"/>
      <c r="BO53" s="150"/>
      <c r="BP53" s="150"/>
      <c r="BQ53" s="150"/>
      <c r="BR53" s="150"/>
      <c r="BS53" s="150"/>
      <c r="BT53" s="150"/>
      <c r="BU53" s="150"/>
      <c r="BV53" s="150"/>
      <c r="BW53" s="150"/>
      <c r="BX53" s="150"/>
      <c r="BY53" s="150"/>
      <c r="BZ53" s="150"/>
      <c r="CA53" s="150"/>
      <c r="CB53" s="150"/>
      <c r="CC53" s="150"/>
      <c r="CD53" s="150"/>
      <c r="CE53" s="150"/>
    </row>
    <row r="54" spans="1:83" x14ac:dyDescent="0.25">
      <c r="A54" s="1"/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3"/>
      <c r="P54" s="4"/>
      <c r="Q54" s="4"/>
      <c r="R54" s="4"/>
      <c r="S54" s="5"/>
      <c r="T54" s="151"/>
      <c r="U54" s="161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I54" s="150"/>
      <c r="BJ54" s="150"/>
      <c r="BK54" s="150"/>
      <c r="BL54" s="150"/>
      <c r="BM54" s="150"/>
      <c r="BN54" s="150"/>
      <c r="BO54" s="150"/>
      <c r="BP54" s="150"/>
      <c r="BQ54" s="150"/>
      <c r="BR54" s="150"/>
      <c r="BS54" s="150"/>
      <c r="BT54" s="150"/>
      <c r="BU54" s="150"/>
      <c r="BV54" s="150"/>
      <c r="BW54" s="150"/>
      <c r="BX54" s="150"/>
      <c r="BY54" s="150"/>
      <c r="BZ54" s="150"/>
      <c r="CA54" s="150"/>
      <c r="CB54" s="150"/>
      <c r="CC54" s="150"/>
      <c r="CD54" s="150"/>
      <c r="CE54" s="150"/>
    </row>
    <row r="55" spans="1:83" x14ac:dyDescent="0.25">
      <c r="A55" s="1"/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3"/>
      <c r="P55" s="4"/>
      <c r="Q55" s="4"/>
      <c r="R55" s="4"/>
      <c r="S55" s="5"/>
      <c r="T55" s="151"/>
      <c r="U55" s="161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I55" s="150"/>
      <c r="BJ55" s="150"/>
      <c r="BK55" s="150"/>
      <c r="BL55" s="150"/>
      <c r="BM55" s="150"/>
      <c r="BN55" s="150"/>
      <c r="BO55" s="150"/>
      <c r="BP55" s="150"/>
      <c r="BQ55" s="150"/>
      <c r="BR55" s="150"/>
      <c r="BS55" s="150"/>
      <c r="BT55" s="150"/>
      <c r="BU55" s="150"/>
      <c r="BV55" s="150"/>
      <c r="BW55" s="150"/>
      <c r="BX55" s="150"/>
      <c r="BY55" s="150"/>
      <c r="BZ55" s="150"/>
      <c r="CA55" s="150"/>
      <c r="CB55" s="150"/>
      <c r="CC55" s="150"/>
      <c r="CD55" s="150"/>
      <c r="CE55" s="150"/>
    </row>
    <row r="56" spans="1:83" x14ac:dyDescent="0.25">
      <c r="A56" s="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3"/>
      <c r="P56" s="4"/>
      <c r="Q56" s="4"/>
      <c r="R56" s="4"/>
      <c r="S56" s="5"/>
      <c r="T56" s="151"/>
      <c r="U56" s="161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I56" s="150"/>
      <c r="BJ56" s="150"/>
      <c r="BK56" s="150"/>
      <c r="BL56" s="150"/>
      <c r="BM56" s="150"/>
      <c r="BN56" s="150"/>
      <c r="BO56" s="150"/>
      <c r="BP56" s="150"/>
      <c r="BQ56" s="150"/>
      <c r="BR56" s="150"/>
      <c r="BS56" s="150"/>
      <c r="BT56" s="150"/>
      <c r="BU56" s="150"/>
      <c r="BV56" s="150"/>
      <c r="BW56" s="150"/>
      <c r="BX56" s="150"/>
      <c r="BY56" s="150"/>
      <c r="BZ56" s="150"/>
      <c r="CA56" s="150"/>
      <c r="CB56" s="150"/>
      <c r="CC56" s="150"/>
      <c r="CD56" s="150"/>
      <c r="CE56" s="150"/>
    </row>
    <row r="57" spans="1:83" x14ac:dyDescent="0.25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3"/>
      <c r="P57" s="4"/>
      <c r="Q57" s="4"/>
      <c r="R57" s="4"/>
      <c r="S57" s="5"/>
      <c r="T57" s="151"/>
      <c r="U57" s="161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  <c r="BT57" s="150"/>
      <c r="BU57" s="150"/>
      <c r="BV57" s="150"/>
      <c r="BW57" s="150"/>
      <c r="BX57" s="150"/>
      <c r="BY57" s="150"/>
      <c r="BZ57" s="150"/>
      <c r="CA57" s="150"/>
      <c r="CB57" s="150"/>
      <c r="CC57" s="150"/>
      <c r="CD57" s="150"/>
      <c r="CE57" s="150"/>
    </row>
    <row r="58" spans="1:83" x14ac:dyDescent="0.25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3"/>
      <c r="P58" s="4"/>
      <c r="Q58" s="4"/>
      <c r="R58" s="4"/>
      <c r="S58" s="5"/>
      <c r="T58" s="151"/>
      <c r="U58" s="161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I58" s="150"/>
      <c r="BJ58" s="150"/>
      <c r="BK58" s="150"/>
      <c r="BL58" s="150"/>
      <c r="BM58" s="150"/>
      <c r="BN58" s="150"/>
      <c r="BO58" s="150"/>
      <c r="BP58" s="150"/>
      <c r="BQ58" s="150"/>
      <c r="BR58" s="150"/>
      <c r="BS58" s="150"/>
      <c r="BT58" s="150"/>
      <c r="BU58" s="150"/>
      <c r="BV58" s="150"/>
      <c r="BW58" s="150"/>
      <c r="BX58" s="150"/>
      <c r="BY58" s="150"/>
      <c r="BZ58" s="150"/>
      <c r="CA58" s="150"/>
      <c r="CB58" s="150"/>
      <c r="CC58" s="150"/>
      <c r="CD58" s="150"/>
      <c r="CE58" s="150"/>
    </row>
    <row r="59" spans="1:83" x14ac:dyDescent="0.25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3"/>
      <c r="P59" s="4"/>
      <c r="Q59" s="4"/>
      <c r="R59" s="4"/>
      <c r="S59" s="5"/>
      <c r="T59" s="151"/>
      <c r="U59" s="161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I59" s="150"/>
      <c r="BJ59" s="150"/>
      <c r="BK59" s="150"/>
      <c r="BL59" s="150"/>
      <c r="BM59" s="150"/>
      <c r="BN59" s="150"/>
      <c r="BO59" s="150"/>
      <c r="BP59" s="150"/>
      <c r="BQ59" s="150"/>
      <c r="BR59" s="150"/>
      <c r="BS59" s="150"/>
      <c r="BT59" s="150"/>
      <c r="BU59" s="150"/>
      <c r="BV59" s="150"/>
      <c r="BW59" s="150"/>
      <c r="BX59" s="150"/>
      <c r="BY59" s="150"/>
      <c r="BZ59" s="150"/>
      <c r="CA59" s="150"/>
      <c r="CB59" s="150"/>
      <c r="CC59" s="150"/>
      <c r="CD59" s="150"/>
      <c r="CE59" s="150"/>
    </row>
    <row r="60" spans="1:83" x14ac:dyDescent="0.25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3"/>
      <c r="P60" s="4"/>
      <c r="Q60" s="4"/>
      <c r="R60" s="4"/>
      <c r="S60" s="5"/>
      <c r="T60" s="151"/>
      <c r="U60" s="161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I60" s="150"/>
      <c r="BJ60" s="150"/>
      <c r="BK60" s="150"/>
      <c r="BL60" s="150"/>
      <c r="BM60" s="150"/>
      <c r="BN60" s="150"/>
      <c r="BO60" s="150"/>
      <c r="BP60" s="150"/>
      <c r="BQ60" s="150"/>
      <c r="BR60" s="150"/>
      <c r="BS60" s="150"/>
      <c r="BT60" s="150"/>
      <c r="BU60" s="150"/>
      <c r="BV60" s="150"/>
      <c r="BW60" s="150"/>
      <c r="BX60" s="150"/>
      <c r="BY60" s="150"/>
      <c r="BZ60" s="150"/>
      <c r="CA60" s="150"/>
      <c r="CB60" s="150"/>
      <c r="CC60" s="150"/>
      <c r="CD60" s="150"/>
      <c r="CE60" s="150"/>
    </row>
    <row r="61" spans="1:83" x14ac:dyDescent="0.25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3"/>
      <c r="P61" s="4"/>
      <c r="Q61" s="4"/>
      <c r="R61" s="4"/>
      <c r="S61" s="5"/>
      <c r="T61" s="151"/>
      <c r="U61" s="161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I61" s="150"/>
      <c r="BJ61" s="150"/>
      <c r="BK61" s="150"/>
      <c r="BL61" s="150"/>
      <c r="BM61" s="150"/>
      <c r="BN61" s="150"/>
      <c r="BO61" s="150"/>
      <c r="BP61" s="150"/>
      <c r="BQ61" s="150"/>
      <c r="BR61" s="150"/>
      <c r="BS61" s="150"/>
      <c r="BT61" s="150"/>
      <c r="BU61" s="150"/>
      <c r="BV61" s="150"/>
      <c r="BW61" s="150"/>
      <c r="BX61" s="150"/>
      <c r="BY61" s="150"/>
      <c r="BZ61" s="150"/>
      <c r="CA61" s="150"/>
      <c r="CB61" s="150"/>
      <c r="CC61" s="150"/>
      <c r="CD61" s="150"/>
      <c r="CE61" s="150"/>
    </row>
    <row r="62" spans="1:83" x14ac:dyDescent="0.25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3"/>
      <c r="P62" s="4"/>
      <c r="Q62" s="4"/>
      <c r="R62" s="4"/>
      <c r="S62" s="5"/>
      <c r="T62" s="151"/>
      <c r="U62" s="161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I62" s="150"/>
      <c r="BJ62" s="150"/>
      <c r="BK62" s="150"/>
      <c r="BL62" s="150"/>
      <c r="BM62" s="150"/>
      <c r="BN62" s="150"/>
      <c r="BO62" s="150"/>
      <c r="BP62" s="150"/>
      <c r="BQ62" s="150"/>
      <c r="BR62" s="150"/>
      <c r="BS62" s="150"/>
      <c r="BT62" s="150"/>
      <c r="BU62" s="150"/>
      <c r="BV62" s="150"/>
      <c r="BW62" s="150"/>
      <c r="BX62" s="150"/>
      <c r="BY62" s="150"/>
      <c r="BZ62" s="150"/>
      <c r="CA62" s="150"/>
      <c r="CB62" s="150"/>
      <c r="CC62" s="150"/>
      <c r="CD62" s="150"/>
      <c r="CE62" s="150"/>
    </row>
    <row r="63" spans="1:83" x14ac:dyDescent="0.25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3"/>
      <c r="P63" s="4"/>
      <c r="Q63" s="4"/>
      <c r="R63" s="4"/>
      <c r="S63" s="5"/>
      <c r="T63" s="151"/>
      <c r="U63" s="161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  <c r="BI63" s="150"/>
      <c r="BJ63" s="150"/>
      <c r="BK63" s="150"/>
      <c r="BL63" s="150"/>
      <c r="BM63" s="150"/>
      <c r="BN63" s="150"/>
      <c r="BO63" s="150"/>
      <c r="BP63" s="150"/>
      <c r="BQ63" s="150"/>
      <c r="BR63" s="150"/>
      <c r="BS63" s="150"/>
      <c r="BT63" s="150"/>
      <c r="BU63" s="150"/>
      <c r="BV63" s="150"/>
      <c r="BW63" s="150"/>
      <c r="BX63" s="150"/>
      <c r="BY63" s="150"/>
      <c r="BZ63" s="150"/>
      <c r="CA63" s="150"/>
      <c r="CB63" s="150"/>
      <c r="CC63" s="150"/>
      <c r="CD63" s="150"/>
      <c r="CE63" s="150"/>
    </row>
    <row r="64" spans="1:83" x14ac:dyDescent="0.25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3"/>
      <c r="P64" s="4"/>
      <c r="Q64" s="4"/>
      <c r="R64" s="4"/>
      <c r="S64" s="5"/>
      <c r="T64" s="151"/>
      <c r="U64" s="161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  <c r="BI64" s="150"/>
      <c r="BJ64" s="150"/>
      <c r="BK64" s="150"/>
      <c r="BL64" s="150"/>
      <c r="BM64" s="150"/>
      <c r="BN64" s="150"/>
      <c r="BO64" s="150"/>
      <c r="BP64" s="150"/>
      <c r="BQ64" s="150"/>
      <c r="BR64" s="150"/>
      <c r="BS64" s="150"/>
      <c r="BT64" s="150"/>
      <c r="BU64" s="150"/>
      <c r="BV64" s="150"/>
      <c r="BW64" s="150"/>
      <c r="BX64" s="150"/>
      <c r="BY64" s="150"/>
      <c r="BZ64" s="150"/>
      <c r="CA64" s="150"/>
      <c r="CB64" s="150"/>
      <c r="CC64" s="150"/>
      <c r="CD64" s="150"/>
      <c r="CE64" s="150"/>
    </row>
    <row r="65" spans="1:83" x14ac:dyDescent="0.25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3"/>
      <c r="P65" s="4"/>
      <c r="Q65" s="4"/>
      <c r="R65" s="4"/>
      <c r="S65" s="5"/>
      <c r="T65" s="151"/>
      <c r="U65" s="161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  <c r="BF65" s="150"/>
      <c r="BG65" s="150"/>
      <c r="BH65" s="150"/>
      <c r="BI65" s="150"/>
      <c r="BJ65" s="150"/>
      <c r="BK65" s="150"/>
      <c r="BL65" s="150"/>
      <c r="BM65" s="150"/>
      <c r="BN65" s="150"/>
      <c r="BO65" s="150"/>
      <c r="BP65" s="150"/>
      <c r="BQ65" s="150"/>
      <c r="BR65" s="150"/>
      <c r="BS65" s="150"/>
      <c r="BT65" s="150"/>
      <c r="BU65" s="150"/>
      <c r="BV65" s="150"/>
      <c r="BW65" s="150"/>
      <c r="BX65" s="150"/>
      <c r="BY65" s="150"/>
      <c r="BZ65" s="150"/>
      <c r="CA65" s="150"/>
      <c r="CB65" s="150"/>
      <c r="CC65" s="150"/>
      <c r="CD65" s="150"/>
      <c r="CE65" s="150"/>
    </row>
    <row r="66" spans="1:83" x14ac:dyDescent="0.25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3"/>
      <c r="P66" s="4"/>
      <c r="Q66" s="4"/>
      <c r="R66" s="4"/>
      <c r="S66" s="5"/>
      <c r="T66" s="151"/>
      <c r="U66" s="161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</row>
    <row r="67" spans="1:83" x14ac:dyDescent="0.25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3"/>
      <c r="P67" s="4"/>
      <c r="Q67" s="4"/>
      <c r="R67" s="4"/>
      <c r="S67" s="5"/>
      <c r="T67" s="151"/>
      <c r="U67" s="161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  <c r="BT67" s="150"/>
      <c r="BU67" s="150"/>
      <c r="BV67" s="150"/>
      <c r="BW67" s="150"/>
      <c r="BX67" s="150"/>
      <c r="BY67" s="150"/>
      <c r="BZ67" s="150"/>
      <c r="CA67" s="150"/>
      <c r="CB67" s="150"/>
      <c r="CC67" s="150"/>
      <c r="CD67" s="150"/>
      <c r="CE67" s="150"/>
    </row>
  </sheetData>
  <autoFilter ref="A1:CE2" xr:uid="{C4873F27-326D-4BC0-A58A-0EE72C03F39F}"/>
  <phoneticPr fontId="6" type="noConversion"/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7C-48E2-4222-B5B4-96E0D040CD66}">
  <sheetPr codeName="Sheet3"/>
  <dimension ref="B1:AO281"/>
  <sheetViews>
    <sheetView workbookViewId="0"/>
  </sheetViews>
  <sheetFormatPr defaultRowHeight="15" x14ac:dyDescent="0.25"/>
  <cols>
    <col min="2" max="2" width="12.140625" bestFit="1" customWidth="1"/>
    <col min="3" max="3" width="19.42578125" bestFit="1" customWidth="1"/>
    <col min="4" max="4" width="7.140625" bestFit="1" customWidth="1"/>
    <col min="5" max="5" width="11.85546875" bestFit="1" customWidth="1"/>
    <col min="6" max="6" width="16.42578125" bestFit="1" customWidth="1"/>
    <col min="7" max="7" width="7.140625" bestFit="1" customWidth="1"/>
    <col min="8" max="8" width="12.42578125" bestFit="1" customWidth="1"/>
    <col min="9" max="9" width="13.28515625" bestFit="1" customWidth="1"/>
    <col min="10" max="11" width="10.28515625" bestFit="1" customWidth="1"/>
    <col min="12" max="12" width="9.7109375" bestFit="1" customWidth="1"/>
    <col min="13" max="13" width="9.28515625" bestFit="1" customWidth="1"/>
    <col min="14" max="14" width="11.42578125" bestFit="1" customWidth="1"/>
    <col min="15" max="15" width="7.85546875" bestFit="1" customWidth="1"/>
    <col min="16" max="16" width="7.140625" bestFit="1" customWidth="1"/>
    <col min="17" max="17" width="7.28515625" bestFit="1" customWidth="1"/>
    <col min="18" max="18" width="19.7109375" bestFit="1" customWidth="1"/>
    <col min="19" max="19" width="12.42578125" bestFit="1" customWidth="1"/>
    <col min="20" max="20" width="21.42578125" bestFit="1" customWidth="1"/>
    <col min="21" max="21" width="7.5703125" bestFit="1" customWidth="1"/>
    <col min="22" max="22" width="7.140625" bestFit="1" customWidth="1"/>
    <col min="23" max="23" width="11.42578125" bestFit="1" customWidth="1"/>
    <col min="24" max="24" width="10.5703125" bestFit="1" customWidth="1"/>
    <col min="25" max="25" width="11.7109375" bestFit="1" customWidth="1"/>
    <col min="26" max="26" width="7.140625" bestFit="1" customWidth="1"/>
    <col min="27" max="27" width="9.28515625" bestFit="1" customWidth="1"/>
    <col min="28" max="28" width="10.5703125" bestFit="1" customWidth="1"/>
    <col min="29" max="29" width="11.7109375" bestFit="1" customWidth="1"/>
    <col min="30" max="30" width="10.85546875" bestFit="1" customWidth="1"/>
    <col min="31" max="31" width="7.140625" bestFit="1" customWidth="1"/>
  </cols>
  <sheetData>
    <row r="1" spans="2:41" x14ac:dyDescent="0.25">
      <c r="B1" s="212" t="s">
        <v>3</v>
      </c>
      <c r="C1" s="213"/>
      <c r="D1" s="213"/>
      <c r="E1" s="213"/>
      <c r="F1" s="213"/>
      <c r="G1" s="213"/>
      <c r="H1" s="213"/>
      <c r="I1" s="213"/>
      <c r="J1" s="214"/>
      <c r="L1" s="215"/>
      <c r="M1" s="215"/>
      <c r="N1" s="215"/>
    </row>
    <row r="2" spans="2:41" s="150" customFormat="1" x14ac:dyDescent="0.25">
      <c r="B2" s="162"/>
      <c r="C2" s="163"/>
      <c r="D2" s="163"/>
      <c r="E2" s="163"/>
      <c r="F2" s="163"/>
      <c r="G2" s="163"/>
      <c r="H2" s="167" t="s">
        <v>192</v>
      </c>
      <c r="I2" s="163"/>
      <c r="J2" s="164"/>
      <c r="L2" s="219" t="s">
        <v>2</v>
      </c>
      <c r="M2" s="220"/>
      <c r="N2" s="220"/>
      <c r="P2" s="166" t="s">
        <v>195</v>
      </c>
    </row>
    <row r="3" spans="2:41" x14ac:dyDescent="0.25">
      <c r="B3" s="143" t="s">
        <v>1</v>
      </c>
      <c r="C3" s="145" t="s">
        <v>138</v>
      </c>
      <c r="D3" s="146" t="s">
        <v>139</v>
      </c>
      <c r="E3" s="165" t="s">
        <v>1</v>
      </c>
      <c r="F3" s="57" t="s">
        <v>5</v>
      </c>
      <c r="G3" s="128"/>
      <c r="H3" s="143" t="s">
        <v>45</v>
      </c>
      <c r="I3" s="145" t="s">
        <v>196</v>
      </c>
      <c r="J3" s="146" t="s">
        <v>197</v>
      </c>
      <c r="L3" s="22" t="s">
        <v>1</v>
      </c>
      <c r="M3" s="23" t="s">
        <v>177</v>
      </c>
      <c r="N3" s="24" t="s">
        <v>152</v>
      </c>
      <c r="P3" s="55" t="s">
        <v>2</v>
      </c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G3" s="55" t="s">
        <v>2</v>
      </c>
      <c r="AH3" s="55"/>
      <c r="AI3" s="55"/>
      <c r="AJ3" s="55"/>
      <c r="AK3" s="55"/>
      <c r="AL3" s="55"/>
      <c r="AM3" s="55"/>
      <c r="AN3" s="55"/>
      <c r="AO3" s="55"/>
    </row>
    <row r="4" spans="2:41" x14ac:dyDescent="0.25">
      <c r="B4" s="172" t="s">
        <v>19</v>
      </c>
      <c r="C4" s="139">
        <v>10799</v>
      </c>
      <c r="D4" s="140">
        <v>34850</v>
      </c>
      <c r="E4" s="52" t="s">
        <v>19</v>
      </c>
      <c r="F4" s="111">
        <f>VLOOKUP(E4,$J$81:$K$88,2,0)</f>
        <v>33593</v>
      </c>
      <c r="G4" s="128"/>
      <c r="H4" s="147">
        <v>45014</v>
      </c>
      <c r="I4" s="139">
        <v>208902</v>
      </c>
      <c r="J4" s="140">
        <v>1212225</v>
      </c>
      <c r="L4" s="40" t="s">
        <v>19</v>
      </c>
      <c r="M4" s="43">
        <f>IFERROR(VLOOKUP(L4,$H$4:$J$12,2,0)/VLOOKUP(L4,$H$4:$J$12,3,0)*100,0)</f>
        <v>48.837944664031617</v>
      </c>
      <c r="N4" s="43">
        <f>IFERROR(VLOOKUP(L4,$B$3:$E$13,2,0)/VLOOKUP(L4,$B$3:$E$13,3,0)*100,0)</f>
        <v>30.987087517934004</v>
      </c>
      <c r="P4" s="22" t="s">
        <v>1</v>
      </c>
      <c r="Q4" s="23" t="s">
        <v>162</v>
      </c>
      <c r="R4" s="23" t="s">
        <v>163</v>
      </c>
      <c r="S4" s="23" t="s">
        <v>164</v>
      </c>
      <c r="T4" s="23" t="s">
        <v>165</v>
      </c>
      <c r="U4" s="23" t="s">
        <v>166</v>
      </c>
      <c r="V4" s="23" t="s">
        <v>167</v>
      </c>
      <c r="W4" s="23" t="s">
        <v>168</v>
      </c>
      <c r="X4" s="24" t="s">
        <v>152</v>
      </c>
      <c r="Y4" s="24" t="s">
        <v>28</v>
      </c>
      <c r="Z4" s="24" t="s">
        <v>172</v>
      </c>
      <c r="AA4" s="24" t="s">
        <v>173</v>
      </c>
      <c r="AB4" s="24" t="s">
        <v>174</v>
      </c>
      <c r="AC4" s="24" t="s">
        <v>175</v>
      </c>
      <c r="AD4" s="24" t="s">
        <v>176</v>
      </c>
      <c r="AE4" s="59" t="s">
        <v>28</v>
      </c>
      <c r="AG4" s="22" t="s">
        <v>1</v>
      </c>
      <c r="AH4" s="23" t="s">
        <v>162</v>
      </c>
      <c r="AI4" s="23" t="s">
        <v>163</v>
      </c>
      <c r="AJ4" s="23" t="s">
        <v>164</v>
      </c>
      <c r="AK4" s="23" t="s">
        <v>165</v>
      </c>
      <c r="AL4" s="23" t="s">
        <v>166</v>
      </c>
      <c r="AM4" s="23" t="s">
        <v>167</v>
      </c>
      <c r="AN4" s="23" t="s">
        <v>168</v>
      </c>
      <c r="AO4" s="24" t="s">
        <v>152</v>
      </c>
    </row>
    <row r="5" spans="2:41" x14ac:dyDescent="0.25">
      <c r="B5" s="173" t="s">
        <v>20</v>
      </c>
      <c r="C5" s="141">
        <v>5187</v>
      </c>
      <c r="D5" s="129">
        <v>14250</v>
      </c>
      <c r="E5" s="52" t="s">
        <v>20</v>
      </c>
      <c r="F5" s="111">
        <f t="shared" ref="F5:F11" si="0">VLOOKUP(E5,$J$81:$K$88,2,0)</f>
        <v>11560</v>
      </c>
      <c r="G5" s="128"/>
      <c r="H5" s="175" t="s">
        <v>19</v>
      </c>
      <c r="I5" s="141">
        <v>37068</v>
      </c>
      <c r="J5" s="129">
        <v>75900</v>
      </c>
      <c r="L5" s="40" t="s">
        <v>20</v>
      </c>
      <c r="M5" s="43">
        <f t="shared" ref="M5:M11" si="1">IFERROR(VLOOKUP(L5,$H$4:$J$12,2,0)/VLOOKUP(L5,$H$4:$J$12,3,0)*100,0)</f>
        <v>17.684210526315788</v>
      </c>
      <c r="N5" s="43">
        <f t="shared" ref="N5:N10" si="2">IFERROR(VLOOKUP(L5,$B$3:$E$13,2,0)/VLOOKUP(L5,$B$3:$E$13,3,0)*100,0)</f>
        <v>36.4</v>
      </c>
      <c r="P5" s="40" t="s">
        <v>19</v>
      </c>
      <c r="Q5" s="43">
        <v>0</v>
      </c>
      <c r="R5" s="56">
        <v>31.212020033388981</v>
      </c>
      <c r="S5" s="56">
        <v>18.055335968379445</v>
      </c>
      <c r="T5" s="56">
        <v>48.837944664031617</v>
      </c>
      <c r="U5" s="56"/>
      <c r="V5" s="56"/>
      <c r="W5" s="56"/>
      <c r="X5" s="44">
        <f t="shared" ref="X5:X13" si="3">VLOOKUP(P5,$L$3:$N$14,3,0)</f>
        <v>30.987087517934004</v>
      </c>
      <c r="Y5" s="44">
        <f>AE5*100</f>
        <v>27.94351397332624</v>
      </c>
      <c r="Z5" s="43">
        <v>14.4802304268133</v>
      </c>
      <c r="AA5" s="43">
        <v>15.79793775423328</v>
      </c>
      <c r="AB5" s="43">
        <v>20.772643700939106</v>
      </c>
      <c r="AC5" s="43">
        <v>16.520455621466567</v>
      </c>
      <c r="AD5" s="44"/>
      <c r="AE5">
        <v>0.27943513973326239</v>
      </c>
      <c r="AG5" s="40" t="s">
        <v>19</v>
      </c>
      <c r="AH5" s="43">
        <f>IF(Q5=0,1,0)</f>
        <v>1</v>
      </c>
      <c r="AI5" s="43">
        <f t="shared" ref="AI5:AO13" si="4">IF(R5=0,1,0)</f>
        <v>0</v>
      </c>
      <c r="AJ5" s="43">
        <f t="shared" si="4"/>
        <v>0</v>
      </c>
      <c r="AK5" s="43">
        <f t="shared" si="4"/>
        <v>0</v>
      </c>
      <c r="AL5" s="43">
        <f t="shared" si="4"/>
        <v>1</v>
      </c>
      <c r="AM5" s="43">
        <f t="shared" si="4"/>
        <v>1</v>
      </c>
      <c r="AN5" s="43">
        <f t="shared" si="4"/>
        <v>1</v>
      </c>
      <c r="AO5" s="43">
        <f>IF(X5=0,1,0)</f>
        <v>0</v>
      </c>
    </row>
    <row r="6" spans="2:41" x14ac:dyDescent="0.25">
      <c r="B6" s="173" t="s">
        <v>21</v>
      </c>
      <c r="C6" s="141">
        <v>4190</v>
      </c>
      <c r="D6" s="129">
        <v>18053</v>
      </c>
      <c r="E6" s="53" t="s">
        <v>21</v>
      </c>
      <c r="F6" s="111">
        <f t="shared" si="0"/>
        <v>10965</v>
      </c>
      <c r="G6" s="128"/>
      <c r="H6" s="176" t="s">
        <v>20</v>
      </c>
      <c r="I6" s="141">
        <v>70560</v>
      </c>
      <c r="J6" s="129">
        <v>399000</v>
      </c>
      <c r="L6" s="40" t="s">
        <v>21</v>
      </c>
      <c r="M6" s="43">
        <f t="shared" si="1"/>
        <v>4.8695652173913047</v>
      </c>
      <c r="N6" s="43">
        <f t="shared" si="2"/>
        <v>23.209438874425302</v>
      </c>
      <c r="P6" s="40" t="s">
        <v>20</v>
      </c>
      <c r="Q6" s="43">
        <v>44.485125858123567</v>
      </c>
      <c r="R6" s="56">
        <v>39.954233409610985</v>
      </c>
      <c r="S6" s="56">
        <v>43.04347826086957</v>
      </c>
      <c r="T6" s="56">
        <v>17.684210526315788</v>
      </c>
      <c r="U6" s="56"/>
      <c r="V6" s="56"/>
      <c r="W6" s="56"/>
      <c r="X6" s="44">
        <f t="shared" si="3"/>
        <v>36.4</v>
      </c>
      <c r="Y6" s="44">
        <f>AE6*100</f>
        <v>31.868015959899438</v>
      </c>
      <c r="Z6" s="43">
        <v>33.204649766224854</v>
      </c>
      <c r="AA6" s="43">
        <v>37.45126470114387</v>
      </c>
      <c r="AB6" s="43">
        <v>37.987744435433001</v>
      </c>
      <c r="AC6" s="43">
        <v>33.523835442463827</v>
      </c>
      <c r="AD6" s="44"/>
      <c r="AE6">
        <v>0.31868015959899437</v>
      </c>
      <c r="AG6" s="40" t="s">
        <v>20</v>
      </c>
      <c r="AH6" s="43">
        <f t="shared" ref="AH6:AH13" si="5">IF(Q6=0,1,0)</f>
        <v>0</v>
      </c>
      <c r="AI6" s="43">
        <f t="shared" si="4"/>
        <v>0</v>
      </c>
      <c r="AJ6" s="43">
        <f t="shared" si="4"/>
        <v>0</v>
      </c>
      <c r="AK6" s="43">
        <f t="shared" si="4"/>
        <v>0</v>
      </c>
      <c r="AL6" s="43">
        <f t="shared" si="4"/>
        <v>1</v>
      </c>
      <c r="AM6" s="43">
        <f t="shared" si="4"/>
        <v>1</v>
      </c>
      <c r="AN6" s="43">
        <f t="shared" si="4"/>
        <v>1</v>
      </c>
      <c r="AO6" s="43">
        <f t="shared" si="4"/>
        <v>0</v>
      </c>
    </row>
    <row r="7" spans="2:41" x14ac:dyDescent="0.25">
      <c r="B7" s="173" t="s">
        <v>22</v>
      </c>
      <c r="C7" s="141">
        <v>2620</v>
      </c>
      <c r="D7" s="129">
        <v>6485</v>
      </c>
      <c r="E7" s="53" t="s">
        <v>22</v>
      </c>
      <c r="F7" s="111">
        <f t="shared" si="0"/>
        <v>3600</v>
      </c>
      <c r="G7" s="128"/>
      <c r="H7" s="176" t="s">
        <v>21</v>
      </c>
      <c r="I7" s="141">
        <v>6720</v>
      </c>
      <c r="J7" s="129">
        <v>138000</v>
      </c>
      <c r="L7" s="40" t="s">
        <v>22</v>
      </c>
      <c r="M7" s="43">
        <f t="shared" si="1"/>
        <v>0</v>
      </c>
      <c r="N7" s="43">
        <f t="shared" si="2"/>
        <v>40.400925212027758</v>
      </c>
      <c r="P7" s="40" t="s">
        <v>21</v>
      </c>
      <c r="Q7" s="43">
        <v>0</v>
      </c>
      <c r="R7" s="56">
        <v>37.160899216973988</v>
      </c>
      <c r="S7" s="56">
        <v>20.840612475593463</v>
      </c>
      <c r="T7" s="56">
        <v>4.8695652173913047</v>
      </c>
      <c r="U7" s="56"/>
      <c r="V7" s="56"/>
      <c r="W7" s="56"/>
      <c r="X7" s="44">
        <f t="shared" si="3"/>
        <v>23.209438874425302</v>
      </c>
      <c r="Y7" s="44">
        <f t="shared" ref="Y7:Y13" si="6">AE7*100</f>
        <v>30.871077734582009</v>
      </c>
      <c r="Z7" s="43">
        <v>29.979160464423938</v>
      </c>
      <c r="AA7" s="43">
        <v>25.446686545084713</v>
      </c>
      <c r="AB7" s="43">
        <v>42.82010151838098</v>
      </c>
      <c r="AC7" s="43">
        <v>39.450302096907947</v>
      </c>
      <c r="AD7" s="44"/>
      <c r="AE7">
        <v>0.30871077734582009</v>
      </c>
      <c r="AG7" s="40" t="s">
        <v>21</v>
      </c>
      <c r="AH7" s="43">
        <f t="shared" si="5"/>
        <v>1</v>
      </c>
      <c r="AI7" s="43">
        <f t="shared" si="4"/>
        <v>0</v>
      </c>
      <c r="AJ7" s="43">
        <f t="shared" si="4"/>
        <v>0</v>
      </c>
      <c r="AK7" s="43">
        <f t="shared" si="4"/>
        <v>0</v>
      </c>
      <c r="AL7" s="43">
        <f t="shared" si="4"/>
        <v>1</v>
      </c>
      <c r="AM7" s="43">
        <f t="shared" si="4"/>
        <v>1</v>
      </c>
      <c r="AN7" s="43">
        <f t="shared" si="4"/>
        <v>1</v>
      </c>
      <c r="AO7" s="43">
        <f t="shared" si="4"/>
        <v>0</v>
      </c>
    </row>
    <row r="8" spans="2:41" x14ac:dyDescent="0.25">
      <c r="B8" s="173" t="s">
        <v>24</v>
      </c>
      <c r="C8" s="141">
        <v>24034</v>
      </c>
      <c r="D8" s="129">
        <v>73992</v>
      </c>
      <c r="E8" s="53" t="s">
        <v>23</v>
      </c>
      <c r="F8" s="111">
        <f t="shared" si="0"/>
        <v>0</v>
      </c>
      <c r="G8" s="128"/>
      <c r="H8" s="176" t="s">
        <v>24</v>
      </c>
      <c r="I8" s="141">
        <v>16296</v>
      </c>
      <c r="J8" s="129">
        <v>242150</v>
      </c>
      <c r="L8" s="40" t="s">
        <v>23</v>
      </c>
      <c r="M8" s="43">
        <f t="shared" si="1"/>
        <v>0</v>
      </c>
      <c r="N8" s="43">
        <f t="shared" si="2"/>
        <v>0</v>
      </c>
      <c r="P8" s="40" t="s">
        <v>22</v>
      </c>
      <c r="Q8" s="43">
        <v>0</v>
      </c>
      <c r="R8" s="56">
        <v>32.756869565217386</v>
      </c>
      <c r="S8" s="56">
        <v>46.968358208955223</v>
      </c>
      <c r="T8" s="56">
        <v>0</v>
      </c>
      <c r="U8" s="56"/>
      <c r="V8" s="56"/>
      <c r="W8" s="56"/>
      <c r="X8" s="44">
        <f t="shared" si="3"/>
        <v>40.400925212027758</v>
      </c>
      <c r="Y8" s="44">
        <f t="shared" si="6"/>
        <v>29.675942487442867</v>
      </c>
      <c r="Z8" s="43">
        <v>31.381503832979941</v>
      </c>
      <c r="AA8" s="43">
        <v>22.352662561743013</v>
      </c>
      <c r="AB8" s="43">
        <v>27.519403532359593</v>
      </c>
      <c r="AC8" s="43">
        <v>34.44797414033328</v>
      </c>
      <c r="AD8" s="44"/>
      <c r="AE8">
        <v>0.29675942487442869</v>
      </c>
      <c r="AG8" s="40" t="s">
        <v>22</v>
      </c>
      <c r="AH8" s="43">
        <f t="shared" si="5"/>
        <v>1</v>
      </c>
      <c r="AI8" s="43">
        <f t="shared" si="4"/>
        <v>0</v>
      </c>
      <c r="AJ8" s="43">
        <f t="shared" si="4"/>
        <v>0</v>
      </c>
      <c r="AK8" s="43">
        <f t="shared" si="4"/>
        <v>1</v>
      </c>
      <c r="AL8" s="43">
        <f t="shared" si="4"/>
        <v>1</v>
      </c>
      <c r="AM8" s="43">
        <f t="shared" si="4"/>
        <v>1</v>
      </c>
      <c r="AN8" s="43">
        <f t="shared" si="4"/>
        <v>1</v>
      </c>
      <c r="AO8" s="43">
        <f t="shared" si="4"/>
        <v>0</v>
      </c>
    </row>
    <row r="9" spans="2:41" x14ac:dyDescent="0.25">
      <c r="B9" s="173" t="s">
        <v>25</v>
      </c>
      <c r="C9" s="141">
        <v>19571</v>
      </c>
      <c r="D9" s="129">
        <v>41600</v>
      </c>
      <c r="E9" s="53" t="s">
        <v>24</v>
      </c>
      <c r="F9" s="111">
        <f t="shared" si="0"/>
        <v>48002</v>
      </c>
      <c r="G9" s="128"/>
      <c r="H9" s="177" t="s">
        <v>25</v>
      </c>
      <c r="I9" s="141">
        <v>34650</v>
      </c>
      <c r="J9" s="129">
        <v>50700</v>
      </c>
      <c r="L9" s="40" t="s">
        <v>24</v>
      </c>
      <c r="M9" s="43">
        <f t="shared" si="1"/>
        <v>6.729712987817468</v>
      </c>
      <c r="N9" s="43">
        <f t="shared" si="2"/>
        <v>32.481889934046926</v>
      </c>
      <c r="P9" s="40" t="s">
        <v>23</v>
      </c>
      <c r="Q9" s="43">
        <v>0</v>
      </c>
      <c r="R9" s="56">
        <v>0</v>
      </c>
      <c r="S9" s="56">
        <v>0</v>
      </c>
      <c r="T9" s="56">
        <v>0</v>
      </c>
      <c r="U9" s="56"/>
      <c r="V9" s="56"/>
      <c r="W9" s="56"/>
      <c r="X9" s="44">
        <f t="shared" si="3"/>
        <v>0</v>
      </c>
      <c r="Y9" s="44">
        <f t="shared" si="6"/>
        <v>28.190913604766632</v>
      </c>
      <c r="Z9" s="43">
        <v>22.902199074074073</v>
      </c>
      <c r="AA9" s="43">
        <v>16.064189189189189</v>
      </c>
      <c r="AB9" s="43">
        <v>0</v>
      </c>
      <c r="AC9" s="43">
        <v>0</v>
      </c>
      <c r="AD9" s="44"/>
      <c r="AE9">
        <v>0.28190913604766632</v>
      </c>
      <c r="AG9" s="40" t="s">
        <v>23</v>
      </c>
      <c r="AH9" s="43">
        <f t="shared" si="5"/>
        <v>1</v>
      </c>
      <c r="AI9" s="43">
        <f t="shared" si="4"/>
        <v>1</v>
      </c>
      <c r="AJ9" s="43">
        <f t="shared" si="4"/>
        <v>1</v>
      </c>
      <c r="AK9" s="43">
        <f t="shared" si="4"/>
        <v>1</v>
      </c>
      <c r="AL9" s="43">
        <f t="shared" si="4"/>
        <v>1</v>
      </c>
      <c r="AM9" s="43">
        <f t="shared" si="4"/>
        <v>1</v>
      </c>
      <c r="AN9" s="43">
        <f t="shared" si="4"/>
        <v>1</v>
      </c>
      <c r="AO9" s="43">
        <f t="shared" si="4"/>
        <v>1</v>
      </c>
    </row>
    <row r="10" spans="2:41" x14ac:dyDescent="0.25">
      <c r="B10" s="174" t="s">
        <v>143</v>
      </c>
      <c r="C10" s="141">
        <v>1817</v>
      </c>
      <c r="D10" s="129">
        <v>12770</v>
      </c>
      <c r="E10" s="53" t="s">
        <v>25</v>
      </c>
      <c r="F10" s="111">
        <f t="shared" si="0"/>
        <v>51366</v>
      </c>
      <c r="G10" s="128"/>
      <c r="H10" s="221" t="s">
        <v>143</v>
      </c>
      <c r="I10" s="141">
        <v>43608</v>
      </c>
      <c r="J10" s="129">
        <v>306475</v>
      </c>
      <c r="L10" s="40" t="s">
        <v>25</v>
      </c>
      <c r="M10" s="43">
        <f t="shared" si="1"/>
        <v>68.34319526627219</v>
      </c>
      <c r="N10" s="43">
        <f t="shared" si="2"/>
        <v>47.04567307692308</v>
      </c>
      <c r="P10" s="40" t="s">
        <v>24</v>
      </c>
      <c r="Q10" s="43">
        <v>0</v>
      </c>
      <c r="R10" s="56">
        <v>44.677696335078529</v>
      </c>
      <c r="S10" s="56">
        <v>53.375172413793102</v>
      </c>
      <c r="T10" s="56">
        <v>6.729712987817468</v>
      </c>
      <c r="U10" s="56"/>
      <c r="V10" s="56"/>
      <c r="W10" s="56"/>
      <c r="X10" s="44">
        <f t="shared" si="3"/>
        <v>32.481889934046926</v>
      </c>
      <c r="Y10" s="44">
        <f t="shared" si="6"/>
        <v>30.087901592188302</v>
      </c>
      <c r="Z10" s="43">
        <v>36.346468588694449</v>
      </c>
      <c r="AA10" s="43">
        <v>20.093620674295618</v>
      </c>
      <c r="AB10" s="43">
        <v>25.109947643979059</v>
      </c>
      <c r="AC10" s="43">
        <v>28.38668056175872</v>
      </c>
      <c r="AD10" s="44"/>
      <c r="AE10">
        <v>0.30087901592188304</v>
      </c>
      <c r="AG10" s="40" t="s">
        <v>24</v>
      </c>
      <c r="AH10" s="43">
        <f t="shared" si="5"/>
        <v>1</v>
      </c>
      <c r="AI10" s="43">
        <f t="shared" si="4"/>
        <v>0</v>
      </c>
      <c r="AJ10" s="43">
        <f t="shared" si="4"/>
        <v>0</v>
      </c>
      <c r="AK10" s="43">
        <f t="shared" si="4"/>
        <v>0</v>
      </c>
      <c r="AL10" s="43">
        <f t="shared" si="4"/>
        <v>1</v>
      </c>
      <c r="AM10" s="43">
        <f t="shared" si="4"/>
        <v>1</v>
      </c>
      <c r="AN10" s="43">
        <f t="shared" si="4"/>
        <v>1</v>
      </c>
      <c r="AO10" s="43">
        <f t="shared" si="4"/>
        <v>0</v>
      </c>
    </row>
    <row r="11" spans="2:41" x14ac:dyDescent="0.25">
      <c r="B11" s="144" t="s">
        <v>108</v>
      </c>
      <c r="C11" s="142">
        <v>68218</v>
      </c>
      <c r="D11" s="138">
        <v>202000</v>
      </c>
      <c r="E11" s="54" t="s">
        <v>143</v>
      </c>
      <c r="F11" s="111">
        <f t="shared" si="0"/>
        <v>3000</v>
      </c>
      <c r="G11" s="128"/>
      <c r="H11" s="147" t="s">
        <v>108</v>
      </c>
      <c r="I11" s="142">
        <v>208902</v>
      </c>
      <c r="J11" s="138">
        <v>1212225</v>
      </c>
      <c r="L11" s="41" t="s">
        <v>143</v>
      </c>
      <c r="M11" s="43">
        <f t="shared" si="1"/>
        <v>14.228893058161351</v>
      </c>
      <c r="N11" s="43">
        <f>IFERROR(VLOOKUP(L11,$B$3:$E$13,2,0)/VLOOKUP(L11,$B$3:$E$13,3,0)*100,0)</f>
        <v>14.228660924040721</v>
      </c>
      <c r="P11" s="40" t="s">
        <v>25</v>
      </c>
      <c r="Q11" s="43">
        <v>0</v>
      </c>
      <c r="R11" s="56">
        <v>35.265508684863519</v>
      </c>
      <c r="S11" s="56">
        <v>51.46153846153846</v>
      </c>
      <c r="T11" s="56">
        <v>68.34319526627219</v>
      </c>
      <c r="U11" s="56"/>
      <c r="V11" s="56"/>
      <c r="W11" s="56"/>
      <c r="X11" s="44">
        <f t="shared" si="3"/>
        <v>47.04567307692308</v>
      </c>
      <c r="Y11" s="44">
        <f t="shared" si="6"/>
        <v>37.432069387554044</v>
      </c>
      <c r="Z11" s="43">
        <v>43.222923749392912</v>
      </c>
      <c r="AA11" s="43">
        <v>37.242756503892167</v>
      </c>
      <c r="AB11" s="43">
        <v>25.259246456965091</v>
      </c>
      <c r="AC11" s="43">
        <v>43.466552069904026</v>
      </c>
      <c r="AD11" s="44"/>
      <c r="AE11">
        <v>0.37432069387554046</v>
      </c>
      <c r="AG11" s="40" t="s">
        <v>25</v>
      </c>
      <c r="AH11" s="43">
        <f t="shared" si="5"/>
        <v>1</v>
      </c>
      <c r="AI11" s="43">
        <f t="shared" si="4"/>
        <v>0</v>
      </c>
      <c r="AJ11" s="43">
        <f t="shared" si="4"/>
        <v>0</v>
      </c>
      <c r="AK11" s="43">
        <f t="shared" si="4"/>
        <v>0</v>
      </c>
      <c r="AL11" s="43">
        <f t="shared" si="4"/>
        <v>1</v>
      </c>
      <c r="AM11" s="43">
        <f t="shared" si="4"/>
        <v>1</v>
      </c>
      <c r="AN11" s="43">
        <f t="shared" si="4"/>
        <v>1</v>
      </c>
      <c r="AO11" s="43">
        <f t="shared" si="4"/>
        <v>0</v>
      </c>
    </row>
    <row r="12" spans="2:41" x14ac:dyDescent="0.25">
      <c r="E12" s="116" t="s">
        <v>108</v>
      </c>
      <c r="F12" s="42">
        <f>SUM(F4:F11)</f>
        <v>162086</v>
      </c>
      <c r="G12" s="128"/>
      <c r="L12" s="40" t="s">
        <v>108</v>
      </c>
      <c r="M12" s="43">
        <f>VLOOKUP(L12,$H$4:$J$13,2,0)/VLOOKUP(L12,$H$4:$J$13,3,0)*100</f>
        <v>17.232939429561345</v>
      </c>
      <c r="N12" s="43">
        <f>VLOOKUP(L12,$B$3:$F$13,2,0)/VLOOKUP(L12,$B$3:$F$13,3,0)*100</f>
        <v>33.771287128712871</v>
      </c>
      <c r="O12" s="45"/>
      <c r="P12" s="41" t="s">
        <v>143</v>
      </c>
      <c r="Q12" s="43">
        <v>0</v>
      </c>
      <c r="R12" s="56">
        <v>0</v>
      </c>
      <c r="S12" s="56">
        <v>0</v>
      </c>
      <c r="T12" s="56">
        <v>14.228893058161351</v>
      </c>
      <c r="U12" s="56"/>
      <c r="V12" s="56"/>
      <c r="W12" s="56"/>
      <c r="X12" s="44">
        <f t="shared" si="3"/>
        <v>14.228660924040721</v>
      </c>
      <c r="Y12" s="44">
        <f t="shared" si="6"/>
        <v>19.651818936767096</v>
      </c>
      <c r="Z12" s="45">
        <v>0</v>
      </c>
      <c r="AA12" s="45">
        <v>0</v>
      </c>
      <c r="AB12" s="45">
        <v>0</v>
      </c>
      <c r="AC12" s="45">
        <v>0</v>
      </c>
      <c r="AD12" s="46"/>
      <c r="AE12">
        <v>0.19651818936767096</v>
      </c>
      <c r="AG12" s="41" t="s">
        <v>143</v>
      </c>
      <c r="AH12" s="43">
        <f t="shared" si="5"/>
        <v>1</v>
      </c>
      <c r="AI12" s="43">
        <f t="shared" si="4"/>
        <v>1</v>
      </c>
      <c r="AJ12" s="43">
        <f t="shared" si="4"/>
        <v>1</v>
      </c>
      <c r="AK12" s="43">
        <f t="shared" si="4"/>
        <v>0</v>
      </c>
      <c r="AL12" s="43">
        <f t="shared" si="4"/>
        <v>1</v>
      </c>
      <c r="AM12" s="43">
        <f t="shared" si="4"/>
        <v>1</v>
      </c>
      <c r="AN12" s="43">
        <f t="shared" si="4"/>
        <v>1</v>
      </c>
      <c r="AO12" s="43">
        <f t="shared" si="4"/>
        <v>0</v>
      </c>
    </row>
    <row r="13" spans="2:41" x14ac:dyDescent="0.25">
      <c r="B13" s="130"/>
      <c r="C13" s="128"/>
      <c r="D13" s="128"/>
      <c r="E13" s="128"/>
      <c r="F13" s="128"/>
      <c r="G13" s="128"/>
      <c r="P13" s="40" t="s">
        <v>108</v>
      </c>
      <c r="Q13" s="43">
        <v>44.485125858123567</v>
      </c>
      <c r="R13" s="108">
        <v>38.691955203945341</v>
      </c>
      <c r="S13" s="108">
        <v>44.169174852569327</v>
      </c>
      <c r="T13" s="108">
        <v>17.232939429561345</v>
      </c>
      <c r="U13" s="108"/>
      <c r="V13" s="108"/>
      <c r="W13" s="108"/>
      <c r="X13" s="44">
        <f t="shared" si="3"/>
        <v>33.771287128712871</v>
      </c>
      <c r="Y13" s="44">
        <f t="shared" si="6"/>
        <v>30.623581856363614</v>
      </c>
      <c r="Z13" s="108">
        <v>34.630773749060332</v>
      </c>
      <c r="AA13" s="108">
        <v>24.8234330441114</v>
      </c>
      <c r="AB13" s="108">
        <v>27.022648127790106</v>
      </c>
      <c r="AC13" s="108">
        <v>31.520910502857973</v>
      </c>
      <c r="AD13" s="108"/>
      <c r="AE13">
        <v>0.30623581856363613</v>
      </c>
      <c r="AG13" s="40" t="s">
        <v>108</v>
      </c>
      <c r="AH13" s="43">
        <f t="shared" si="5"/>
        <v>0</v>
      </c>
      <c r="AI13" s="43">
        <f t="shared" si="4"/>
        <v>0</v>
      </c>
      <c r="AJ13" s="43">
        <f t="shared" si="4"/>
        <v>0</v>
      </c>
      <c r="AK13" s="43">
        <f t="shared" si="4"/>
        <v>0</v>
      </c>
      <c r="AL13" s="43">
        <f t="shared" si="4"/>
        <v>1</v>
      </c>
      <c r="AM13" s="43">
        <f t="shared" si="4"/>
        <v>1</v>
      </c>
      <c r="AN13" s="43">
        <f t="shared" si="4"/>
        <v>1</v>
      </c>
      <c r="AO13" s="43">
        <f t="shared" si="4"/>
        <v>0</v>
      </c>
    </row>
    <row r="14" spans="2:41" x14ac:dyDescent="0.25">
      <c r="B14" s="130"/>
      <c r="C14" s="128" t="s">
        <v>171</v>
      </c>
      <c r="D14" s="47">
        <v>590963</v>
      </c>
      <c r="E14" s="128"/>
      <c r="F14" s="128"/>
      <c r="G14" s="132"/>
      <c r="H14" s="127"/>
      <c r="I14" s="127"/>
      <c r="J14" s="131"/>
    </row>
    <row r="15" spans="2:41" x14ac:dyDescent="0.25">
      <c r="B15" s="130"/>
      <c r="C15" s="128" t="s">
        <v>170</v>
      </c>
      <c r="D15" s="20">
        <v>453106</v>
      </c>
      <c r="E15" s="168" t="s">
        <v>191</v>
      </c>
      <c r="F15" s="127"/>
      <c r="G15" s="132"/>
      <c r="H15" s="127"/>
      <c r="I15" s="127"/>
      <c r="J15" s="131"/>
    </row>
    <row r="16" spans="2:41" x14ac:dyDescent="0.25">
      <c r="B16" s="130"/>
      <c r="C16" s="128" t="s">
        <v>169</v>
      </c>
      <c r="D16" s="127">
        <f>D14-D15</f>
        <v>137857</v>
      </c>
      <c r="E16" s="127"/>
      <c r="F16" s="127"/>
      <c r="G16" s="132"/>
      <c r="H16" s="127"/>
      <c r="I16" s="127"/>
      <c r="J16" s="131"/>
    </row>
    <row r="17" spans="2:31" x14ac:dyDescent="0.25">
      <c r="B17" s="133"/>
      <c r="C17" s="134"/>
      <c r="D17" s="134"/>
      <c r="E17" s="134"/>
      <c r="F17" s="136"/>
      <c r="G17" s="135"/>
      <c r="H17" s="136"/>
      <c r="I17" s="136"/>
      <c r="J17" s="137"/>
    </row>
    <row r="18" spans="2:31" x14ac:dyDescent="0.25">
      <c r="G18" s="17"/>
      <c r="H18" s="20"/>
      <c r="I18" s="20"/>
    </row>
    <row r="20" spans="2:31" x14ac:dyDescent="0.25">
      <c r="B20" s="13" t="s">
        <v>193</v>
      </c>
    </row>
    <row r="21" spans="2:31" ht="41.25" customHeight="1" x14ac:dyDescent="0.25">
      <c r="B21" s="12" t="s">
        <v>45</v>
      </c>
      <c r="C21" s="16" t="s">
        <v>109</v>
      </c>
      <c r="D21" s="16" t="s">
        <v>114</v>
      </c>
      <c r="E21" s="16" t="s">
        <v>110</v>
      </c>
      <c r="F21" s="16" t="s">
        <v>111</v>
      </c>
      <c r="G21" s="16" t="s">
        <v>115</v>
      </c>
      <c r="H21" s="16" t="s">
        <v>116</v>
      </c>
      <c r="I21" s="16" t="s">
        <v>112</v>
      </c>
      <c r="J21" s="16" t="s">
        <v>113</v>
      </c>
      <c r="K21" s="16" t="s">
        <v>117</v>
      </c>
      <c r="L21" s="16" t="s">
        <v>118</v>
      </c>
      <c r="M21" s="16" t="s">
        <v>119</v>
      </c>
      <c r="N21" s="16" t="s">
        <v>120</v>
      </c>
      <c r="O21" s="16" t="s">
        <v>121</v>
      </c>
      <c r="P21" s="16" t="s">
        <v>122</v>
      </c>
      <c r="Q21" s="16" t="s">
        <v>123</v>
      </c>
      <c r="R21" s="16" t="s">
        <v>124</v>
      </c>
      <c r="S21" s="16" t="s">
        <v>126</v>
      </c>
      <c r="T21" s="16" t="s">
        <v>125</v>
      </c>
      <c r="U21" s="16" t="s">
        <v>127</v>
      </c>
      <c r="V21" s="16" t="s">
        <v>129</v>
      </c>
      <c r="W21" s="16" t="s">
        <v>128</v>
      </c>
      <c r="X21" s="16" t="s">
        <v>130</v>
      </c>
      <c r="Y21" s="16" t="s">
        <v>131</v>
      </c>
      <c r="Z21" s="16" t="s">
        <v>132</v>
      </c>
      <c r="AA21" s="16" t="s">
        <v>133</v>
      </c>
      <c r="AB21" s="16" t="s">
        <v>134</v>
      </c>
      <c r="AC21" s="16" t="s">
        <v>135</v>
      </c>
      <c r="AD21" s="16" t="s">
        <v>136</v>
      </c>
      <c r="AE21" s="16" t="s">
        <v>137</v>
      </c>
    </row>
    <row r="22" spans="2:31" x14ac:dyDescent="0.25">
      <c r="B22" s="17">
        <v>45014</v>
      </c>
      <c r="C22" s="14"/>
      <c r="D22" s="14"/>
      <c r="E22" s="14">
        <v>57</v>
      </c>
      <c r="F22" s="14">
        <v>76</v>
      </c>
      <c r="G22" s="14"/>
      <c r="H22" s="14">
        <v>239</v>
      </c>
      <c r="I22" s="14">
        <v>41</v>
      </c>
      <c r="J22" s="14"/>
      <c r="K22" s="14">
        <v>90</v>
      </c>
      <c r="L22" s="14">
        <v>4</v>
      </c>
      <c r="M22" s="14">
        <v>54</v>
      </c>
      <c r="N22" s="14">
        <v>131</v>
      </c>
      <c r="O22" s="14">
        <v>127</v>
      </c>
      <c r="P22" s="14">
        <v>246</v>
      </c>
      <c r="Q22" s="14">
        <v>259</v>
      </c>
      <c r="R22" s="14">
        <v>25</v>
      </c>
      <c r="S22" s="14"/>
      <c r="T22" s="14">
        <v>15</v>
      </c>
      <c r="U22" s="14">
        <v>326</v>
      </c>
      <c r="V22" s="14">
        <v>62</v>
      </c>
      <c r="W22" s="14">
        <v>228</v>
      </c>
      <c r="X22" s="14">
        <v>27</v>
      </c>
      <c r="Y22" s="14">
        <v>5</v>
      </c>
      <c r="Z22" s="14">
        <v>127</v>
      </c>
      <c r="AA22" s="14">
        <v>7</v>
      </c>
      <c r="AB22" s="14">
        <v>5</v>
      </c>
      <c r="AC22" s="14"/>
      <c r="AD22" s="14"/>
      <c r="AE22" s="14">
        <v>167</v>
      </c>
    </row>
    <row r="23" spans="2:31" x14ac:dyDescent="0.25">
      <c r="B23" s="18" t="s">
        <v>19</v>
      </c>
      <c r="C23" s="14"/>
      <c r="D23" s="14"/>
      <c r="E23" s="14"/>
      <c r="F23" s="14">
        <v>36</v>
      </c>
      <c r="G23" s="14"/>
      <c r="H23" s="14"/>
      <c r="I23" s="14">
        <v>16</v>
      </c>
      <c r="J23" s="14"/>
      <c r="K23" s="14"/>
      <c r="L23" s="14"/>
      <c r="M23" s="14">
        <v>42</v>
      </c>
      <c r="N23" s="14"/>
      <c r="O23" s="14">
        <v>15</v>
      </c>
      <c r="P23" s="14">
        <v>4</v>
      </c>
      <c r="Q23" s="14"/>
      <c r="R23" s="14"/>
      <c r="S23" s="14"/>
      <c r="T23" s="14">
        <v>3</v>
      </c>
      <c r="U23" s="14">
        <v>34</v>
      </c>
      <c r="V23" s="14">
        <v>16</v>
      </c>
      <c r="W23" s="14">
        <v>119</v>
      </c>
      <c r="X23" s="14"/>
      <c r="Y23" s="14"/>
      <c r="Z23" s="14"/>
      <c r="AA23" s="14">
        <v>7</v>
      </c>
      <c r="AB23" s="14"/>
      <c r="AC23" s="14"/>
      <c r="AD23" s="14"/>
      <c r="AE23" s="14">
        <v>20</v>
      </c>
    </row>
    <row r="24" spans="2:31" x14ac:dyDescent="0.25">
      <c r="B24" s="18" t="s">
        <v>20</v>
      </c>
      <c r="C24" s="14"/>
      <c r="D24" s="14"/>
      <c r="E24" s="14">
        <v>42</v>
      </c>
      <c r="F24" s="14">
        <v>20</v>
      </c>
      <c r="G24" s="14"/>
      <c r="H24" s="14"/>
      <c r="I24" s="14">
        <v>25</v>
      </c>
      <c r="J24" s="14"/>
      <c r="K24" s="14"/>
      <c r="L24" s="14"/>
      <c r="M24" s="14">
        <v>12</v>
      </c>
      <c r="N24" s="14">
        <v>131</v>
      </c>
      <c r="O24" s="14">
        <v>4</v>
      </c>
      <c r="P24" s="14">
        <v>206</v>
      </c>
      <c r="Q24" s="14">
        <v>18</v>
      </c>
      <c r="R24" s="14"/>
      <c r="S24" s="14"/>
      <c r="T24" s="14">
        <v>12</v>
      </c>
      <c r="U24" s="14">
        <v>55</v>
      </c>
      <c r="V24" s="14"/>
      <c r="W24" s="14">
        <v>14</v>
      </c>
      <c r="X24" s="14"/>
      <c r="Y24" s="14">
        <v>5</v>
      </c>
      <c r="Z24" s="14">
        <v>127</v>
      </c>
      <c r="AA24" s="14"/>
      <c r="AB24" s="14"/>
      <c r="AC24" s="14"/>
      <c r="AD24" s="14"/>
      <c r="AE24" s="14">
        <v>5</v>
      </c>
    </row>
    <row r="25" spans="2:31" x14ac:dyDescent="0.25">
      <c r="B25" s="18" t="s">
        <v>21</v>
      </c>
      <c r="C25" s="14"/>
      <c r="D25" s="14"/>
      <c r="E25" s="14"/>
      <c r="F25" s="14"/>
      <c r="G25" s="14"/>
      <c r="H25" s="14">
        <v>74</v>
      </c>
      <c r="I25" s="14"/>
      <c r="J25" s="14"/>
      <c r="K25" s="14"/>
      <c r="L25" s="14">
        <v>4</v>
      </c>
      <c r="M25" s="14"/>
      <c r="N25" s="14"/>
      <c r="O25" s="14">
        <v>3</v>
      </c>
      <c r="P25" s="14"/>
      <c r="Q25" s="14">
        <v>237</v>
      </c>
      <c r="R25" s="14"/>
      <c r="S25" s="14"/>
      <c r="T25" s="14"/>
      <c r="U25" s="14">
        <v>151</v>
      </c>
      <c r="V25" s="14"/>
      <c r="W25" s="14">
        <v>19</v>
      </c>
      <c r="X25" s="14"/>
      <c r="Y25" s="14"/>
      <c r="Z25" s="14"/>
      <c r="AA25" s="14"/>
      <c r="AB25" s="14">
        <v>5</v>
      </c>
      <c r="AC25" s="14"/>
      <c r="AD25" s="14"/>
      <c r="AE25" s="14"/>
    </row>
    <row r="26" spans="2:31" x14ac:dyDescent="0.25">
      <c r="B26" s="18" t="s">
        <v>24</v>
      </c>
      <c r="C26" s="14"/>
      <c r="D26" s="14"/>
      <c r="E26" s="14">
        <v>15</v>
      </c>
      <c r="F26" s="14"/>
      <c r="G26" s="14"/>
      <c r="H26" s="14"/>
      <c r="I26" s="14"/>
      <c r="J26" s="14"/>
      <c r="K26" s="14"/>
      <c r="L26" s="14"/>
      <c r="M26" s="14"/>
      <c r="N26" s="14"/>
      <c r="O26" s="14">
        <v>105</v>
      </c>
      <c r="P26" s="14">
        <v>36</v>
      </c>
      <c r="Q26" s="14"/>
      <c r="R26" s="14">
        <v>25</v>
      </c>
      <c r="S26" s="14"/>
      <c r="T26" s="14"/>
      <c r="U26" s="14">
        <v>75</v>
      </c>
      <c r="V26" s="14">
        <v>46</v>
      </c>
      <c r="W26" s="14">
        <v>30</v>
      </c>
      <c r="X26" s="14">
        <v>27</v>
      </c>
      <c r="Y26" s="14"/>
      <c r="Z26" s="14"/>
      <c r="AA26" s="14"/>
      <c r="AB26" s="14"/>
      <c r="AC26" s="14"/>
      <c r="AD26" s="14"/>
      <c r="AE26" s="14">
        <v>7</v>
      </c>
    </row>
    <row r="27" spans="2:31" x14ac:dyDescent="0.25">
      <c r="B27" s="18" t="s">
        <v>25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>
        <v>4</v>
      </c>
      <c r="R27" s="14"/>
      <c r="S27" s="14"/>
      <c r="T27" s="14"/>
      <c r="U27" s="14">
        <v>11</v>
      </c>
      <c r="V27" s="14"/>
      <c r="W27" s="14">
        <v>11</v>
      </c>
      <c r="X27" s="14"/>
      <c r="Y27" s="14"/>
      <c r="Z27" s="14"/>
      <c r="AA27" s="14"/>
      <c r="AB27" s="14"/>
      <c r="AC27" s="14"/>
      <c r="AD27" s="14"/>
      <c r="AE27" s="14"/>
    </row>
    <row r="28" spans="2:31" x14ac:dyDescent="0.25">
      <c r="B28" s="18" t="s">
        <v>143</v>
      </c>
      <c r="C28" s="14"/>
      <c r="D28" s="14"/>
      <c r="E28" s="14"/>
      <c r="F28" s="14">
        <v>20</v>
      </c>
      <c r="G28" s="14"/>
      <c r="H28" s="14">
        <v>165</v>
      </c>
      <c r="I28" s="14"/>
      <c r="J28" s="14"/>
      <c r="K28" s="14">
        <v>90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>
        <v>35</v>
      </c>
      <c r="X28" s="14"/>
      <c r="Y28" s="14"/>
      <c r="Z28" s="14"/>
      <c r="AA28" s="14"/>
      <c r="AB28" s="14"/>
      <c r="AC28" s="14"/>
      <c r="AD28" s="14"/>
      <c r="AE28" s="14">
        <v>135</v>
      </c>
    </row>
    <row r="29" spans="2:31" x14ac:dyDescent="0.25">
      <c r="B29" s="17" t="s">
        <v>108</v>
      </c>
      <c r="C29" s="14"/>
      <c r="D29" s="14"/>
      <c r="E29" s="14">
        <v>57</v>
      </c>
      <c r="F29" s="14">
        <v>76</v>
      </c>
      <c r="G29" s="14"/>
      <c r="H29" s="14">
        <v>239</v>
      </c>
      <c r="I29" s="14">
        <v>41</v>
      </c>
      <c r="J29" s="14"/>
      <c r="K29" s="14">
        <v>90</v>
      </c>
      <c r="L29" s="14">
        <v>4</v>
      </c>
      <c r="M29" s="14">
        <v>54</v>
      </c>
      <c r="N29" s="14">
        <v>131</v>
      </c>
      <c r="O29" s="14">
        <v>127</v>
      </c>
      <c r="P29" s="14">
        <v>246</v>
      </c>
      <c r="Q29" s="14">
        <v>259</v>
      </c>
      <c r="R29" s="14">
        <v>25</v>
      </c>
      <c r="S29" s="14"/>
      <c r="T29" s="14">
        <v>15</v>
      </c>
      <c r="U29" s="14">
        <v>326</v>
      </c>
      <c r="V29" s="14">
        <v>62</v>
      </c>
      <c r="W29" s="14">
        <v>228</v>
      </c>
      <c r="X29" s="14">
        <v>27</v>
      </c>
      <c r="Y29" s="14">
        <v>5</v>
      </c>
      <c r="Z29" s="14">
        <v>127</v>
      </c>
      <c r="AA29" s="14">
        <v>7</v>
      </c>
      <c r="AB29" s="14">
        <v>5</v>
      </c>
      <c r="AC29" s="14"/>
      <c r="AD29" s="14"/>
      <c r="AE29" s="14">
        <v>167</v>
      </c>
    </row>
    <row r="32" spans="2:31" x14ac:dyDescent="0.25">
      <c r="B32" s="17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2:31" x14ac:dyDescent="0.25">
      <c r="B33" s="17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2:31" x14ac:dyDescent="0.25">
      <c r="B34" s="13" t="s">
        <v>161</v>
      </c>
    </row>
    <row r="35" spans="2:31" ht="60" x14ac:dyDescent="0.25">
      <c r="B35" s="12" t="s">
        <v>107</v>
      </c>
      <c r="C35" s="16" t="s">
        <v>109</v>
      </c>
      <c r="D35" s="16" t="s">
        <v>114</v>
      </c>
      <c r="E35" s="16" t="s">
        <v>110</v>
      </c>
      <c r="F35" s="16" t="s">
        <v>111</v>
      </c>
      <c r="G35" s="16" t="s">
        <v>115</v>
      </c>
      <c r="H35" s="16" t="s">
        <v>116</v>
      </c>
      <c r="I35" s="16" t="s">
        <v>112</v>
      </c>
      <c r="J35" s="16" t="s">
        <v>113</v>
      </c>
      <c r="K35" s="16" t="s">
        <v>117</v>
      </c>
      <c r="L35" s="16" t="s">
        <v>118</v>
      </c>
      <c r="M35" s="16" t="s">
        <v>119</v>
      </c>
      <c r="N35" s="16" t="s">
        <v>120</v>
      </c>
      <c r="O35" s="16" t="s">
        <v>121</v>
      </c>
      <c r="P35" s="16" t="s">
        <v>122</v>
      </c>
      <c r="Q35" s="16" t="s">
        <v>123</v>
      </c>
      <c r="R35" s="16" t="s">
        <v>124</v>
      </c>
      <c r="S35" s="16" t="s">
        <v>126</v>
      </c>
      <c r="T35" s="16" t="s">
        <v>125</v>
      </c>
      <c r="U35" s="16" t="s">
        <v>127</v>
      </c>
      <c r="V35" s="16" t="s">
        <v>129</v>
      </c>
      <c r="W35" s="16" t="s">
        <v>128</v>
      </c>
      <c r="X35" s="16" t="s">
        <v>130</v>
      </c>
      <c r="Y35" s="16" t="s">
        <v>131</v>
      </c>
      <c r="Z35" s="16" t="s">
        <v>132</v>
      </c>
      <c r="AA35" s="16" t="s">
        <v>133</v>
      </c>
      <c r="AB35" s="16" t="s">
        <v>134</v>
      </c>
      <c r="AC35" s="16" t="s">
        <v>135</v>
      </c>
      <c r="AD35" s="16" t="s">
        <v>136</v>
      </c>
      <c r="AE35" s="16" t="s">
        <v>137</v>
      </c>
    </row>
    <row r="36" spans="2:31" x14ac:dyDescent="0.25">
      <c r="B36" s="13" t="s">
        <v>19</v>
      </c>
      <c r="C36" s="14"/>
      <c r="D36" s="14"/>
      <c r="E36" s="14">
        <v>45</v>
      </c>
      <c r="F36" s="14">
        <v>76</v>
      </c>
      <c r="G36" s="14"/>
      <c r="H36" s="14">
        <v>10</v>
      </c>
      <c r="I36" s="14">
        <v>56</v>
      </c>
      <c r="J36" s="14">
        <v>420</v>
      </c>
      <c r="K36" s="14">
        <v>111</v>
      </c>
      <c r="L36" s="14">
        <v>12</v>
      </c>
      <c r="M36" s="14">
        <v>91</v>
      </c>
      <c r="N36" s="14"/>
      <c r="O36" s="14">
        <v>20</v>
      </c>
      <c r="P36" s="14">
        <v>76</v>
      </c>
      <c r="Q36" s="14">
        <v>52</v>
      </c>
      <c r="R36" s="14">
        <v>18</v>
      </c>
      <c r="S36" s="14"/>
      <c r="T36" s="14">
        <v>3</v>
      </c>
      <c r="U36" s="14">
        <v>191</v>
      </c>
      <c r="V36" s="14">
        <v>86</v>
      </c>
      <c r="W36" s="14">
        <v>151</v>
      </c>
      <c r="X36" s="14"/>
      <c r="Y36" s="14"/>
      <c r="Z36" s="14"/>
      <c r="AA36" s="14">
        <v>7</v>
      </c>
      <c r="AB36" s="14"/>
      <c r="AC36" s="14"/>
      <c r="AD36" s="14"/>
      <c r="AE36" s="14">
        <v>40</v>
      </c>
    </row>
    <row r="37" spans="2:31" x14ac:dyDescent="0.25">
      <c r="B37" s="13" t="s">
        <v>20</v>
      </c>
      <c r="C37" s="14">
        <v>122</v>
      </c>
      <c r="D37" s="14"/>
      <c r="E37" s="14">
        <v>119</v>
      </c>
      <c r="F37" s="14">
        <v>50</v>
      </c>
      <c r="G37" s="14"/>
      <c r="H37" s="14">
        <v>10</v>
      </c>
      <c r="I37" s="14">
        <v>25</v>
      </c>
      <c r="J37" s="14"/>
      <c r="K37" s="14"/>
      <c r="L37" s="14">
        <v>7</v>
      </c>
      <c r="M37" s="14">
        <v>177</v>
      </c>
      <c r="N37" s="14">
        <v>191</v>
      </c>
      <c r="O37" s="14">
        <v>67</v>
      </c>
      <c r="P37" s="14">
        <v>602</v>
      </c>
      <c r="Q37" s="14">
        <v>210</v>
      </c>
      <c r="R37" s="14"/>
      <c r="S37" s="14"/>
      <c r="T37" s="14">
        <v>60</v>
      </c>
      <c r="U37" s="14">
        <v>76</v>
      </c>
      <c r="V37" s="14"/>
      <c r="W37" s="14">
        <v>71</v>
      </c>
      <c r="X37" s="14"/>
      <c r="Y37" s="14">
        <v>148</v>
      </c>
      <c r="Z37" s="14">
        <v>244</v>
      </c>
      <c r="AA37" s="14">
        <v>70</v>
      </c>
      <c r="AB37" s="14">
        <v>28</v>
      </c>
      <c r="AC37" s="14"/>
      <c r="AD37" s="14"/>
      <c r="AE37" s="14">
        <v>43</v>
      </c>
    </row>
    <row r="38" spans="2:31" x14ac:dyDescent="0.25">
      <c r="B38" s="13" t="s">
        <v>21</v>
      </c>
      <c r="C38" s="14"/>
      <c r="D38" s="14"/>
      <c r="E38" s="14">
        <v>6</v>
      </c>
      <c r="F38" s="14">
        <v>37</v>
      </c>
      <c r="G38" s="14"/>
      <c r="H38" s="14">
        <v>90</v>
      </c>
      <c r="I38" s="14"/>
      <c r="J38" s="14">
        <v>6</v>
      </c>
      <c r="K38" s="14"/>
      <c r="L38" s="14">
        <v>86</v>
      </c>
      <c r="M38" s="14">
        <v>54</v>
      </c>
      <c r="N38" s="14"/>
      <c r="O38" s="14">
        <v>9</v>
      </c>
      <c r="P38" s="14"/>
      <c r="Q38" s="14">
        <v>252</v>
      </c>
      <c r="R38" s="14">
        <v>26</v>
      </c>
      <c r="S38" s="14"/>
      <c r="T38" s="14"/>
      <c r="U38" s="14">
        <v>155</v>
      </c>
      <c r="V38" s="14">
        <v>104</v>
      </c>
      <c r="W38" s="14">
        <v>101</v>
      </c>
      <c r="X38" s="14"/>
      <c r="Y38" s="14"/>
      <c r="Z38" s="14"/>
      <c r="AA38" s="14"/>
      <c r="AB38" s="14">
        <v>23</v>
      </c>
      <c r="AC38" s="14"/>
      <c r="AD38" s="14"/>
      <c r="AE38" s="14"/>
    </row>
    <row r="39" spans="2:31" x14ac:dyDescent="0.25">
      <c r="B39" s="13" t="s">
        <v>22</v>
      </c>
      <c r="C39" s="14"/>
      <c r="D39" s="14">
        <v>15</v>
      </c>
      <c r="E39" s="14">
        <v>26</v>
      </c>
      <c r="F39" s="14">
        <v>15</v>
      </c>
      <c r="G39" s="14"/>
      <c r="H39" s="14">
        <v>10</v>
      </c>
      <c r="I39" s="14"/>
      <c r="J39" s="14">
        <v>13</v>
      </c>
      <c r="K39" s="14"/>
      <c r="L39" s="14">
        <v>50</v>
      </c>
      <c r="M39" s="14">
        <v>175</v>
      </c>
      <c r="N39" s="14"/>
      <c r="O39" s="14">
        <v>4</v>
      </c>
      <c r="P39" s="14">
        <v>9</v>
      </c>
      <c r="Q39" s="14">
        <v>68</v>
      </c>
      <c r="R39" s="14"/>
      <c r="S39" s="14"/>
      <c r="T39" s="14">
        <v>13</v>
      </c>
      <c r="U39" s="14">
        <v>67</v>
      </c>
      <c r="V39" s="14"/>
      <c r="W39" s="14">
        <v>28</v>
      </c>
      <c r="X39" s="14"/>
      <c r="Y39" s="14"/>
      <c r="Z39" s="14"/>
      <c r="AA39" s="14"/>
      <c r="AB39" s="14"/>
      <c r="AC39" s="14"/>
      <c r="AD39" s="14"/>
      <c r="AE39" s="14"/>
    </row>
    <row r="40" spans="2:31" x14ac:dyDescent="0.25">
      <c r="B40" s="13" t="s">
        <v>24</v>
      </c>
      <c r="C40" s="14">
        <v>10</v>
      </c>
      <c r="D40" s="14">
        <v>35</v>
      </c>
      <c r="E40" s="14">
        <v>50</v>
      </c>
      <c r="F40" s="14">
        <v>22</v>
      </c>
      <c r="G40" s="14"/>
      <c r="H40" s="14"/>
      <c r="I40" s="14"/>
      <c r="J40" s="14">
        <v>12</v>
      </c>
      <c r="K40" s="14"/>
      <c r="L40" s="14">
        <v>43</v>
      </c>
      <c r="M40" s="14">
        <v>68</v>
      </c>
      <c r="N40" s="14"/>
      <c r="O40" s="14">
        <v>143</v>
      </c>
      <c r="P40" s="14">
        <v>36</v>
      </c>
      <c r="Q40" s="14"/>
      <c r="R40" s="14">
        <v>47</v>
      </c>
      <c r="S40" s="14"/>
      <c r="T40" s="14"/>
      <c r="U40" s="14">
        <v>326</v>
      </c>
      <c r="V40" s="14">
        <v>86</v>
      </c>
      <c r="W40" s="14">
        <v>85</v>
      </c>
      <c r="X40" s="14">
        <v>103</v>
      </c>
      <c r="Y40" s="14">
        <v>63</v>
      </c>
      <c r="Z40" s="14"/>
      <c r="AA40" s="14"/>
      <c r="AB40" s="14"/>
      <c r="AC40" s="14"/>
      <c r="AD40" s="14"/>
      <c r="AE40" s="14">
        <v>13</v>
      </c>
    </row>
    <row r="41" spans="2:31" x14ac:dyDescent="0.25">
      <c r="B41" s="13" t="s">
        <v>25</v>
      </c>
      <c r="C41" s="14"/>
      <c r="D41" s="14">
        <v>15</v>
      </c>
      <c r="E41" s="14">
        <v>44</v>
      </c>
      <c r="F41" s="14">
        <v>325</v>
      </c>
      <c r="G41" s="14"/>
      <c r="H41" s="14"/>
      <c r="I41" s="14"/>
      <c r="J41" s="14">
        <v>158</v>
      </c>
      <c r="K41" s="14"/>
      <c r="L41" s="14">
        <v>10</v>
      </c>
      <c r="M41" s="14">
        <v>42</v>
      </c>
      <c r="N41" s="14"/>
      <c r="O41" s="14">
        <v>19</v>
      </c>
      <c r="P41" s="14"/>
      <c r="Q41" s="14">
        <v>47</v>
      </c>
      <c r="R41" s="14"/>
      <c r="S41" s="14"/>
      <c r="T41" s="14"/>
      <c r="U41" s="14">
        <v>72</v>
      </c>
      <c r="V41" s="14"/>
      <c r="W41" s="14">
        <v>154</v>
      </c>
      <c r="X41" s="14"/>
      <c r="Y41" s="14"/>
      <c r="Z41" s="14"/>
      <c r="AA41" s="14"/>
      <c r="AB41" s="14"/>
      <c r="AC41" s="14"/>
      <c r="AD41" s="14"/>
      <c r="AE41" s="14"/>
    </row>
    <row r="42" spans="2:31" x14ac:dyDescent="0.25">
      <c r="B42" s="13" t="s">
        <v>143</v>
      </c>
      <c r="C42" s="14"/>
      <c r="D42" s="14"/>
      <c r="E42" s="14"/>
      <c r="F42" s="14">
        <v>20</v>
      </c>
      <c r="G42" s="14"/>
      <c r="H42" s="14">
        <v>165</v>
      </c>
      <c r="I42" s="14"/>
      <c r="J42" s="14"/>
      <c r="K42" s="14">
        <v>90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v>35</v>
      </c>
      <c r="X42" s="14"/>
      <c r="Y42" s="14"/>
      <c r="Z42" s="14"/>
      <c r="AA42" s="14"/>
      <c r="AB42" s="14"/>
      <c r="AC42" s="14"/>
      <c r="AD42" s="14"/>
      <c r="AE42" s="14">
        <v>135</v>
      </c>
    </row>
    <row r="43" spans="2:31" x14ac:dyDescent="0.25">
      <c r="B43" s="13" t="s">
        <v>108</v>
      </c>
      <c r="C43" s="14">
        <v>132</v>
      </c>
      <c r="D43" s="14">
        <v>65</v>
      </c>
      <c r="E43" s="14">
        <v>290</v>
      </c>
      <c r="F43" s="14">
        <v>545</v>
      </c>
      <c r="G43" s="14"/>
      <c r="H43" s="14">
        <v>285</v>
      </c>
      <c r="I43" s="14">
        <v>81</v>
      </c>
      <c r="J43" s="14">
        <v>609</v>
      </c>
      <c r="K43" s="14">
        <v>201</v>
      </c>
      <c r="L43" s="14">
        <v>208</v>
      </c>
      <c r="M43" s="14">
        <v>607</v>
      </c>
      <c r="N43" s="14">
        <v>191</v>
      </c>
      <c r="O43" s="14">
        <v>262</v>
      </c>
      <c r="P43" s="14">
        <v>723</v>
      </c>
      <c r="Q43" s="14">
        <v>629</v>
      </c>
      <c r="R43" s="14">
        <v>91</v>
      </c>
      <c r="S43" s="14"/>
      <c r="T43" s="14">
        <v>76</v>
      </c>
      <c r="U43" s="14">
        <v>887</v>
      </c>
      <c r="V43" s="14">
        <v>276</v>
      </c>
      <c r="W43" s="14">
        <v>625</v>
      </c>
      <c r="X43" s="14">
        <v>103</v>
      </c>
      <c r="Y43" s="14">
        <v>211</v>
      </c>
      <c r="Z43" s="14">
        <v>244</v>
      </c>
      <c r="AA43" s="14">
        <v>77</v>
      </c>
      <c r="AB43" s="14">
        <v>51</v>
      </c>
      <c r="AC43" s="14"/>
      <c r="AD43" s="14"/>
      <c r="AE43" s="14">
        <v>231</v>
      </c>
    </row>
    <row r="45" spans="2:31" x14ac:dyDescent="0.25"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2:31" x14ac:dyDescent="0.25"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2:31" x14ac:dyDescent="0.25">
      <c r="S47" s="211" t="s">
        <v>13</v>
      </c>
      <c r="T47" s="211"/>
      <c r="U47" s="211"/>
      <c r="V47" s="211"/>
      <c r="W47" s="211"/>
      <c r="X47" s="211"/>
      <c r="Y47" s="211"/>
    </row>
    <row r="48" spans="2:31" x14ac:dyDescent="0.25">
      <c r="B48" s="216" t="s">
        <v>150</v>
      </c>
      <c r="C48" s="217"/>
      <c r="D48" s="217"/>
      <c r="E48" s="218"/>
      <c r="G48" s="216" t="s">
        <v>148</v>
      </c>
      <c r="H48" s="217"/>
      <c r="I48" s="217"/>
      <c r="J48" s="217"/>
      <c r="K48" s="218"/>
      <c r="L48" s="19"/>
      <c r="M48" s="216" t="s">
        <v>149</v>
      </c>
      <c r="N48" s="217"/>
      <c r="O48" s="217"/>
      <c r="P48" s="217"/>
      <c r="Q48" s="218"/>
      <c r="S48" s="48" t="s">
        <v>107</v>
      </c>
      <c r="T48" s="51" t="s">
        <v>153</v>
      </c>
      <c r="V48" s="22" t="s">
        <v>1</v>
      </c>
      <c r="W48" s="23" t="s">
        <v>154</v>
      </c>
      <c r="X48" s="23" t="s">
        <v>18</v>
      </c>
      <c r="Y48" s="24" t="s">
        <v>16</v>
      </c>
    </row>
    <row r="49" spans="2:25" x14ac:dyDescent="0.25">
      <c r="B49" s="30" t="s">
        <v>1</v>
      </c>
      <c r="C49" s="15" t="s">
        <v>140</v>
      </c>
      <c r="D49" s="15" t="s">
        <v>144</v>
      </c>
      <c r="E49" s="31" t="s">
        <v>145</v>
      </c>
      <c r="G49" s="30" t="s">
        <v>151</v>
      </c>
      <c r="H49" s="15" t="s">
        <v>1</v>
      </c>
      <c r="I49" s="15" t="s">
        <v>146</v>
      </c>
      <c r="J49" s="15" t="s">
        <v>140</v>
      </c>
      <c r="K49" s="31" t="s">
        <v>147</v>
      </c>
      <c r="M49" s="30" t="s">
        <v>151</v>
      </c>
      <c r="N49" s="15" t="s">
        <v>1</v>
      </c>
      <c r="O49" s="15" t="s">
        <v>146</v>
      </c>
      <c r="P49" s="15" t="s">
        <v>140</v>
      </c>
      <c r="Q49" s="31" t="s">
        <v>147</v>
      </c>
      <c r="S49" s="49" t="s">
        <v>18</v>
      </c>
      <c r="T49" s="107">
        <v>18</v>
      </c>
      <c r="V49" s="25" t="s">
        <v>19</v>
      </c>
      <c r="W49" s="26">
        <f>MAX(X49,Y49)</f>
        <v>3</v>
      </c>
      <c r="X49" s="26">
        <f>IFERROR(VLOOKUP($V49,$S$49:$T$57,2,0),0)</f>
        <v>3</v>
      </c>
      <c r="Y49" s="27">
        <f>IFERROR(VLOOKUP($V49,$S$57:$T$63,2,0),0)</f>
        <v>3</v>
      </c>
    </row>
    <row r="50" spans="2:25" x14ac:dyDescent="0.25">
      <c r="B50" s="25" t="s">
        <v>19</v>
      </c>
      <c r="C50" s="21" t="s">
        <v>76</v>
      </c>
      <c r="D50" s="35">
        <f>IFERROR(VLOOKUP($B50,$B$21:$AE$29,2,0),0)</f>
        <v>0</v>
      </c>
      <c r="E50" s="36">
        <f>IFERROR(VLOOKUP($B50,$B$35:$AE$43,2,0),0)</f>
        <v>0</v>
      </c>
      <c r="G50" s="25" t="str">
        <f>H50&amp;I50</f>
        <v xml:space="preserve">        FS011</v>
      </c>
      <c r="H50" s="32" t="s">
        <v>19</v>
      </c>
      <c r="I50" s="26">
        <v>1</v>
      </c>
      <c r="J50" s="26" cm="1">
        <f t="array" ref="J50">LARGE(IF($B$50:$B$281=H50,$D$50:$D$281),$I50)</f>
        <v>119</v>
      </c>
      <c r="K50" s="33" t="str" cm="1">
        <f t="array" ref="K50">IF(J50=0, "DNR", INDEX($C$50:$C$281,MATCH(LARGE(IF($B$50:$B$281=$H50,$D$50:$D$281),$I50), IF($B$50:$B$281=$H50,$D$50:$D$281),0)))</f>
        <v>Case Packer</v>
      </c>
      <c r="M50" s="25" t="str">
        <f>N50&amp;O50</f>
        <v xml:space="preserve">        FS011</v>
      </c>
      <c r="N50" s="32" t="s">
        <v>19</v>
      </c>
      <c r="O50" s="26">
        <v>1</v>
      </c>
      <c r="P50" s="26" cm="1">
        <f t="array" ref="P50">LARGE(IF($B$50:$B$281=N50,$E$50:$E$281),$I50)</f>
        <v>420</v>
      </c>
      <c r="Q50" s="33" t="str" cm="1">
        <f t="array" ref="Q50">IF(P50=0, "DNR", INDEX($C$50:$C$281,MATCH(LARGE(IF($B$50:$B$281=$H50,$E$50:$E$281),$I50), IF($B$50:$B$281=$H50,$E$50:$E$281),0)))</f>
        <v>QA External</v>
      </c>
      <c r="S50" s="169" t="s">
        <v>19</v>
      </c>
      <c r="T50" s="106">
        <v>3</v>
      </c>
      <c r="V50" s="25" t="s">
        <v>20</v>
      </c>
      <c r="W50" s="26">
        <f t="shared" ref="W50:W56" si="7">MAX(X50,Y50)</f>
        <v>4</v>
      </c>
      <c r="X50" s="26">
        <f t="shared" ref="X50:X56" si="8">IFERROR(VLOOKUP($V50,$S$49:$T$57,2,0),0)</f>
        <v>4</v>
      </c>
      <c r="Y50" s="27">
        <f>IFERROR(VLOOKUP($V50,$S$57:$T$63,2,0),0)</f>
        <v>3</v>
      </c>
    </row>
    <row r="51" spans="2:25" x14ac:dyDescent="0.25">
      <c r="B51" s="25" t="s">
        <v>19</v>
      </c>
      <c r="C51" s="21" t="s">
        <v>77</v>
      </c>
      <c r="D51" s="35">
        <f>IFERROR(VLOOKUP($B51,$B$21:$AE$29,3,0),0)</f>
        <v>0</v>
      </c>
      <c r="E51" s="36">
        <f>IFERROR(VLOOKUP($B51,$B$35:$AE$43,3,0),0)</f>
        <v>0</v>
      </c>
      <c r="G51" s="25" t="str">
        <f t="shared" ref="G51:G73" si="9">H51&amp;I51</f>
        <v xml:space="preserve">        FS012</v>
      </c>
      <c r="H51" s="32" t="s">
        <v>19</v>
      </c>
      <c r="I51" s="26">
        <v>2</v>
      </c>
      <c r="J51" s="26" cm="1">
        <f t="array" ref="J51">LARGE(IF($B$50:$B$281=H51,$D$50:$D$281),$I51)</f>
        <v>42</v>
      </c>
      <c r="K51" s="33" t="str" cm="1">
        <f t="array" ref="K51">IF(J51=0, "DNR", INDEX($C$50:$C$281,MATCH(LARGE(IF($B$50:$B$281=$H51,$D$50:$D$281),$I51), IF($B$50:$B$281=$H51,$D$50:$D$281),0)))</f>
        <v>Unloader</v>
      </c>
      <c r="M51" s="25" t="str">
        <f t="shared" ref="M51:M73" si="10">N51&amp;O51</f>
        <v xml:space="preserve">        FS012</v>
      </c>
      <c r="N51" s="32" t="s">
        <v>19</v>
      </c>
      <c r="O51" s="26">
        <v>2</v>
      </c>
      <c r="P51" s="26" cm="1">
        <f t="array" ref="P51">LARGE(IF($B$50:$B$281=N51,$E$50:$E$281),$I51)</f>
        <v>191</v>
      </c>
      <c r="Q51" s="33" t="str" cm="1">
        <f t="array" ref="Q51">IF(P51=0, "DNR", INDEX($C$50:$C$281,MATCH(LARGE(IF($B$50:$B$281=$H51,$E$50:$E$281),$I51), IF($B$50:$B$281=$H51,$E$50:$E$281),0)))</f>
        <v>Labeler</v>
      </c>
      <c r="S51" s="170" t="s">
        <v>20</v>
      </c>
      <c r="T51" s="106">
        <v>4</v>
      </c>
      <c r="V51" s="25" t="s">
        <v>21</v>
      </c>
      <c r="W51" s="26">
        <f t="shared" si="7"/>
        <v>3</v>
      </c>
      <c r="X51" s="26">
        <f t="shared" si="8"/>
        <v>3</v>
      </c>
      <c r="Y51" s="27">
        <f t="shared" ref="Y51:Y56" si="11">IFERROR(VLOOKUP($V51,$S$58:$T$63,2,0),0)</f>
        <v>0</v>
      </c>
    </row>
    <row r="52" spans="2:25" x14ac:dyDescent="0.25">
      <c r="B52" s="25" t="s">
        <v>19</v>
      </c>
      <c r="C52" s="21" t="s">
        <v>78</v>
      </c>
      <c r="D52" s="35">
        <f>IFERROR(VLOOKUP($B52,$B$21:$AE$29,4,0),0)</f>
        <v>0</v>
      </c>
      <c r="E52" s="36">
        <f>IFERROR(VLOOKUP($B52,$B$35:$AE$43,4,0),0)</f>
        <v>45</v>
      </c>
      <c r="G52" s="25" t="str">
        <f t="shared" si="9"/>
        <v xml:space="preserve">        FS013</v>
      </c>
      <c r="H52" s="32" t="s">
        <v>19</v>
      </c>
      <c r="I52" s="26">
        <v>3</v>
      </c>
      <c r="J52" s="26" cm="1">
        <f t="array" ref="J52">LARGE(IF($B$50:$B$281=H52,$D$50:$D$281),$I52)</f>
        <v>36</v>
      </c>
      <c r="K52" s="33" t="str" cm="1">
        <f t="array" ref="K52">IF(J52=0, "DNR", INDEX($C$50:$C$281,MATCH(LARGE(IF($B$50:$B$281=$H52,$D$50:$D$281),$I52), IF($B$50:$B$281=$H52,$D$50:$D$281),0)))</f>
        <v>Manning/Supplies</v>
      </c>
      <c r="M52" s="25" t="str">
        <f t="shared" si="10"/>
        <v xml:space="preserve">        FS013</v>
      </c>
      <c r="N52" s="32" t="s">
        <v>19</v>
      </c>
      <c r="O52" s="26">
        <v>3</v>
      </c>
      <c r="P52" s="26" cm="1">
        <f t="array" ref="P52">LARGE(IF($B$50:$B$281=N52,$E$50:$E$281),$I52)</f>
        <v>151</v>
      </c>
      <c r="Q52" s="33" t="str" cm="1">
        <f t="array" ref="Q52">IF(P52=0, "DNR", INDEX($C$50:$C$281,MATCH(LARGE(IF($B$50:$B$281=$H52,$E$50:$E$281),$I52), IF($B$50:$B$281=$H52,$E$50:$E$281),0)))</f>
        <v>Case Packer</v>
      </c>
      <c r="S52" s="170" t="s">
        <v>22</v>
      </c>
      <c r="T52" s="106">
        <v>1</v>
      </c>
      <c r="V52" s="25" t="s">
        <v>22</v>
      </c>
      <c r="W52" s="26">
        <f t="shared" si="7"/>
        <v>1</v>
      </c>
      <c r="X52" s="26">
        <f t="shared" si="8"/>
        <v>1</v>
      </c>
      <c r="Y52" s="27">
        <f t="shared" si="11"/>
        <v>1</v>
      </c>
    </row>
    <row r="53" spans="2:25" x14ac:dyDescent="0.25">
      <c r="B53" s="25" t="s">
        <v>19</v>
      </c>
      <c r="C53" s="21" t="s">
        <v>141</v>
      </c>
      <c r="D53" s="35">
        <f>IFERROR(VLOOKUP($B53,$B$21:$AE$29,5,0),0)</f>
        <v>36</v>
      </c>
      <c r="E53" s="36">
        <f>IFERROR(VLOOKUP($B53,$B$35:$AE$43,5,0),0)</f>
        <v>76</v>
      </c>
      <c r="G53" s="25" t="str">
        <f t="shared" si="9"/>
        <v xml:space="preserve">        FS031</v>
      </c>
      <c r="H53" s="32" t="s">
        <v>20</v>
      </c>
      <c r="I53" s="26">
        <v>1</v>
      </c>
      <c r="J53" s="26" cm="1">
        <f t="array" ref="J53">LARGE(IF($B$50:$B$281=H53,$D$50:$D$281),$I53)</f>
        <v>206</v>
      </c>
      <c r="K53" s="33" t="str" cm="1">
        <f t="array" ref="K53">IF(J53=0, "DNR", INDEX($C$50:$C$281,MATCH(LARGE(IF($B$50:$B$281=$H53,$D$50:$D$281),$I53), IF($B$50:$B$281=$H53,$D$50:$D$281),0)))</f>
        <v>Filler</v>
      </c>
      <c r="M53" s="25" t="str">
        <f t="shared" si="10"/>
        <v xml:space="preserve">        FS031</v>
      </c>
      <c r="N53" s="32" t="s">
        <v>20</v>
      </c>
      <c r="O53" s="26">
        <v>1</v>
      </c>
      <c r="P53" s="26" cm="1">
        <f t="array" ref="P53">LARGE(IF($B$50:$B$281=N53,$E$50:$E$281),$I53)</f>
        <v>602</v>
      </c>
      <c r="Q53" s="33" t="str" cm="1">
        <f t="array" ref="Q53">IF(P53=0, "DNR", INDEX($C$50:$C$281,MATCH(LARGE(IF($B$50:$B$281=$H53,$E$50:$E$281),$I53), IF($B$50:$B$281=$H53,$E$50:$E$281),0)))</f>
        <v>Filler</v>
      </c>
      <c r="S53" s="170" t="s">
        <v>24</v>
      </c>
      <c r="T53" s="106">
        <v>3</v>
      </c>
      <c r="V53" s="25" t="s">
        <v>23</v>
      </c>
      <c r="W53" s="26">
        <f t="shared" si="7"/>
        <v>0</v>
      </c>
      <c r="X53" s="26">
        <f t="shared" si="8"/>
        <v>0</v>
      </c>
      <c r="Y53" s="27">
        <f t="shared" si="11"/>
        <v>0</v>
      </c>
    </row>
    <row r="54" spans="2:25" x14ac:dyDescent="0.25">
      <c r="B54" s="25" t="s">
        <v>19</v>
      </c>
      <c r="C54" s="21" t="s">
        <v>80</v>
      </c>
      <c r="D54" s="35">
        <f>IFERROR(VLOOKUP($B54,$B$21:$AE$29,6,0),0)</f>
        <v>0</v>
      </c>
      <c r="E54" s="36">
        <f>IFERROR(VLOOKUP($B54,$B$35:$AE$43,6,0),0)</f>
        <v>0</v>
      </c>
      <c r="G54" s="25" t="str">
        <f t="shared" si="9"/>
        <v xml:space="preserve">        FS032</v>
      </c>
      <c r="H54" s="32" t="s">
        <v>20</v>
      </c>
      <c r="I54" s="26">
        <v>2</v>
      </c>
      <c r="J54" s="26" cm="1">
        <f t="array" ref="J54">LARGE(IF($B$50:$B$281=H54,$D$50:$D$281),$I54)</f>
        <v>131</v>
      </c>
      <c r="K54" s="33" t="str" cm="1">
        <f t="array" ref="K54">IF(J54=0, "DNR", INDEX($C$50:$C$281,MATCH(LARGE(IF($B$50:$B$281=$H54,$D$50:$D$281),$I54), IF($B$50:$B$281=$H54,$D$50:$D$281),0)))</f>
        <v>Bulk Unloader</v>
      </c>
      <c r="M54" s="25" t="str">
        <f t="shared" si="10"/>
        <v xml:space="preserve">        FS032</v>
      </c>
      <c r="N54" s="32" t="s">
        <v>20</v>
      </c>
      <c r="O54" s="26">
        <v>2</v>
      </c>
      <c r="P54" s="26" cm="1">
        <f t="array" ref="P54">LARGE(IF($B$50:$B$281=N54,$E$50:$E$281),$I54)</f>
        <v>244</v>
      </c>
      <c r="Q54" s="33" t="str" cm="1">
        <f t="array" ref="Q54">IF(P54=0, "DNR", INDEX($C$50:$C$281,MATCH(LARGE(IF($B$50:$B$281=$H54,$E$50:$E$281),$I54), IF($B$50:$B$281=$H54,$E$50:$E$281),0)))</f>
        <v>APM</v>
      </c>
      <c r="S54" s="170" t="s">
        <v>25</v>
      </c>
      <c r="T54" s="106">
        <v>3</v>
      </c>
      <c r="V54" s="25" t="s">
        <v>24</v>
      </c>
      <c r="W54" s="26">
        <f t="shared" si="7"/>
        <v>3</v>
      </c>
      <c r="X54" s="26">
        <f t="shared" si="8"/>
        <v>3</v>
      </c>
      <c r="Y54" s="27">
        <f t="shared" si="11"/>
        <v>3</v>
      </c>
    </row>
    <row r="55" spans="2:25" x14ac:dyDescent="0.25">
      <c r="B55" s="25" t="s">
        <v>19</v>
      </c>
      <c r="C55" s="21" t="s">
        <v>142</v>
      </c>
      <c r="D55" s="35">
        <f>IFERROR(VLOOKUP($B55,$B$21:$AE$29,7,0),0)</f>
        <v>0</v>
      </c>
      <c r="E55" s="36">
        <f>IFERROR(VLOOKUP($B55,$B$35:$AE$43,7,0),0)</f>
        <v>10</v>
      </c>
      <c r="G55" s="25" t="str">
        <f t="shared" si="9"/>
        <v xml:space="preserve">        FS033</v>
      </c>
      <c r="H55" s="32" t="s">
        <v>20</v>
      </c>
      <c r="I55" s="26">
        <v>3</v>
      </c>
      <c r="J55" s="26" cm="1">
        <f t="array" ref="J55">LARGE(IF($B$50:$B$281=H55,$D$50:$D$281),$I55)</f>
        <v>127</v>
      </c>
      <c r="K55" s="33" t="str" cm="1">
        <f t="array" ref="K55">IF(J55=0, "DNR", INDEX($C$50:$C$281,MATCH(LARGE(IF($B$50:$B$281=$H55,$D$50:$D$281),$I55), IF($B$50:$B$281=$H55,$D$50:$D$281),0)))</f>
        <v>APM</v>
      </c>
      <c r="M55" s="25" t="str">
        <f t="shared" si="10"/>
        <v xml:space="preserve">        FS033</v>
      </c>
      <c r="N55" s="32" t="s">
        <v>20</v>
      </c>
      <c r="O55" s="26">
        <v>3</v>
      </c>
      <c r="P55" s="26" cm="1">
        <f t="array" ref="P55">LARGE(IF($B$50:$B$281=N55,$E$50:$E$281),$I55)</f>
        <v>210</v>
      </c>
      <c r="Q55" s="33" t="str" cm="1">
        <f t="array" ref="Q55">IF(P55=0, "DNR", INDEX($C$50:$C$281,MATCH(LARGE(IF($B$50:$B$281=$H55,$E$50:$E$281),$I55), IF($B$50:$B$281=$H55,$E$50:$E$281),0)))</f>
        <v>Capper</v>
      </c>
      <c r="S55" s="170" t="s">
        <v>21</v>
      </c>
      <c r="T55" s="153">
        <v>3</v>
      </c>
      <c r="V55" s="28" t="s">
        <v>25</v>
      </c>
      <c r="W55" s="26">
        <f>MAX(X55,Y55)</f>
        <v>3</v>
      </c>
      <c r="X55" s="26">
        <f t="shared" si="8"/>
        <v>3</v>
      </c>
      <c r="Y55" s="27">
        <f t="shared" si="11"/>
        <v>1</v>
      </c>
    </row>
    <row r="56" spans="2:25" x14ac:dyDescent="0.25">
      <c r="B56" s="25" t="s">
        <v>19</v>
      </c>
      <c r="C56" s="21" t="s">
        <v>82</v>
      </c>
      <c r="D56" s="35">
        <f>IFERROR(VLOOKUP($B56,$B$21:$AE$29,8,0),0)</f>
        <v>16</v>
      </c>
      <c r="E56" s="36">
        <f>IFERROR(VLOOKUP($B56,$B$35:$AE$43,8,0),0)</f>
        <v>56</v>
      </c>
      <c r="G56" s="25" t="str">
        <f t="shared" si="9"/>
        <v xml:space="preserve">        FS041</v>
      </c>
      <c r="H56" s="32" t="s">
        <v>21</v>
      </c>
      <c r="I56" s="26">
        <v>1</v>
      </c>
      <c r="J56" s="26" cm="1">
        <f t="array" ref="J56">LARGE(IF($B$50:$B$281=H56,$D$50:$D$281),$I56)</f>
        <v>237</v>
      </c>
      <c r="K56" s="33" t="str" cm="1">
        <f t="array" ref="K56">IF(J56=0, "DNR", INDEX($C$50:$C$281,MATCH(LARGE(IF($B$50:$B$281=$H56,$D$50:$D$281),$I56), IF($B$50:$B$281=$H56,$D$50:$D$281),0)))</f>
        <v>Capper</v>
      </c>
      <c r="M56" s="25" t="str">
        <f t="shared" si="10"/>
        <v xml:space="preserve">        FS041</v>
      </c>
      <c r="N56" s="32" t="s">
        <v>21</v>
      </c>
      <c r="O56" s="26">
        <v>1</v>
      </c>
      <c r="P56" s="26" cm="1">
        <f t="array" ref="P56">LARGE(IF($B$50:$B$281=N56,$E$50:$E$281),$I56)</f>
        <v>252</v>
      </c>
      <c r="Q56" s="33" t="str" cm="1">
        <f t="array" ref="Q56">IF(P56=0, "DNR", INDEX($C$50:$C$281,MATCH(LARGE(IF($B$50:$B$281=$H56,$E$50:$E$281),$I56), IF($B$50:$B$281=$H56,$E$50:$E$281),0)))</f>
        <v>Capper</v>
      </c>
      <c r="S56" s="171" t="s">
        <v>143</v>
      </c>
      <c r="T56" s="153">
        <v>1</v>
      </c>
      <c r="V56" s="28" t="s">
        <v>143</v>
      </c>
      <c r="W56" s="26">
        <f t="shared" si="7"/>
        <v>1</v>
      </c>
      <c r="X56" s="26">
        <f t="shared" si="8"/>
        <v>1</v>
      </c>
      <c r="Y56" s="27">
        <f t="shared" si="11"/>
        <v>0</v>
      </c>
    </row>
    <row r="57" spans="2:25" x14ac:dyDescent="0.25">
      <c r="B57" s="25" t="s">
        <v>19</v>
      </c>
      <c r="C57" s="21" t="s">
        <v>83</v>
      </c>
      <c r="D57" s="35">
        <f>IFERROR(VLOOKUP($B57,$B$21:$AE$29,9,0),0)</f>
        <v>0</v>
      </c>
      <c r="E57" s="36">
        <f>IFERROR(VLOOKUP($B57,$B$35:$AE$43,9,0),0)</f>
        <v>420</v>
      </c>
      <c r="G57" s="25" t="str">
        <f t="shared" si="9"/>
        <v xml:space="preserve">        FS042</v>
      </c>
      <c r="H57" s="32" t="s">
        <v>21</v>
      </c>
      <c r="I57" s="26">
        <v>2</v>
      </c>
      <c r="J57" s="26" cm="1">
        <f t="array" ref="J57">LARGE(IF($B$50:$B$281=H57,$D$50:$D$281),$I57)</f>
        <v>151</v>
      </c>
      <c r="K57" s="33" t="str" cm="1">
        <f t="array" ref="K57">IF(J57=0, "DNR", INDEX($C$50:$C$281,MATCH(LARGE(IF($B$50:$B$281=$H57,$D$50:$D$281),$I57), IF($B$50:$B$281=$H57,$D$50:$D$281),0)))</f>
        <v>Labeler</v>
      </c>
      <c r="M57" s="25" t="str">
        <f t="shared" si="10"/>
        <v xml:space="preserve">        FS042</v>
      </c>
      <c r="N57" s="32" t="s">
        <v>21</v>
      </c>
      <c r="O57" s="26">
        <v>2</v>
      </c>
      <c r="P57" s="26" cm="1">
        <f t="array" ref="P57">LARGE(IF($B$50:$B$281=N57,$E$50:$E$281),$I57)</f>
        <v>155</v>
      </c>
      <c r="Q57" s="33" t="str" cm="1">
        <f t="array" ref="Q57">IF(P57=0, "DNR", INDEX($C$50:$C$281,MATCH(LARGE(IF($B$50:$B$281=$H57,$E$50:$E$281),$I57), IF($B$50:$B$281=$H57,$E$50:$E$281),0)))</f>
        <v>Labeler</v>
      </c>
      <c r="S57" s="49" t="s">
        <v>16</v>
      </c>
      <c r="T57" s="106">
        <v>11</v>
      </c>
      <c r="V57" s="25" t="s">
        <v>108</v>
      </c>
      <c r="W57" s="26">
        <f t="shared" ref="W57" si="12">MAX(X57,Y57)</f>
        <v>4</v>
      </c>
      <c r="X57" s="26">
        <f>MAX(X49:X56)</f>
        <v>4</v>
      </c>
      <c r="Y57" s="26">
        <f>MAX(Y49:Y56)</f>
        <v>3</v>
      </c>
    </row>
    <row r="58" spans="2:25" x14ac:dyDescent="0.25">
      <c r="B58" s="25" t="s">
        <v>19</v>
      </c>
      <c r="C58" s="21" t="s">
        <v>84</v>
      </c>
      <c r="D58" s="35">
        <f>IFERROR(VLOOKUP($B58,$B$21:$AE$29,10,0),0)</f>
        <v>0</v>
      </c>
      <c r="E58" s="36">
        <f>IFERROR(VLOOKUP($B58,$B$35:$AE$43,10,0),0)</f>
        <v>111</v>
      </c>
      <c r="G58" s="25" t="str">
        <f t="shared" si="9"/>
        <v xml:space="preserve">        FS043</v>
      </c>
      <c r="H58" s="32" t="s">
        <v>21</v>
      </c>
      <c r="I58" s="26">
        <v>3</v>
      </c>
      <c r="J58" s="26" cm="1">
        <f t="array" ref="J58">LARGE(IF($B$50:$B$281=H58,$D$50:$D$281),$I58)</f>
        <v>74</v>
      </c>
      <c r="K58" s="33" t="str" cm="1">
        <f t="array" ref="K58">IF(J58=0, "DNR", INDEX($C$50:$C$281,MATCH(LARGE(IF($B$50:$B$281=$H58,$D$50:$D$281),$I58), IF($B$50:$B$281=$H58,$D$50:$D$281),0)))</f>
        <v>Proof Cks/Lab</v>
      </c>
      <c r="M58" s="25" t="str">
        <f t="shared" si="10"/>
        <v xml:space="preserve">        FS043</v>
      </c>
      <c r="N58" s="32" t="s">
        <v>21</v>
      </c>
      <c r="O58" s="26">
        <v>3</v>
      </c>
      <c r="P58" s="26" cm="1">
        <f t="array" ref="P58">LARGE(IF($B$50:$B$281=N58,$E$50:$E$281),$I58)</f>
        <v>104</v>
      </c>
      <c r="Q58" s="33" t="str" cm="1">
        <f t="array" ref="Q58">IF(P58=0, "DNR", INDEX($C$50:$C$281,MATCH(LARGE(IF($B$50:$B$281=$H58,$E$50:$E$281),$I58), IF($B$50:$B$281=$H58,$E$50:$E$281),0)))</f>
        <v>Wash</v>
      </c>
      <c r="S58" s="169" t="s">
        <v>19</v>
      </c>
      <c r="T58" s="106">
        <v>3</v>
      </c>
    </row>
    <row r="59" spans="2:25" x14ac:dyDescent="0.25">
      <c r="B59" s="25" t="s">
        <v>19</v>
      </c>
      <c r="C59" s="21" t="s">
        <v>85</v>
      </c>
      <c r="D59" s="35">
        <f>IFERROR(VLOOKUP($B59,$B$21:$AE$29,11,0),0)</f>
        <v>0</v>
      </c>
      <c r="E59" s="36">
        <f>IFERROR(VLOOKUP($B59,$B$35:$AE$43,11,0),0)</f>
        <v>12</v>
      </c>
      <c r="G59" s="25" t="str">
        <f t="shared" si="9"/>
        <v xml:space="preserve">        FS051</v>
      </c>
      <c r="H59" s="32" t="s">
        <v>22</v>
      </c>
      <c r="I59" s="26">
        <v>1</v>
      </c>
      <c r="J59" s="26" cm="1">
        <f t="array" ref="J59">LARGE(IF($B$50:$B$281=H59,$D$50:$D$281),$I59)</f>
        <v>0</v>
      </c>
      <c r="K59" s="33" t="str" cm="1">
        <f t="array" ref="K59">IF(J59=0, "DNR", INDEX($C$50:$C$281,MATCH(LARGE(IF($B$50:$B$281=$H59,$D$50:$D$281),$I59), IF($B$50:$B$281=$H59,$D$50:$D$281),0)))</f>
        <v>DNR</v>
      </c>
      <c r="M59" s="25" t="str">
        <f t="shared" si="10"/>
        <v xml:space="preserve">        FS051</v>
      </c>
      <c r="N59" s="32" t="s">
        <v>22</v>
      </c>
      <c r="O59" s="26">
        <v>1</v>
      </c>
      <c r="P59" s="26" cm="1">
        <f t="array" ref="P59">LARGE(IF($B$50:$B$281=N59,$E$50:$E$281),$I59)</f>
        <v>175</v>
      </c>
      <c r="Q59" s="33" t="str" cm="1">
        <f t="array" ref="Q59">IF(P59=0, "DNR", INDEX($C$50:$C$281,MATCH(LARGE(IF($B$50:$B$281=$H59,$E$50:$E$281),$I59), IF($B$50:$B$281=$H59,$E$50:$E$281),0)))</f>
        <v>Unloader</v>
      </c>
      <c r="S59" s="170" t="s">
        <v>20</v>
      </c>
      <c r="T59" s="106">
        <v>3</v>
      </c>
    </row>
    <row r="60" spans="2:25" x14ac:dyDescent="0.25">
      <c r="B60" s="25" t="s">
        <v>19</v>
      </c>
      <c r="C60" s="21" t="s">
        <v>86</v>
      </c>
      <c r="D60" s="35">
        <f>IFERROR(VLOOKUP($B60,$B$21:$AE$29,12,0),0)</f>
        <v>42</v>
      </c>
      <c r="E60" s="36">
        <f>IFERROR(VLOOKUP($B60,$B$35:$AE$43,12,0),0)</f>
        <v>91</v>
      </c>
      <c r="G60" s="25" t="str">
        <f t="shared" si="9"/>
        <v xml:space="preserve">        FS052</v>
      </c>
      <c r="H60" s="32" t="s">
        <v>22</v>
      </c>
      <c r="I60" s="26">
        <v>2</v>
      </c>
      <c r="J60" s="26" cm="1">
        <f t="array" ref="J60">LARGE(IF($B$50:$B$281=H60,$D$50:$D$281),$I60)</f>
        <v>0</v>
      </c>
      <c r="K60" s="33" t="str" cm="1">
        <f t="array" ref="K60">IF(J60=0, "DNR", INDEX($C$50:$C$281,MATCH(LARGE(IF($B$50:$B$281=$H60,$D$50:$D$281),$I60), IF($B$50:$B$281=$H60,$D$50:$D$281),0)))</f>
        <v>DNR</v>
      </c>
      <c r="M60" s="25" t="str">
        <f t="shared" si="10"/>
        <v xml:space="preserve">        FS052</v>
      </c>
      <c r="N60" s="32" t="s">
        <v>22</v>
      </c>
      <c r="O60" s="26">
        <v>2</v>
      </c>
      <c r="P60" s="26" cm="1">
        <f t="array" ref="P60">LARGE(IF($B$50:$B$281=N60,$E$50:$E$281),$I60)</f>
        <v>68</v>
      </c>
      <c r="Q60" s="33" t="str" cm="1">
        <f t="array" ref="Q60">IF(P60=0, "DNR", INDEX($C$50:$C$281,MATCH(LARGE(IF($B$50:$B$281=$H60,$E$50:$E$281),$I60), IF($B$50:$B$281=$H60,$E$50:$E$281),0)))</f>
        <v>Capper</v>
      </c>
      <c r="S60" s="170" t="s">
        <v>22</v>
      </c>
      <c r="T60" s="106">
        <v>1</v>
      </c>
    </row>
    <row r="61" spans="2:25" x14ac:dyDescent="0.25">
      <c r="B61" s="25" t="s">
        <v>19</v>
      </c>
      <c r="C61" s="21" t="s">
        <v>87</v>
      </c>
      <c r="D61" s="35">
        <f>IFERROR(VLOOKUP($B61,$B$21:$AE$29,13,0),0)</f>
        <v>0</v>
      </c>
      <c r="E61" s="36">
        <f>IFERROR(VLOOKUP($B61,$B$35:$AE$43,13,0),0)</f>
        <v>0</v>
      </c>
      <c r="G61" s="25" t="str">
        <f t="shared" si="9"/>
        <v xml:space="preserve">        FS053</v>
      </c>
      <c r="H61" s="32" t="s">
        <v>22</v>
      </c>
      <c r="I61" s="26">
        <v>3</v>
      </c>
      <c r="J61" s="26" cm="1">
        <f t="array" ref="J61">LARGE(IF($B$50:$B$281=H61,$D$50:$D$281),$I61)</f>
        <v>0</v>
      </c>
      <c r="K61" s="33" t="str" cm="1">
        <f t="array" ref="K61">IF(J61=0, "DNR", INDEX($C$50:$C$281,MATCH(LARGE(IF($B$50:$B$281=$H61,$D$50:$D$281),$I61), IF($B$50:$B$281=$H61,$D$50:$D$281),0)))</f>
        <v>DNR</v>
      </c>
      <c r="M61" s="25" t="str">
        <f t="shared" si="10"/>
        <v xml:space="preserve">        FS053</v>
      </c>
      <c r="N61" s="32" t="s">
        <v>22</v>
      </c>
      <c r="O61" s="26">
        <v>3</v>
      </c>
      <c r="P61" s="26" cm="1">
        <f t="array" ref="P61">LARGE(IF($B$50:$B$281=N61,$E$50:$E$281),$I61)</f>
        <v>67</v>
      </c>
      <c r="Q61" s="33" t="str" cm="1">
        <f t="array" ref="Q61">IF(P61=0, "DNR", INDEX($C$50:$C$281,MATCH(LARGE(IF($B$50:$B$281=$H61,$E$50:$E$281),$I61), IF($B$50:$B$281=$H61,$E$50:$E$281),0)))</f>
        <v>Labeler</v>
      </c>
      <c r="S61" s="171" t="s">
        <v>24</v>
      </c>
      <c r="T61" s="106">
        <v>3</v>
      </c>
    </row>
    <row r="62" spans="2:25" x14ac:dyDescent="0.25">
      <c r="B62" s="25" t="s">
        <v>19</v>
      </c>
      <c r="C62" s="21" t="s">
        <v>88</v>
      </c>
      <c r="D62" s="35">
        <f>IFERROR(VLOOKUP($B62,$B$21:$AE$29,14,0),0)</f>
        <v>15</v>
      </c>
      <c r="E62" s="36">
        <f>IFERROR(VLOOKUP($B62,$B$35:$AE$43,14,0),0)</f>
        <v>20</v>
      </c>
      <c r="G62" s="25" t="str">
        <f t="shared" si="9"/>
        <v xml:space="preserve">        FS091</v>
      </c>
      <c r="H62" s="32" t="s">
        <v>23</v>
      </c>
      <c r="I62" s="26">
        <v>1</v>
      </c>
      <c r="J62" s="26" cm="1">
        <f t="array" ref="J62">LARGE(IF($B$50:$B$281=H62,$D$50:$D$281),$I62)</f>
        <v>0</v>
      </c>
      <c r="K62" s="33" t="str" cm="1">
        <f t="array" ref="K62">IF(J62=0, "DNR", INDEX($C$50:$C$281,MATCH(LARGE(IF($B$50:$B$281=$H62,$D$50:$D$281),$I62), IF($B$50:$B$281=$H62,$D$50:$D$281),0)))</f>
        <v>DNR</v>
      </c>
      <c r="M62" s="25" t="str">
        <f t="shared" si="10"/>
        <v xml:space="preserve">        FS091</v>
      </c>
      <c r="N62" s="32" t="s">
        <v>23</v>
      </c>
      <c r="O62" s="26">
        <v>1</v>
      </c>
      <c r="P62" s="26" cm="1">
        <f t="array" ref="P62">LARGE(IF($B$50:$B$281=N62,$E$50:$E$281),$I62)</f>
        <v>0</v>
      </c>
      <c r="Q62" s="33" t="str" cm="1">
        <f t="array" ref="Q62">IF(P62=0, "DNR", INDEX($C$50:$C$281,MATCH(LARGE(IF($B$50:$B$281=$H62,$E$50:$E$281),$I62), IF($B$50:$B$281=$H62,$E$50:$E$281),0)))</f>
        <v>DNR</v>
      </c>
      <c r="S62" s="152" t="s">
        <v>25</v>
      </c>
      <c r="T62" s="153">
        <v>1</v>
      </c>
    </row>
    <row r="63" spans="2:25" x14ac:dyDescent="0.25">
      <c r="B63" s="25" t="s">
        <v>19</v>
      </c>
      <c r="C63" s="21" t="s">
        <v>89</v>
      </c>
      <c r="D63" s="35">
        <f>IFERROR(VLOOKUP($B63,$B$21:$AE$29,15,0),0)</f>
        <v>4</v>
      </c>
      <c r="E63" s="36">
        <f>IFERROR(VLOOKUP($B63,$B$35:$AE$43,15,0),0)</f>
        <v>76</v>
      </c>
      <c r="G63" s="25" t="str">
        <f t="shared" si="9"/>
        <v xml:space="preserve">        FS092</v>
      </c>
      <c r="H63" s="32" t="s">
        <v>23</v>
      </c>
      <c r="I63" s="26">
        <v>2</v>
      </c>
      <c r="J63" s="26" cm="1">
        <f t="array" ref="J63">LARGE(IF($B$50:$B$281=H63,$D$50:$D$281),$I63)</f>
        <v>0</v>
      </c>
      <c r="K63" s="33" t="str" cm="1">
        <f t="array" ref="K63">IF(J63=0, "DNR", INDEX($C$50:$C$281,MATCH(LARGE(IF($B$50:$B$281=$H63,$D$50:$D$281),$I63), IF($B$50:$B$281=$H63,$D$50:$D$281),0)))</f>
        <v>DNR</v>
      </c>
      <c r="M63" s="25" t="str">
        <f t="shared" si="10"/>
        <v xml:space="preserve">        FS092</v>
      </c>
      <c r="N63" s="32" t="s">
        <v>23</v>
      </c>
      <c r="O63" s="26">
        <v>2</v>
      </c>
      <c r="P63" s="26" cm="1">
        <f t="array" ref="P63">LARGE(IF($B$50:$B$281=N63,$E$50:$E$281),$I63)</f>
        <v>0</v>
      </c>
      <c r="Q63" s="33" t="str" cm="1">
        <f t="array" ref="Q63">IF(P63=0, "DNR", INDEX($C$50:$C$281,MATCH(LARGE(IF($B$50:$B$281=$H63,$E$50:$E$281),$I63), IF($B$50:$B$281=$H63,$E$50:$E$281),0)))</f>
        <v>DNR</v>
      </c>
      <c r="S63" s="49" t="s">
        <v>190</v>
      </c>
      <c r="T63" s="153"/>
    </row>
    <row r="64" spans="2:25" x14ac:dyDescent="0.25">
      <c r="B64" s="25" t="s">
        <v>19</v>
      </c>
      <c r="C64" s="21" t="s">
        <v>90</v>
      </c>
      <c r="D64" s="35">
        <f>IFERROR(VLOOKUP($B64,$B$21:$AE$29,16,0),0)</f>
        <v>0</v>
      </c>
      <c r="E64" s="36">
        <f>IFERROR(VLOOKUP($B64,$B$35:$AE$43,16,0),0)</f>
        <v>52</v>
      </c>
      <c r="G64" s="25" t="str">
        <f t="shared" si="9"/>
        <v xml:space="preserve">        FS093</v>
      </c>
      <c r="H64" s="32" t="s">
        <v>23</v>
      </c>
      <c r="I64" s="26">
        <v>3</v>
      </c>
      <c r="J64" s="26" cm="1">
        <f t="array" ref="J64">LARGE(IF($B$50:$B$281=H64,$D$50:$D$281),$I64)</f>
        <v>0</v>
      </c>
      <c r="K64" s="33" t="str" cm="1">
        <f t="array" ref="K64">IF(J64=0, "DNR", INDEX($C$50:$C$281,MATCH(LARGE(IF($B$50:$B$281=$H64,$D$50:$D$281),$I64), IF($B$50:$B$281=$H64,$D$50:$D$281),0)))</f>
        <v>DNR</v>
      </c>
      <c r="M64" s="25" t="str">
        <f t="shared" si="10"/>
        <v xml:space="preserve">        FS093</v>
      </c>
      <c r="N64" s="32" t="s">
        <v>23</v>
      </c>
      <c r="O64" s="26">
        <v>3</v>
      </c>
      <c r="P64" s="26" cm="1">
        <f t="array" ref="P64">LARGE(IF($B$50:$B$281=N64,$E$50:$E$281),$I64)</f>
        <v>0</v>
      </c>
      <c r="Q64" s="33" t="str" cm="1">
        <f t="array" ref="Q64">IF(P64=0, "DNR", INDEX($C$50:$C$281,MATCH(LARGE(IF($B$50:$B$281=$H64,$E$50:$E$281),$I64), IF($B$50:$B$281=$H64,$E$50:$E$281),0)))</f>
        <v>DNR</v>
      </c>
      <c r="S64" s="152" t="s">
        <v>190</v>
      </c>
      <c r="T64" s="153"/>
    </row>
    <row r="65" spans="2:20" x14ac:dyDescent="0.25">
      <c r="B65" s="25" t="s">
        <v>19</v>
      </c>
      <c r="C65" s="21" t="s">
        <v>91</v>
      </c>
      <c r="D65" s="35">
        <f>IFERROR(VLOOKUP($B65,$B$21:$AE$29,17,0),0)</f>
        <v>0</v>
      </c>
      <c r="E65" s="36">
        <f>IFERROR(VLOOKUP($B65,$B$35:$AE$43,17,0),0)</f>
        <v>18</v>
      </c>
      <c r="G65" s="25" t="str">
        <f t="shared" si="9"/>
        <v xml:space="preserve">        FS101</v>
      </c>
      <c r="H65" s="32" t="s">
        <v>24</v>
      </c>
      <c r="I65" s="26">
        <v>1</v>
      </c>
      <c r="J65" s="26" cm="1">
        <f t="array" ref="J65">LARGE(IF($B$50:$B$281=H65,$D$50:$D$281),$I65)</f>
        <v>105</v>
      </c>
      <c r="K65" s="33" t="str" cm="1">
        <f t="array" ref="K65">IF(J65=0, "DNR", INDEX($C$50:$C$281,MATCH(LARGE(IF($B$50:$B$281=$H65,$D$50:$D$281),$I65), IF($B$50:$B$281=$H65,$D$50:$D$281),0)))</f>
        <v>Cleaner</v>
      </c>
      <c r="M65" s="25" t="str">
        <f t="shared" si="10"/>
        <v xml:space="preserve">        FS101</v>
      </c>
      <c r="N65" s="32" t="s">
        <v>24</v>
      </c>
      <c r="O65" s="26">
        <v>1</v>
      </c>
      <c r="P65" s="26" cm="1">
        <f t="array" ref="P65">LARGE(IF($B$50:$B$281=N65,$E$50:$E$281),$I65)</f>
        <v>326</v>
      </c>
      <c r="Q65" s="33" t="str" cm="1">
        <f t="array" ref="Q65">IF(P65=0, "DNR", INDEX($C$50:$C$281,MATCH(LARGE(IF($B$50:$B$281=$H65,$E$50:$E$281),$I65), IF($B$50:$B$281=$H65,$E$50:$E$281),0)))</f>
        <v>Labeler</v>
      </c>
      <c r="S65" s="49" t="s">
        <v>108</v>
      </c>
      <c r="T65" s="50">
        <v>29</v>
      </c>
    </row>
    <row r="66" spans="2:20" x14ac:dyDescent="0.25">
      <c r="B66" s="25" t="s">
        <v>19</v>
      </c>
      <c r="C66" s="21" t="s">
        <v>92</v>
      </c>
      <c r="D66" s="35">
        <f>IFERROR(VLOOKUP($B66,$B$21:$AE$29,18,0),0)</f>
        <v>0</v>
      </c>
      <c r="E66" s="36">
        <f>IFERROR(VLOOKUP($B66,$B$35:$AE$43,18,0),0)</f>
        <v>0</v>
      </c>
      <c r="G66" s="25" t="str">
        <f t="shared" si="9"/>
        <v xml:space="preserve">        FS102</v>
      </c>
      <c r="H66" s="32" t="s">
        <v>24</v>
      </c>
      <c r="I66" s="26">
        <v>2</v>
      </c>
      <c r="J66" s="26" cm="1">
        <f t="array" ref="J66">LARGE(IF($B$50:$B$281=H66,$D$50:$D$281),$I66)</f>
        <v>75</v>
      </c>
      <c r="K66" s="33" t="str" cm="1">
        <f t="array" ref="K66">IF(J66=0, "DNR", INDEX($C$50:$C$281,MATCH(LARGE(IF($B$50:$B$281=$H66,$D$50:$D$281),$I66), IF($B$50:$B$281=$H66,$D$50:$D$281),0)))</f>
        <v>Labeler</v>
      </c>
      <c r="M66" s="25" t="str">
        <f t="shared" si="10"/>
        <v xml:space="preserve">        FS102</v>
      </c>
      <c r="N66" s="32" t="s">
        <v>24</v>
      </c>
      <c r="O66" s="26">
        <v>2</v>
      </c>
      <c r="P66" s="26" cm="1">
        <f t="array" ref="P66">LARGE(IF($B$50:$B$281=N66,$E$50:$E$281),$I66)</f>
        <v>143</v>
      </c>
      <c r="Q66" s="33" t="str" cm="1">
        <f t="array" ref="Q66">IF(P66=0, "DNR", INDEX($C$50:$C$281,MATCH(LARGE(IF($B$50:$B$281=$H66,$E$50:$E$281),$I66), IF($B$50:$B$281=$H66,$E$50:$E$281),0)))</f>
        <v>Cleaner</v>
      </c>
    </row>
    <row r="67" spans="2:20" x14ac:dyDescent="0.25">
      <c r="B67" s="25" t="s">
        <v>19</v>
      </c>
      <c r="C67" s="21" t="s">
        <v>93</v>
      </c>
      <c r="D67" s="35">
        <f>IFERROR(VLOOKUP($B67,$B$21:$AE$29,19,0),0)</f>
        <v>3</v>
      </c>
      <c r="E67" s="36">
        <f>IFERROR(VLOOKUP($B67,$B$35:$AE$43,19,0),0)</f>
        <v>3</v>
      </c>
      <c r="G67" s="25" t="str">
        <f t="shared" si="9"/>
        <v xml:space="preserve">        FS103</v>
      </c>
      <c r="H67" s="32" t="s">
        <v>24</v>
      </c>
      <c r="I67" s="26">
        <v>3</v>
      </c>
      <c r="J67" s="26" cm="1">
        <f t="array" ref="J67">LARGE(IF($B$50:$B$281=H67,$D$50:$D$281),$I67)</f>
        <v>46</v>
      </c>
      <c r="K67" s="33" t="str" cm="1">
        <f t="array" ref="K67">IF(J67=0, "DNR", INDEX($C$50:$C$281,MATCH(LARGE(IF($B$50:$B$281=$H67,$D$50:$D$281),$I67), IF($B$50:$B$281=$H67,$D$50:$D$281),0)))</f>
        <v>Wash</v>
      </c>
      <c r="M67" s="25" t="str">
        <f t="shared" si="10"/>
        <v xml:space="preserve">        FS103</v>
      </c>
      <c r="N67" s="32" t="s">
        <v>24</v>
      </c>
      <c r="O67" s="26">
        <v>3</v>
      </c>
      <c r="P67" s="26" cm="1">
        <f t="array" ref="P67">LARGE(IF($B$50:$B$281=N67,$E$50:$E$281),$I67)</f>
        <v>103</v>
      </c>
      <c r="Q67" s="33" t="str" cm="1">
        <f t="array" ref="Q67">IF(P67=0, "DNR", INDEX($C$50:$C$281,MATCH(LARGE(IF($B$50:$B$281=$H67,$E$50:$E$281),$I67), IF($B$50:$B$281=$H67,$E$50:$E$281),0)))</f>
        <v>Partitioner</v>
      </c>
    </row>
    <row r="68" spans="2:20" x14ac:dyDescent="0.25">
      <c r="B68" s="25" t="s">
        <v>19</v>
      </c>
      <c r="C68" s="21" t="s">
        <v>94</v>
      </c>
      <c r="D68" s="35">
        <f>IFERROR(VLOOKUP($B68,$B$21:$AE$29,20,0),0)</f>
        <v>34</v>
      </c>
      <c r="E68" s="36">
        <f>IFERROR(VLOOKUP($B68,$B$35:$AE$43,20,0),0)</f>
        <v>191</v>
      </c>
      <c r="G68" s="25" t="str">
        <f t="shared" si="9"/>
        <v xml:space="preserve">        FS121</v>
      </c>
      <c r="H68" s="32" t="s">
        <v>25</v>
      </c>
      <c r="I68" s="26">
        <v>1</v>
      </c>
      <c r="J68" s="26" cm="1">
        <f t="array" ref="J68">LARGE(IF($B$50:$B$281=H68,$D$50:$D$281),$I68)</f>
        <v>11</v>
      </c>
      <c r="K68" s="33" t="str" cm="1">
        <f t="array" ref="K68">IF(J68=0, "DNR", INDEX($C$50:$C$281,MATCH(LARGE(IF($B$50:$B$281=$H68,$D$50:$D$281),$I68), IF($B$50:$B$281=$H68,$D$50:$D$281),0)))</f>
        <v>Labeler</v>
      </c>
      <c r="M68" s="25" t="str">
        <f t="shared" si="10"/>
        <v xml:space="preserve">        FS121</v>
      </c>
      <c r="N68" s="32" t="s">
        <v>25</v>
      </c>
      <c r="O68" s="26">
        <v>1</v>
      </c>
      <c r="P68" s="26" cm="1">
        <f t="array" ref="P68">LARGE(IF($B$50:$B$281=N68,$E$50:$E$281),$I68)</f>
        <v>325</v>
      </c>
      <c r="Q68" s="33" t="str" cm="1">
        <f t="array" ref="Q68">IF(P68=0, "DNR", INDEX($C$50:$C$281,MATCH(LARGE(IF($B$50:$B$281=$H68,$E$50:$E$281),$I68), IF($B$50:$B$281=$H68,$E$50:$E$281),0)))</f>
        <v>Manning/Supplies</v>
      </c>
    </row>
    <row r="69" spans="2:20" x14ac:dyDescent="0.25">
      <c r="B69" s="25" t="s">
        <v>19</v>
      </c>
      <c r="C69" s="21" t="s">
        <v>95</v>
      </c>
      <c r="D69" s="35">
        <f>IFERROR(VLOOKUP($B69,$B$21:$AE$29,21,0),0)</f>
        <v>16</v>
      </c>
      <c r="E69" s="36">
        <f>IFERROR(VLOOKUP($B69,$B$35:$AE$43,21,0),0)</f>
        <v>86</v>
      </c>
      <c r="G69" s="25" t="str">
        <f t="shared" si="9"/>
        <v xml:space="preserve">        FS122</v>
      </c>
      <c r="H69" s="32" t="s">
        <v>25</v>
      </c>
      <c r="I69" s="26">
        <v>2</v>
      </c>
      <c r="J69" s="26" cm="1">
        <f t="array" ref="J69">LARGE(IF($B$50:$B$281=H69,$D$50:$D$281),$I69)</f>
        <v>11</v>
      </c>
      <c r="K69" s="33" t="str" cm="1">
        <f t="array" ref="K69">IF(J69=0, "DNR", INDEX($C$50:$C$281,MATCH(LARGE(IF($B$50:$B$281=$H69,$D$50:$D$281),$I69), IF($B$50:$B$281=$H69,$D$50:$D$281),0)))</f>
        <v>Labeler</v>
      </c>
      <c r="M69" s="25" t="str">
        <f t="shared" si="10"/>
        <v xml:space="preserve">        FS122</v>
      </c>
      <c r="N69" s="32" t="s">
        <v>25</v>
      </c>
      <c r="O69" s="26">
        <v>2</v>
      </c>
      <c r="P69" s="26" cm="1">
        <f t="array" ref="P69">LARGE(IF($B$50:$B$281=N69,$E$50:$E$281),$I69)</f>
        <v>158</v>
      </c>
      <c r="Q69" s="33" t="str" cm="1">
        <f t="array" ref="Q69">IF(P69=0, "DNR", INDEX($C$50:$C$281,MATCH(LARGE(IF($B$50:$B$281=$H69,$E$50:$E$281),$I69), IF($B$50:$B$281=$H69,$E$50:$E$281),0)))</f>
        <v>QA External</v>
      </c>
    </row>
    <row r="70" spans="2:20" x14ac:dyDescent="0.25">
      <c r="B70" s="25" t="s">
        <v>19</v>
      </c>
      <c r="C70" s="21" t="s">
        <v>96</v>
      </c>
      <c r="D70" s="35">
        <f>IFERROR(VLOOKUP($B70,$B$21:$AE$29,22,0),0)</f>
        <v>119</v>
      </c>
      <c r="E70" s="36">
        <f>IFERROR(VLOOKUP($B70,$B$35:$AE$43,22,0),0)</f>
        <v>151</v>
      </c>
      <c r="G70" s="25" t="str">
        <f t="shared" si="9"/>
        <v xml:space="preserve">        FS123</v>
      </c>
      <c r="H70" s="32" t="s">
        <v>25</v>
      </c>
      <c r="I70" s="26">
        <v>3</v>
      </c>
      <c r="J70" s="26" cm="1">
        <f t="array" ref="J70">LARGE(IF($B$50:$B$281=H70,$D$50:$D$281),$I70)</f>
        <v>4</v>
      </c>
      <c r="K70" s="33" t="str" cm="1">
        <f t="array" ref="K70">IF(J70=0, "DNR", INDEX($C$50:$C$281,MATCH(LARGE(IF($B$50:$B$281=$H70,$D$50:$D$281),$I70), IF($B$50:$B$281=$H70,$D$50:$D$281),0)))</f>
        <v>Capper</v>
      </c>
      <c r="M70" s="25" t="str">
        <f t="shared" si="10"/>
        <v xml:space="preserve">        FS123</v>
      </c>
      <c r="N70" s="32" t="s">
        <v>25</v>
      </c>
      <c r="O70" s="26">
        <v>3</v>
      </c>
      <c r="P70" s="26" cm="1">
        <f t="array" ref="P70">LARGE(IF($B$50:$B$281=N70,$E$50:$E$281),$I70)</f>
        <v>154</v>
      </c>
      <c r="Q70" s="33" t="str" cm="1">
        <f t="array" ref="Q70">IF(P70=0, "DNR", INDEX($C$50:$C$281,MATCH(LARGE(IF($B$50:$B$281=$H70,$E$50:$E$281),$I70), IF($B$50:$B$281=$H70,$E$50:$E$281),0)))</f>
        <v>Case Packer</v>
      </c>
    </row>
    <row r="71" spans="2:20" x14ac:dyDescent="0.25">
      <c r="B71" s="25" t="s">
        <v>19</v>
      </c>
      <c r="C71" s="21" t="s">
        <v>97</v>
      </c>
      <c r="D71" s="35">
        <f>IFERROR(VLOOKUP($B71,$B$21:$AE$29,23,0),0)</f>
        <v>0</v>
      </c>
      <c r="E71" s="36">
        <f>IFERROR(VLOOKUP($B71,$B$35:$AE$43,23,0),0)</f>
        <v>0</v>
      </c>
      <c r="G71" s="25" t="str">
        <f t="shared" si="9"/>
        <v xml:space="preserve">        FS141</v>
      </c>
      <c r="H71" s="32" t="s">
        <v>143</v>
      </c>
      <c r="I71" s="26">
        <v>1</v>
      </c>
      <c r="J71" s="26" cm="1">
        <f t="array" ref="J71">LARGE(IF($B$50:$B$281=H71,$D$50:$D$281),$I71)</f>
        <v>165</v>
      </c>
      <c r="K71" s="33" t="str" cm="1">
        <f t="array" ref="K71">IF(J71=0, "DNR", INDEX($C$50:$C$281,MATCH(LARGE(IF($B$50:$B$281=$H71,$D$50:$D$281),$I71), IF($B$50:$B$281=$H71,$D$50:$D$281),0)))</f>
        <v>Proof Cks/Lab</v>
      </c>
      <c r="M71" s="25" t="str">
        <f t="shared" si="10"/>
        <v xml:space="preserve">        FS141</v>
      </c>
      <c r="N71" s="32" t="s">
        <v>143</v>
      </c>
      <c r="O71" s="26">
        <v>1</v>
      </c>
      <c r="P71" s="26" cm="1">
        <f t="array" ref="P71">LARGE(IF($B$50:$B$281=N71,$E$50:$E$281),$I71)</f>
        <v>165</v>
      </c>
      <c r="Q71" s="33" t="str" cm="1">
        <f t="array" ref="Q71">IF(P71=0, "DNR", INDEX($C$50:$C$281,MATCH(LARGE(IF($B$50:$B$281=$H71,$E$50:$E$281),$I71), IF($B$50:$B$281=$H71,$E$50:$E$281),0)))</f>
        <v>Proof Cks/Lab</v>
      </c>
    </row>
    <row r="72" spans="2:20" x14ac:dyDescent="0.25">
      <c r="B72" s="25" t="s">
        <v>19</v>
      </c>
      <c r="C72" s="21" t="s">
        <v>98</v>
      </c>
      <c r="D72" s="35">
        <f>IFERROR(VLOOKUP($B72,$B$21:$AE$29,24,0),0)</f>
        <v>0</v>
      </c>
      <c r="E72" s="36">
        <f>IFERROR(VLOOKUP($B72,$B$35:$AE$43,24,0),0)</f>
        <v>0</v>
      </c>
      <c r="G72" s="25" t="str">
        <f t="shared" si="9"/>
        <v xml:space="preserve">        FS142</v>
      </c>
      <c r="H72" s="32" t="s">
        <v>143</v>
      </c>
      <c r="I72" s="26">
        <v>2</v>
      </c>
      <c r="J72" s="26" cm="1">
        <f t="array" ref="J72">LARGE(IF($B$50:$B$281=H72,$D$50:$D$281),$I72)</f>
        <v>135</v>
      </c>
      <c r="K72" s="33" t="str" cm="1">
        <f t="array" ref="K72">IF(J72=0, "DNR", INDEX($C$50:$C$281,MATCH(LARGE(IF($B$50:$B$281=$H72,$D$50:$D$281),$I72), IF($B$50:$B$281=$H72,$D$50:$D$281),0)))</f>
        <v>Other</v>
      </c>
      <c r="M72" s="25" t="str">
        <f t="shared" si="10"/>
        <v xml:space="preserve">        FS142</v>
      </c>
      <c r="N72" s="32" t="s">
        <v>143</v>
      </c>
      <c r="O72" s="26">
        <v>2</v>
      </c>
      <c r="P72" s="26" cm="1">
        <f t="array" ref="P72">LARGE(IF($B$50:$B$281=N72,$E$50:$E$281),$I72)</f>
        <v>135</v>
      </c>
      <c r="Q72" s="33" t="str" cm="1">
        <f t="array" ref="Q72">IF(P72=0, "DNR", INDEX($C$50:$C$281,MATCH(LARGE(IF($B$50:$B$281=$H72,$E$50:$E$281),$I72), IF($B$50:$B$281=$H72,$E$50:$E$281),0)))</f>
        <v>Other</v>
      </c>
    </row>
    <row r="73" spans="2:20" x14ac:dyDescent="0.25">
      <c r="B73" s="25" t="s">
        <v>19</v>
      </c>
      <c r="C73" s="21" t="s">
        <v>99</v>
      </c>
      <c r="D73" s="35">
        <f>IFERROR(VLOOKUP($B73,$B$21:$AE$29,25,0),0)</f>
        <v>0</v>
      </c>
      <c r="E73" s="36">
        <f>IFERROR(VLOOKUP($B73,$B$35:$AE$43,25,0),0)</f>
        <v>0</v>
      </c>
      <c r="G73" s="28" t="str">
        <f t="shared" si="9"/>
        <v xml:space="preserve">        FS143</v>
      </c>
      <c r="H73" s="34" t="s">
        <v>143</v>
      </c>
      <c r="I73" s="29">
        <v>3</v>
      </c>
      <c r="J73" s="29" cm="1">
        <f t="array" ref="J73">LARGE(IF($B$50:$B$281=H73,$D$50:$D$281),$I73)</f>
        <v>90</v>
      </c>
      <c r="K73" s="33" t="str" cm="1">
        <f t="array" ref="K73">IF(J73=0, "DNR", INDEX($C$50:$C$281,MATCH(LARGE(IF($B$50:$B$281=$H73,$D$50:$D$281),$I73), IF($B$50:$B$281=$H73,$D$50:$D$281),0)))</f>
        <v>QA Internal</v>
      </c>
      <c r="M73" s="28" t="str">
        <f t="shared" si="10"/>
        <v xml:space="preserve">        FS143</v>
      </c>
      <c r="N73" s="34" t="s">
        <v>143</v>
      </c>
      <c r="O73" s="29">
        <v>3</v>
      </c>
      <c r="P73" s="29" cm="1">
        <f t="array" ref="P73">LARGE(IF($B$50:$B$281=N73,$E$50:$E$281),$I73)</f>
        <v>90</v>
      </c>
      <c r="Q73" s="33" t="str" cm="1">
        <f t="array" ref="Q73">IF(P73=0, "DNR", INDEX($C$50:$C$281,MATCH(LARGE(IF($B$50:$B$281=$H73,$E$50:$E$281),$I73), IF($B$50:$B$281=$H73,$E$50:$E$281),0)))</f>
        <v>QA Internal</v>
      </c>
    </row>
    <row r="74" spans="2:20" x14ac:dyDescent="0.25">
      <c r="B74" s="25" t="s">
        <v>19</v>
      </c>
      <c r="C74" s="21" t="s">
        <v>100</v>
      </c>
      <c r="D74" s="35">
        <f>IFERROR(VLOOKUP($B74,$B$21:$AE$29,26,0),0)</f>
        <v>7</v>
      </c>
      <c r="E74" s="36">
        <f>IFERROR(VLOOKUP($B74,$B$35:$AE$43,26,0),0)</f>
        <v>7</v>
      </c>
    </row>
    <row r="75" spans="2:20" x14ac:dyDescent="0.25">
      <c r="B75" s="25" t="s">
        <v>19</v>
      </c>
      <c r="C75" s="21" t="s">
        <v>101</v>
      </c>
      <c r="D75" s="35">
        <f>IFERROR(VLOOKUP($B75,$B$21:$AE$29,27,0),0)</f>
        <v>0</v>
      </c>
      <c r="E75" s="36">
        <f>IFERROR(VLOOKUP($B75,$B$35:$AE$43,27,0),0)</f>
        <v>0</v>
      </c>
    </row>
    <row r="76" spans="2:20" x14ac:dyDescent="0.25">
      <c r="B76" s="25" t="s">
        <v>19</v>
      </c>
      <c r="C76" s="21" t="s">
        <v>102</v>
      </c>
      <c r="D76" s="35">
        <f>IFERROR(VLOOKUP($B76,$B$21:$AE$29,28,0),0)</f>
        <v>0</v>
      </c>
      <c r="E76" s="36">
        <f>IFERROR(VLOOKUP($B76,$B$35:$AE$43,28,0),0)</f>
        <v>0</v>
      </c>
    </row>
    <row r="77" spans="2:20" x14ac:dyDescent="0.25">
      <c r="B77" s="25" t="s">
        <v>19</v>
      </c>
      <c r="C77" s="21" t="s">
        <v>103</v>
      </c>
      <c r="D77" s="35">
        <f>IFERROR(VLOOKUP($B77,$B$21:$AE$29,29,0),0)</f>
        <v>0</v>
      </c>
      <c r="E77" s="36">
        <f>IFERROR(VLOOKUP($B77,$B$35:$AE$43,29,0),0)</f>
        <v>0</v>
      </c>
    </row>
    <row r="78" spans="2:20" x14ac:dyDescent="0.25">
      <c r="B78" s="25" t="s">
        <v>19</v>
      </c>
      <c r="C78" s="21" t="s">
        <v>104</v>
      </c>
      <c r="D78" s="35">
        <f>IFERROR(VLOOKUP($B78,$B$21:$AE$29,30,0),0)</f>
        <v>20</v>
      </c>
      <c r="E78" s="36">
        <f>IFERROR(VLOOKUP($B78,$B$35:$AE$43,30,0),0)</f>
        <v>40</v>
      </c>
      <c r="G78" s="166" t="s">
        <v>194</v>
      </c>
    </row>
    <row r="79" spans="2:20" x14ac:dyDescent="0.25">
      <c r="B79" s="25" t="s">
        <v>20</v>
      </c>
      <c r="C79" s="21" t="s">
        <v>76</v>
      </c>
      <c r="D79" s="35">
        <f>IFERROR(VLOOKUP($B79,$B$21:$AE$29,2,0),0)</f>
        <v>0</v>
      </c>
      <c r="E79" s="36">
        <f>IFERROR(VLOOKUP($B79,$B$35:$AE$43,2,0),0)</f>
        <v>122</v>
      </c>
      <c r="G79" s="211" t="s">
        <v>5</v>
      </c>
      <c r="H79" s="211"/>
    </row>
    <row r="80" spans="2:20" x14ac:dyDescent="0.25">
      <c r="B80" s="25" t="s">
        <v>20</v>
      </c>
      <c r="C80" s="21" t="s">
        <v>77</v>
      </c>
      <c r="D80" s="35">
        <f>IFERROR(VLOOKUP($B80,$B$21:$AE$29,3,0),0)</f>
        <v>0</v>
      </c>
      <c r="E80" s="36">
        <f>IFERROR(VLOOKUP($B80,$B$35:$AE$43,3,0),0)</f>
        <v>0</v>
      </c>
      <c r="G80" s="30" t="s">
        <v>1</v>
      </c>
      <c r="H80" s="15" t="s">
        <v>3</v>
      </c>
      <c r="J80" s="12" t="s">
        <v>107</v>
      </c>
      <c r="K80" t="s">
        <v>179</v>
      </c>
    </row>
    <row r="81" spans="2:11" x14ac:dyDescent="0.25">
      <c r="B81" s="25" t="s">
        <v>20</v>
      </c>
      <c r="C81" s="21" t="s">
        <v>78</v>
      </c>
      <c r="D81" s="35">
        <f>IFERROR(VLOOKUP($B81,$B$21:$AE$29,4,0),0)</f>
        <v>42</v>
      </c>
      <c r="E81" s="36">
        <f>IFERROR(VLOOKUP($B81,$B$35:$AE$43,4,0),0)</f>
        <v>119</v>
      </c>
      <c r="G81" s="25" t="s">
        <v>19</v>
      </c>
      <c r="H81">
        <v>2000</v>
      </c>
      <c r="J81" s="13" t="s">
        <v>19</v>
      </c>
      <c r="K81" s="14">
        <v>33593</v>
      </c>
    </row>
    <row r="82" spans="2:11" x14ac:dyDescent="0.25">
      <c r="B82" s="25" t="s">
        <v>20</v>
      </c>
      <c r="C82" s="21" t="s">
        <v>141</v>
      </c>
      <c r="D82" s="35">
        <f>IFERROR(VLOOKUP($B82,$B$21:$AE$29,5,0),0)</f>
        <v>20</v>
      </c>
      <c r="E82" s="36">
        <f>IFERROR(VLOOKUP($B82,$B$35:$AE$43,5,0),0)</f>
        <v>50</v>
      </c>
      <c r="G82" s="25" t="s">
        <v>19</v>
      </c>
      <c r="H82">
        <v>2000</v>
      </c>
      <c r="J82" s="13" t="s">
        <v>20</v>
      </c>
      <c r="K82" s="14">
        <v>11560</v>
      </c>
    </row>
    <row r="83" spans="2:11" x14ac:dyDescent="0.25">
      <c r="B83" s="25" t="s">
        <v>20</v>
      </c>
      <c r="C83" s="21" t="s">
        <v>80</v>
      </c>
      <c r="D83" s="35">
        <f>IFERROR(VLOOKUP($B83,$B$21:$AE$29,6,0),0)</f>
        <v>0</v>
      </c>
      <c r="E83" s="36">
        <f>IFERROR(VLOOKUP($B83,$B$35:$AE$43,6,0),0)</f>
        <v>0</v>
      </c>
      <c r="G83" s="25" t="s">
        <v>19</v>
      </c>
      <c r="H83">
        <v>3500</v>
      </c>
      <c r="J83" s="13" t="s">
        <v>21</v>
      </c>
      <c r="K83" s="14">
        <v>10965</v>
      </c>
    </row>
    <row r="84" spans="2:11" x14ac:dyDescent="0.25">
      <c r="B84" s="25" t="s">
        <v>20</v>
      </c>
      <c r="C84" s="21" t="s">
        <v>142</v>
      </c>
      <c r="D84" s="35">
        <f>IFERROR(VLOOKUP($B84,$B$21:$AE$29,7,0),0)</f>
        <v>0</v>
      </c>
      <c r="E84" s="36">
        <f>IFERROR(VLOOKUP($B84,$B$35:$AE$43,7,0),0)</f>
        <v>10</v>
      </c>
      <c r="G84" s="25" t="s">
        <v>19</v>
      </c>
      <c r="H84">
        <v>3400</v>
      </c>
      <c r="J84" s="13" t="s">
        <v>22</v>
      </c>
      <c r="K84" s="14">
        <v>3600</v>
      </c>
    </row>
    <row r="85" spans="2:11" x14ac:dyDescent="0.25">
      <c r="B85" s="25" t="s">
        <v>20</v>
      </c>
      <c r="C85" s="21" t="s">
        <v>82</v>
      </c>
      <c r="D85" s="35">
        <f>IFERROR(VLOOKUP($B85,$B$21:$AE$29,8,0),0)</f>
        <v>25</v>
      </c>
      <c r="E85" s="36">
        <f>IFERROR(VLOOKUP($B85,$B$35:$AE$43,8,0),0)</f>
        <v>25</v>
      </c>
      <c r="G85" s="25" t="s">
        <v>19</v>
      </c>
      <c r="H85">
        <v>3499</v>
      </c>
      <c r="J85" s="13" t="s">
        <v>23</v>
      </c>
      <c r="K85" s="14"/>
    </row>
    <row r="86" spans="2:11" x14ac:dyDescent="0.25">
      <c r="B86" s="25" t="s">
        <v>20</v>
      </c>
      <c r="C86" s="21" t="s">
        <v>83</v>
      </c>
      <c r="D86" s="35">
        <f>IFERROR(VLOOKUP($B86,$B$21:$AE$29,9,0),0)</f>
        <v>0</v>
      </c>
      <c r="E86" s="36">
        <f>IFERROR(VLOOKUP($B86,$B$35:$AE$43,9,0),0)</f>
        <v>0</v>
      </c>
      <c r="G86" s="25" t="s">
        <v>19</v>
      </c>
      <c r="H86">
        <v>3499</v>
      </c>
      <c r="J86" s="13" t="s">
        <v>24</v>
      </c>
      <c r="K86" s="14">
        <v>48002</v>
      </c>
    </row>
    <row r="87" spans="2:11" x14ac:dyDescent="0.25">
      <c r="B87" s="25" t="s">
        <v>20</v>
      </c>
      <c r="C87" s="21" t="s">
        <v>84</v>
      </c>
      <c r="D87" s="35">
        <f>IFERROR(VLOOKUP($B87,$B$21:$AE$29,10,0),0)</f>
        <v>0</v>
      </c>
      <c r="E87" s="36">
        <f>IFERROR(VLOOKUP($B87,$B$35:$AE$43,10,0),0)</f>
        <v>0</v>
      </c>
      <c r="G87" s="25" t="s">
        <v>19</v>
      </c>
      <c r="H87">
        <v>3499</v>
      </c>
      <c r="J87" s="13" t="s">
        <v>25</v>
      </c>
      <c r="K87" s="14">
        <v>51366</v>
      </c>
    </row>
    <row r="88" spans="2:11" x14ac:dyDescent="0.25">
      <c r="B88" s="25" t="s">
        <v>20</v>
      </c>
      <c r="C88" s="21" t="s">
        <v>85</v>
      </c>
      <c r="D88" s="35">
        <f>IFERROR(VLOOKUP($B88,$B$21:$AE$29,11,0),0)</f>
        <v>0</v>
      </c>
      <c r="E88" s="36">
        <f>IFERROR(VLOOKUP($B88,$B$35:$AE$43,11,0),0)</f>
        <v>7</v>
      </c>
      <c r="G88" s="25" t="s">
        <v>19</v>
      </c>
      <c r="H88">
        <v>3500</v>
      </c>
      <c r="J88" s="13" t="s">
        <v>143</v>
      </c>
      <c r="K88" s="14">
        <v>3000</v>
      </c>
    </row>
    <row r="89" spans="2:11" x14ac:dyDescent="0.25">
      <c r="B89" s="25" t="s">
        <v>20</v>
      </c>
      <c r="C89" s="21" t="s">
        <v>86</v>
      </c>
      <c r="D89" s="35">
        <f>IFERROR(VLOOKUP($B89,$B$21:$AE$29,12,0),0)</f>
        <v>12</v>
      </c>
      <c r="E89" s="36">
        <f>IFERROR(VLOOKUP($B89,$B$35:$AE$43,12,0),0)</f>
        <v>177</v>
      </c>
      <c r="G89" s="25" t="s">
        <v>19</v>
      </c>
      <c r="H89">
        <v>3296</v>
      </c>
      <c r="J89" s="13" t="s">
        <v>108</v>
      </c>
      <c r="K89" s="14">
        <v>162086</v>
      </c>
    </row>
    <row r="90" spans="2:11" x14ac:dyDescent="0.25">
      <c r="B90" s="25" t="s">
        <v>20</v>
      </c>
      <c r="C90" s="21" t="s">
        <v>87</v>
      </c>
      <c r="D90" s="35">
        <f>IFERROR(VLOOKUP($B90,$B$21:$AE$29,13,0),0)</f>
        <v>131</v>
      </c>
      <c r="E90" s="36">
        <f>IFERROR(VLOOKUP($B90,$B$35:$AE$43,13,0),0)</f>
        <v>191</v>
      </c>
      <c r="G90" s="25" t="s">
        <v>19</v>
      </c>
      <c r="H90">
        <v>3500</v>
      </c>
    </row>
    <row r="91" spans="2:11" x14ac:dyDescent="0.25">
      <c r="B91" s="25" t="s">
        <v>20</v>
      </c>
      <c r="C91" s="21" t="s">
        <v>88</v>
      </c>
      <c r="D91" s="35">
        <f>IFERROR(VLOOKUP($B91,$B$21:$AE$29,14,0),0)</f>
        <v>4</v>
      </c>
      <c r="E91" s="36">
        <f>IFERROR(VLOOKUP($B91,$B$35:$AE$43,14,0),0)</f>
        <v>67</v>
      </c>
      <c r="G91" s="25" t="s">
        <v>19</v>
      </c>
      <c r="H91">
        <v>1900</v>
      </c>
    </row>
    <row r="92" spans="2:11" x14ac:dyDescent="0.25">
      <c r="B92" s="25" t="s">
        <v>20</v>
      </c>
      <c r="C92" s="21" t="s">
        <v>89</v>
      </c>
      <c r="D92" s="35">
        <f>IFERROR(VLOOKUP($B92,$B$21:$AE$29,15,0),0)</f>
        <v>206</v>
      </c>
      <c r="E92" s="36">
        <f>IFERROR(VLOOKUP($B92,$B$35:$AE$43,15,0),0)</f>
        <v>602</v>
      </c>
      <c r="G92" s="25" t="s">
        <v>19</v>
      </c>
    </row>
    <row r="93" spans="2:11" x14ac:dyDescent="0.25">
      <c r="B93" s="25" t="s">
        <v>20</v>
      </c>
      <c r="C93" s="21" t="s">
        <v>90</v>
      </c>
      <c r="D93" s="35">
        <f>IFERROR(VLOOKUP($B93,$B$21:$AE$29,16,0),0)</f>
        <v>18</v>
      </c>
      <c r="E93" s="36">
        <f>IFERROR(VLOOKUP($B93,$B$35:$AE$43,16,0),0)</f>
        <v>210</v>
      </c>
      <c r="G93" s="25" t="s">
        <v>19</v>
      </c>
    </row>
    <row r="94" spans="2:11" x14ac:dyDescent="0.25">
      <c r="B94" s="25" t="s">
        <v>20</v>
      </c>
      <c r="C94" s="21" t="s">
        <v>91</v>
      </c>
      <c r="D94" s="35">
        <f>IFERROR(VLOOKUP($B94,$B$21:$AE$29,17,0),0)</f>
        <v>0</v>
      </c>
      <c r="E94" s="36">
        <f>IFERROR(VLOOKUP($B94,$B$35:$AE$43,17,0),0)</f>
        <v>0</v>
      </c>
      <c r="G94" s="25" t="s">
        <v>19</v>
      </c>
    </row>
    <row r="95" spans="2:11" x14ac:dyDescent="0.25">
      <c r="B95" s="25" t="s">
        <v>20</v>
      </c>
      <c r="C95" s="21" t="s">
        <v>92</v>
      </c>
      <c r="D95" s="35">
        <f>IFERROR(VLOOKUP($B95,$B$21:$AE$29,18,0),0)</f>
        <v>0</v>
      </c>
      <c r="E95" s="36">
        <f>IFERROR(VLOOKUP($B95,$B$35:$AE$43,18,0),0)</f>
        <v>0</v>
      </c>
      <c r="G95" s="25" t="s">
        <v>19</v>
      </c>
    </row>
    <row r="96" spans="2:11" x14ac:dyDescent="0.25">
      <c r="B96" s="25" t="s">
        <v>20</v>
      </c>
      <c r="C96" s="21" t="s">
        <v>93</v>
      </c>
      <c r="D96" s="35">
        <f>IFERROR(VLOOKUP($B96,$B$21:$AE$29,19,0),0)</f>
        <v>12</v>
      </c>
      <c r="E96" s="36">
        <f>IFERROR(VLOOKUP($B96,$B$35:$AE$43,19,0),0)</f>
        <v>60</v>
      </c>
      <c r="G96" s="25" t="s">
        <v>20</v>
      </c>
      <c r="H96">
        <v>800</v>
      </c>
    </row>
    <row r="97" spans="2:8" x14ac:dyDescent="0.25">
      <c r="B97" s="25" t="s">
        <v>20</v>
      </c>
      <c r="C97" s="21" t="s">
        <v>94</v>
      </c>
      <c r="D97" s="35">
        <f>IFERROR(VLOOKUP($B97,$B$21:$AE$29,20,0),0)</f>
        <v>55</v>
      </c>
      <c r="E97" s="36">
        <f>IFERROR(VLOOKUP($B97,$B$35:$AE$43,20,0),0)</f>
        <v>76</v>
      </c>
      <c r="G97" s="25" t="s">
        <v>20</v>
      </c>
      <c r="H97">
        <v>800</v>
      </c>
    </row>
    <row r="98" spans="2:8" x14ac:dyDescent="0.25">
      <c r="B98" s="25" t="s">
        <v>20</v>
      </c>
      <c r="C98" s="21" t="s">
        <v>95</v>
      </c>
      <c r="D98" s="35">
        <f>IFERROR(VLOOKUP($B98,$B$21:$AE$29,21,0),0)</f>
        <v>0</v>
      </c>
      <c r="E98" s="36">
        <f>IFERROR(VLOOKUP($B98,$B$35:$AE$43,21,0),0)</f>
        <v>0</v>
      </c>
      <c r="G98" s="25" t="s">
        <v>20</v>
      </c>
      <c r="H98">
        <v>800</v>
      </c>
    </row>
    <row r="99" spans="2:8" x14ac:dyDescent="0.25">
      <c r="B99" s="25" t="s">
        <v>20</v>
      </c>
      <c r="C99" s="21" t="s">
        <v>96</v>
      </c>
      <c r="D99" s="35">
        <f>IFERROR(VLOOKUP($B99,$B$21:$AE$29,22,0),0)</f>
        <v>14</v>
      </c>
      <c r="E99" s="36">
        <f>IFERROR(VLOOKUP($B99,$B$35:$AE$43,22,0),0)</f>
        <v>71</v>
      </c>
      <c r="G99" s="25" t="s">
        <v>20</v>
      </c>
      <c r="H99">
        <v>800</v>
      </c>
    </row>
    <row r="100" spans="2:8" x14ac:dyDescent="0.25">
      <c r="B100" s="25" t="s">
        <v>20</v>
      </c>
      <c r="C100" s="21" t="s">
        <v>97</v>
      </c>
      <c r="D100" s="35">
        <f>IFERROR(VLOOKUP($B100,$B$21:$AE$29,23,0),0)</f>
        <v>0</v>
      </c>
      <c r="E100" s="36">
        <f>IFERROR(VLOOKUP($B100,$B$35:$AE$43,23,0),0)</f>
        <v>0</v>
      </c>
      <c r="G100" s="25" t="s">
        <v>20</v>
      </c>
      <c r="H100">
        <v>900</v>
      </c>
    </row>
    <row r="101" spans="2:8" x14ac:dyDescent="0.25">
      <c r="B101" s="25" t="s">
        <v>20</v>
      </c>
      <c r="C101" s="21" t="s">
        <v>98</v>
      </c>
      <c r="D101" s="35">
        <f>IFERROR(VLOOKUP($B101,$B$21:$AE$29,24,0),0)</f>
        <v>5</v>
      </c>
      <c r="E101" s="36">
        <f>IFERROR(VLOOKUP($B101,$B$35:$AE$43,24,0),0)</f>
        <v>148</v>
      </c>
      <c r="G101" s="25" t="s">
        <v>20</v>
      </c>
      <c r="H101">
        <v>800</v>
      </c>
    </row>
    <row r="102" spans="2:8" x14ac:dyDescent="0.25">
      <c r="B102" s="25" t="s">
        <v>20</v>
      </c>
      <c r="C102" s="21" t="s">
        <v>99</v>
      </c>
      <c r="D102" s="35">
        <f>IFERROR(VLOOKUP($B102,$B$21:$AE$29,25,0),0)</f>
        <v>127</v>
      </c>
      <c r="E102" s="36">
        <f>IFERROR(VLOOKUP($B102,$B$35:$AE$43,25,0),0)</f>
        <v>244</v>
      </c>
      <c r="G102" s="25" t="s">
        <v>20</v>
      </c>
      <c r="H102">
        <v>208</v>
      </c>
    </row>
    <row r="103" spans="2:8" x14ac:dyDescent="0.25">
      <c r="B103" s="25" t="s">
        <v>20</v>
      </c>
      <c r="C103" s="21" t="s">
        <v>100</v>
      </c>
      <c r="D103" s="35">
        <f>IFERROR(VLOOKUP($B103,$B$21:$AE$29,26,0),0)</f>
        <v>0</v>
      </c>
      <c r="E103" s="36">
        <f>IFERROR(VLOOKUP($B103,$B$35:$AE$43,26,0),0)</f>
        <v>70</v>
      </c>
      <c r="G103" s="25" t="s">
        <v>20</v>
      </c>
      <c r="H103">
        <v>900</v>
      </c>
    </row>
    <row r="104" spans="2:8" x14ac:dyDescent="0.25">
      <c r="B104" s="25" t="s">
        <v>20</v>
      </c>
      <c r="C104" s="21" t="s">
        <v>101</v>
      </c>
      <c r="D104" s="35">
        <f>IFERROR(VLOOKUP($B104,$B$21:$AE$29,27,0),0)</f>
        <v>0</v>
      </c>
      <c r="E104" s="36">
        <f>IFERROR(VLOOKUP($B104,$B$35:$AE$43,27,0),0)</f>
        <v>28</v>
      </c>
      <c r="G104" s="25" t="s">
        <v>20</v>
      </c>
      <c r="H104">
        <v>152</v>
      </c>
    </row>
    <row r="105" spans="2:8" x14ac:dyDescent="0.25">
      <c r="B105" s="25" t="s">
        <v>20</v>
      </c>
      <c r="C105" s="21" t="s">
        <v>102</v>
      </c>
      <c r="D105" s="35">
        <f>IFERROR(VLOOKUP($B105,$B$21:$AE$29,28,0),0)</f>
        <v>0</v>
      </c>
      <c r="E105" s="36">
        <f>IFERROR(VLOOKUP($B105,$B$35:$AE$43,28,0),0)</f>
        <v>0</v>
      </c>
      <c r="G105" s="25" t="s">
        <v>20</v>
      </c>
      <c r="H105">
        <v>900</v>
      </c>
    </row>
    <row r="106" spans="2:8" x14ac:dyDescent="0.25">
      <c r="B106" s="25" t="s">
        <v>20</v>
      </c>
      <c r="C106" s="21" t="s">
        <v>103</v>
      </c>
      <c r="D106" s="35">
        <f>IFERROR(VLOOKUP($B106,$B$21:$AE$29,29,0),0)</f>
        <v>0</v>
      </c>
      <c r="E106" s="36">
        <f>IFERROR(VLOOKUP($B106,$B$35:$AE$43,29,0),0)</f>
        <v>0</v>
      </c>
      <c r="G106" s="25" t="s">
        <v>20</v>
      </c>
      <c r="H106" s="150">
        <v>900</v>
      </c>
    </row>
    <row r="107" spans="2:8" x14ac:dyDescent="0.25">
      <c r="B107" s="25" t="s">
        <v>20</v>
      </c>
      <c r="C107" s="21" t="s">
        <v>104</v>
      </c>
      <c r="D107" s="35">
        <f>IFERROR(VLOOKUP($B107,$B$21:$AE$29,30,0),0)</f>
        <v>5</v>
      </c>
      <c r="E107" s="36">
        <f>IFERROR(VLOOKUP($B107,$B$35:$AE$43,30,0),0)</f>
        <v>43</v>
      </c>
      <c r="G107" s="25" t="s">
        <v>20</v>
      </c>
      <c r="H107" s="150">
        <v>900</v>
      </c>
    </row>
    <row r="108" spans="2:8" x14ac:dyDescent="0.25">
      <c r="B108" s="25" t="s">
        <v>21</v>
      </c>
      <c r="C108" s="21" t="s">
        <v>76</v>
      </c>
      <c r="D108" s="35">
        <f>IFERROR(VLOOKUP($B108,$B$21:$AE$29,2,0),0)</f>
        <v>0</v>
      </c>
      <c r="E108" s="36">
        <f>IFERROR(VLOOKUP($B108,$B$35:$AE$43,2,0),0)</f>
        <v>0</v>
      </c>
      <c r="G108" s="25" t="s">
        <v>20</v>
      </c>
      <c r="H108" s="150">
        <v>900</v>
      </c>
    </row>
    <row r="109" spans="2:8" x14ac:dyDescent="0.25">
      <c r="B109" s="25" t="s">
        <v>21</v>
      </c>
      <c r="C109" s="21" t="s">
        <v>77</v>
      </c>
      <c r="D109" s="35">
        <f>IFERROR(VLOOKUP($B109,$B$21:$AE$29,3,0),0)</f>
        <v>0</v>
      </c>
      <c r="E109" s="36">
        <f>IFERROR(VLOOKUP($B109,$B$35:$AE$43,3,0),0)</f>
        <v>0</v>
      </c>
      <c r="G109" s="25" t="s">
        <v>20</v>
      </c>
      <c r="H109">
        <v>900</v>
      </c>
    </row>
    <row r="110" spans="2:8" x14ac:dyDescent="0.25">
      <c r="B110" s="25" t="s">
        <v>21</v>
      </c>
      <c r="C110" s="21" t="s">
        <v>78</v>
      </c>
      <c r="D110" s="35">
        <f>IFERROR(VLOOKUP($B110,$B$21:$AE$29,4,0),0)</f>
        <v>0</v>
      </c>
      <c r="E110" s="36">
        <f>IFERROR(VLOOKUP($B110,$B$35:$AE$43,4,0),0)</f>
        <v>6</v>
      </c>
      <c r="G110" s="25" t="s">
        <v>20</v>
      </c>
      <c r="H110">
        <v>900</v>
      </c>
    </row>
    <row r="111" spans="2:8" x14ac:dyDescent="0.25">
      <c r="B111" s="25" t="s">
        <v>21</v>
      </c>
      <c r="C111" s="21" t="s">
        <v>141</v>
      </c>
      <c r="D111" s="35">
        <f>IFERROR(VLOOKUP($B111,$B$21:$AE$29,5,0),0)</f>
        <v>0</v>
      </c>
      <c r="E111" s="36">
        <f>IFERROR(VLOOKUP($B111,$B$35:$AE$43,5,0),0)</f>
        <v>37</v>
      </c>
      <c r="G111" s="25" t="s">
        <v>21</v>
      </c>
      <c r="H111">
        <v>2465</v>
      </c>
    </row>
    <row r="112" spans="2:8" x14ac:dyDescent="0.25">
      <c r="B112" s="25" t="s">
        <v>21</v>
      </c>
      <c r="C112" s="21" t="s">
        <v>80</v>
      </c>
      <c r="D112" s="35">
        <f>IFERROR(VLOOKUP($B112,$B$21:$AE$29,6,0),0)</f>
        <v>0</v>
      </c>
      <c r="E112" s="36">
        <f>IFERROR(VLOOKUP($B112,$B$35:$AE$43,6,0),0)</f>
        <v>0</v>
      </c>
      <c r="G112" s="25" t="s">
        <v>21</v>
      </c>
      <c r="H112">
        <v>1876</v>
      </c>
    </row>
    <row r="113" spans="2:8" x14ac:dyDescent="0.25">
      <c r="B113" s="25" t="s">
        <v>21</v>
      </c>
      <c r="C113" s="21" t="s">
        <v>142</v>
      </c>
      <c r="D113" s="35">
        <f>IFERROR(VLOOKUP($B113,$B$21:$AE$29,7,0),0)</f>
        <v>74</v>
      </c>
      <c r="E113" s="36">
        <f>IFERROR(VLOOKUP($B113,$B$35:$AE$43,7,0),0)</f>
        <v>90</v>
      </c>
      <c r="G113" s="25" t="s">
        <v>21</v>
      </c>
      <c r="H113">
        <v>821</v>
      </c>
    </row>
    <row r="114" spans="2:8" x14ac:dyDescent="0.25">
      <c r="B114" s="25" t="s">
        <v>21</v>
      </c>
      <c r="C114" s="21" t="s">
        <v>82</v>
      </c>
      <c r="D114" s="35">
        <f>IFERROR(VLOOKUP($B114,$B$21:$AE$29,8,0),0)</f>
        <v>0</v>
      </c>
      <c r="E114" s="36">
        <f>IFERROR(VLOOKUP($B114,$B$35:$AE$43,8,0),0)</f>
        <v>0</v>
      </c>
      <c r="G114" s="25" t="s">
        <v>21</v>
      </c>
      <c r="H114">
        <v>303</v>
      </c>
    </row>
    <row r="115" spans="2:8" x14ac:dyDescent="0.25">
      <c r="B115" s="25" t="s">
        <v>21</v>
      </c>
      <c r="C115" s="21" t="s">
        <v>83</v>
      </c>
      <c r="D115" s="35">
        <f>IFERROR(VLOOKUP($B115,$B$21:$AE$29,9,0),0)</f>
        <v>0</v>
      </c>
      <c r="E115" s="36">
        <f>IFERROR(VLOOKUP($B115,$B$35:$AE$43,9,0),0)</f>
        <v>6</v>
      </c>
      <c r="G115" s="25" t="s">
        <v>21</v>
      </c>
      <c r="H115">
        <v>2000</v>
      </c>
    </row>
    <row r="116" spans="2:8" x14ac:dyDescent="0.25">
      <c r="B116" s="25" t="s">
        <v>21</v>
      </c>
      <c r="C116" s="21" t="s">
        <v>84</v>
      </c>
      <c r="D116" s="35">
        <f>IFERROR(VLOOKUP($B116,$B$21:$AE$29,10,0),0)</f>
        <v>0</v>
      </c>
      <c r="E116" s="36">
        <f>IFERROR(VLOOKUP($B116,$B$35:$AE$43,10,0),0)</f>
        <v>0</v>
      </c>
      <c r="G116" s="25" t="s">
        <v>21</v>
      </c>
      <c r="H116">
        <v>3500</v>
      </c>
    </row>
    <row r="117" spans="2:8" x14ac:dyDescent="0.25">
      <c r="B117" s="25" t="s">
        <v>21</v>
      </c>
      <c r="C117" s="21" t="s">
        <v>85</v>
      </c>
      <c r="D117" s="35">
        <f>IFERROR(VLOOKUP($B117,$B$21:$AE$29,11,0),0)</f>
        <v>4</v>
      </c>
      <c r="E117" s="36">
        <f>IFERROR(VLOOKUP($B117,$B$35:$AE$43,11,0),0)</f>
        <v>86</v>
      </c>
      <c r="G117" s="25" t="s">
        <v>21</v>
      </c>
    </row>
    <row r="118" spans="2:8" x14ac:dyDescent="0.25">
      <c r="B118" s="25" t="s">
        <v>21</v>
      </c>
      <c r="C118" s="21" t="s">
        <v>86</v>
      </c>
      <c r="D118" s="35">
        <f>IFERROR(VLOOKUP($B118,$B$21:$AE$29,12,0),0)</f>
        <v>0</v>
      </c>
      <c r="E118" s="36">
        <f>IFERROR(VLOOKUP($B118,$B$35:$AE$43,12,0),0)</f>
        <v>54</v>
      </c>
      <c r="G118" s="25" t="s">
        <v>21</v>
      </c>
    </row>
    <row r="119" spans="2:8" x14ac:dyDescent="0.25">
      <c r="B119" s="25" t="s">
        <v>21</v>
      </c>
      <c r="C119" s="21" t="s">
        <v>87</v>
      </c>
      <c r="D119" s="35">
        <f>IFERROR(VLOOKUP($B119,$B$21:$AE$29,13,0),0)</f>
        <v>0</v>
      </c>
      <c r="E119" s="36">
        <f>IFERROR(VLOOKUP($B119,$B$35:$AE$43,13,0),0)</f>
        <v>0</v>
      </c>
      <c r="G119" s="25" t="s">
        <v>22</v>
      </c>
      <c r="H119">
        <v>1200</v>
      </c>
    </row>
    <row r="120" spans="2:8" x14ac:dyDescent="0.25">
      <c r="B120" s="25" t="s">
        <v>21</v>
      </c>
      <c r="C120" s="21" t="s">
        <v>88</v>
      </c>
      <c r="D120" s="35">
        <f>IFERROR(VLOOKUP($B120,$B$21:$AE$29,14,0),0)</f>
        <v>3</v>
      </c>
      <c r="E120" s="36">
        <f>IFERROR(VLOOKUP($B120,$B$35:$AE$43,14,0),0)</f>
        <v>9</v>
      </c>
      <c r="G120" s="25" t="s">
        <v>22</v>
      </c>
      <c r="H120">
        <v>1200</v>
      </c>
    </row>
    <row r="121" spans="2:8" x14ac:dyDescent="0.25">
      <c r="B121" s="25" t="s">
        <v>21</v>
      </c>
      <c r="C121" s="21" t="s">
        <v>89</v>
      </c>
      <c r="D121" s="35">
        <f>IFERROR(VLOOKUP($B121,$B$21:$AE$29,15,0),0)</f>
        <v>0</v>
      </c>
      <c r="E121" s="36">
        <f>IFERROR(VLOOKUP($B121,$B$35:$AE$43,15,0),0)</f>
        <v>0</v>
      </c>
      <c r="G121" s="25" t="s">
        <v>22</v>
      </c>
      <c r="H121">
        <v>1200</v>
      </c>
    </row>
    <row r="122" spans="2:8" x14ac:dyDescent="0.25">
      <c r="B122" s="25" t="s">
        <v>21</v>
      </c>
      <c r="C122" s="21" t="s">
        <v>90</v>
      </c>
      <c r="D122" s="35">
        <f>IFERROR(VLOOKUP($B122,$B$21:$AE$29,16,0),0)</f>
        <v>237</v>
      </c>
      <c r="E122" s="36">
        <f>IFERROR(VLOOKUP($B122,$B$35:$AE$43,16,0),0)</f>
        <v>252</v>
      </c>
      <c r="G122" s="25" t="s">
        <v>22</v>
      </c>
    </row>
    <row r="123" spans="2:8" x14ac:dyDescent="0.25">
      <c r="B123" s="25" t="s">
        <v>21</v>
      </c>
      <c r="C123" s="21" t="s">
        <v>91</v>
      </c>
      <c r="D123" s="35">
        <f>IFERROR(VLOOKUP($B123,$B$21:$AE$29,17,0),0)</f>
        <v>0</v>
      </c>
      <c r="E123" s="36">
        <f>IFERROR(VLOOKUP($B123,$B$35:$AE$43,17,0),0)</f>
        <v>26</v>
      </c>
      <c r="G123" s="25" t="s">
        <v>22</v>
      </c>
    </row>
    <row r="124" spans="2:8" x14ac:dyDescent="0.25">
      <c r="B124" s="25" t="s">
        <v>21</v>
      </c>
      <c r="C124" s="21" t="s">
        <v>92</v>
      </c>
      <c r="D124" s="35">
        <f>IFERROR(VLOOKUP($B124,$B$21:$AE$29,18,0),0)</f>
        <v>0</v>
      </c>
      <c r="E124" s="36">
        <f>IFERROR(VLOOKUP($B124,$B$35:$AE$43,18,0),0)</f>
        <v>0</v>
      </c>
      <c r="G124" t="s">
        <v>22</v>
      </c>
    </row>
    <row r="125" spans="2:8" x14ac:dyDescent="0.25">
      <c r="B125" s="25" t="s">
        <v>21</v>
      </c>
      <c r="C125" s="21" t="s">
        <v>93</v>
      </c>
      <c r="D125" s="35">
        <f>IFERROR(VLOOKUP($B125,$B$21:$AE$29,19,0),0)</f>
        <v>0</v>
      </c>
      <c r="E125" s="36">
        <f>IFERROR(VLOOKUP($B125,$B$35:$AE$43,19,0),0)</f>
        <v>0</v>
      </c>
      <c r="G125" t="s">
        <v>22</v>
      </c>
    </row>
    <row r="126" spans="2:8" x14ac:dyDescent="0.25">
      <c r="B126" s="25" t="s">
        <v>21</v>
      </c>
      <c r="C126" s="21" t="s">
        <v>94</v>
      </c>
      <c r="D126" s="35">
        <f>IFERROR(VLOOKUP($B126,$B$21:$AE$29,20,0),0)</f>
        <v>151</v>
      </c>
      <c r="E126" s="36">
        <f>IFERROR(VLOOKUP($B126,$B$35:$AE$43,20,0),0)</f>
        <v>155</v>
      </c>
      <c r="G126" t="s">
        <v>22</v>
      </c>
    </row>
    <row r="127" spans="2:8" x14ac:dyDescent="0.25">
      <c r="B127" s="25" t="s">
        <v>21</v>
      </c>
      <c r="C127" s="21" t="s">
        <v>95</v>
      </c>
      <c r="D127" s="35">
        <f>IFERROR(VLOOKUP($B127,$B$21:$AE$29,21,0),0)</f>
        <v>0</v>
      </c>
      <c r="E127" s="36">
        <f>IFERROR(VLOOKUP($B127,$B$35:$AE$43,21,0),0)</f>
        <v>104</v>
      </c>
      <c r="G127" t="s">
        <v>22</v>
      </c>
    </row>
    <row r="128" spans="2:8" x14ac:dyDescent="0.25">
      <c r="B128" s="25" t="s">
        <v>21</v>
      </c>
      <c r="C128" s="21" t="s">
        <v>96</v>
      </c>
      <c r="D128" s="35">
        <f>IFERROR(VLOOKUP($B128,$B$21:$AE$29,22,0),0)</f>
        <v>19</v>
      </c>
      <c r="E128" s="36">
        <f>IFERROR(VLOOKUP($B128,$B$35:$AE$43,22,0),0)</f>
        <v>101</v>
      </c>
      <c r="G128" t="s">
        <v>22</v>
      </c>
    </row>
    <row r="129" spans="2:8" x14ac:dyDescent="0.25">
      <c r="B129" s="25" t="s">
        <v>21</v>
      </c>
      <c r="C129" s="21" t="s">
        <v>97</v>
      </c>
      <c r="D129" s="35">
        <f>IFERROR(VLOOKUP($B129,$B$21:$AE$29,23,0),0)</f>
        <v>0</v>
      </c>
      <c r="E129" s="36">
        <f>IFERROR(VLOOKUP($B129,$B$35:$AE$43,23,0),0)</f>
        <v>0</v>
      </c>
      <c r="G129" s="25" t="s">
        <v>23</v>
      </c>
    </row>
    <row r="130" spans="2:8" x14ac:dyDescent="0.25">
      <c r="B130" s="25" t="s">
        <v>21</v>
      </c>
      <c r="C130" s="21" t="s">
        <v>98</v>
      </c>
      <c r="D130" s="35">
        <f>IFERROR(VLOOKUP($B130,$B$21:$AE$29,24,0),0)</f>
        <v>0</v>
      </c>
      <c r="E130" s="36">
        <f>IFERROR(VLOOKUP($B130,$B$35:$AE$43,24,0),0)</f>
        <v>0</v>
      </c>
      <c r="G130" s="25" t="s">
        <v>23</v>
      </c>
    </row>
    <row r="131" spans="2:8" x14ac:dyDescent="0.25">
      <c r="B131" s="25" t="s">
        <v>21</v>
      </c>
      <c r="C131" s="21" t="s">
        <v>99</v>
      </c>
      <c r="D131" s="35">
        <f>IFERROR(VLOOKUP($B131,$B$21:$AE$29,25,0),0)</f>
        <v>0</v>
      </c>
      <c r="E131" s="36">
        <f>IFERROR(VLOOKUP($B131,$B$35:$AE$43,25,0),0)</f>
        <v>0</v>
      </c>
      <c r="G131" s="25" t="s">
        <v>23</v>
      </c>
    </row>
    <row r="132" spans="2:8" x14ac:dyDescent="0.25">
      <c r="B132" s="25" t="s">
        <v>21</v>
      </c>
      <c r="C132" s="21" t="s">
        <v>100</v>
      </c>
      <c r="D132" s="35">
        <f>IFERROR(VLOOKUP($B132,$B$21:$AE$29,26,0),0)</f>
        <v>0</v>
      </c>
      <c r="E132" s="36">
        <f>IFERROR(VLOOKUP($B132,$B$35:$AE$43,26,0),0)</f>
        <v>0</v>
      </c>
      <c r="G132" s="25" t="s">
        <v>23</v>
      </c>
    </row>
    <row r="133" spans="2:8" x14ac:dyDescent="0.25">
      <c r="B133" s="25" t="s">
        <v>21</v>
      </c>
      <c r="C133" s="21" t="s">
        <v>101</v>
      </c>
      <c r="D133" s="35">
        <f>IFERROR(VLOOKUP($B133,$B$21:$AE$29,27,0),0)</f>
        <v>5</v>
      </c>
      <c r="E133" s="36">
        <f>IFERROR(VLOOKUP($B133,$B$35:$AE$43,27,0),0)</f>
        <v>23</v>
      </c>
      <c r="G133" s="25" t="s">
        <v>23</v>
      </c>
    </row>
    <row r="134" spans="2:8" x14ac:dyDescent="0.25">
      <c r="B134" s="25" t="s">
        <v>21</v>
      </c>
      <c r="C134" s="21" t="s">
        <v>102</v>
      </c>
      <c r="D134" s="35">
        <f>IFERROR(VLOOKUP($B134,$B$21:$AE$29,28,0),0)</f>
        <v>0</v>
      </c>
      <c r="E134" s="36">
        <f>IFERROR(VLOOKUP($B134,$B$35:$AE$43,28,0),0)</f>
        <v>0</v>
      </c>
      <c r="G134" s="25" t="s">
        <v>23</v>
      </c>
    </row>
    <row r="135" spans="2:8" x14ac:dyDescent="0.25">
      <c r="B135" s="25" t="s">
        <v>21</v>
      </c>
      <c r="C135" s="21" t="s">
        <v>103</v>
      </c>
      <c r="D135" s="35">
        <f>IFERROR(VLOOKUP($B135,$B$21:$AE$29,29,0),0)</f>
        <v>0</v>
      </c>
      <c r="E135" s="36">
        <f>IFERROR(VLOOKUP($B135,$B$35:$AE$43,29,0),0)</f>
        <v>0</v>
      </c>
      <c r="G135" s="25" t="s">
        <v>24</v>
      </c>
      <c r="H135">
        <v>5000</v>
      </c>
    </row>
    <row r="136" spans="2:8" x14ac:dyDescent="0.25">
      <c r="B136" s="25" t="s">
        <v>21</v>
      </c>
      <c r="C136" s="21" t="s">
        <v>104</v>
      </c>
      <c r="D136" s="35">
        <f>IFERROR(VLOOKUP($B136,$B$21:$AE$29,30,0),0)</f>
        <v>0</v>
      </c>
      <c r="E136" s="36">
        <f>IFERROR(VLOOKUP($B136,$B$35:$AE$43,30,0),0)</f>
        <v>0</v>
      </c>
      <c r="G136" s="25" t="s">
        <v>24</v>
      </c>
      <c r="H136">
        <v>3908</v>
      </c>
    </row>
    <row r="137" spans="2:8" x14ac:dyDescent="0.25">
      <c r="B137" s="25" t="s">
        <v>22</v>
      </c>
      <c r="C137" s="21" t="s">
        <v>76</v>
      </c>
      <c r="D137" s="35">
        <f>IFERROR(VLOOKUP($B137,$B$21:$AE$29,2,0),0)</f>
        <v>0</v>
      </c>
      <c r="E137" s="36">
        <f>IFERROR(VLOOKUP($B137,$B$35:$AE$43,2,0),0)</f>
        <v>0</v>
      </c>
      <c r="G137" s="25" t="s">
        <v>24</v>
      </c>
      <c r="H137">
        <v>5751</v>
      </c>
    </row>
    <row r="138" spans="2:8" x14ac:dyDescent="0.25">
      <c r="B138" s="25" t="s">
        <v>22</v>
      </c>
      <c r="C138" s="21" t="s">
        <v>77</v>
      </c>
      <c r="D138" s="35">
        <f>IFERROR(VLOOKUP($B138,$B$21:$AE$29,3,0),0)</f>
        <v>0</v>
      </c>
      <c r="E138" s="36">
        <f>IFERROR(VLOOKUP($B138,$B$35:$AE$43,3,0),0)</f>
        <v>15</v>
      </c>
      <c r="G138" s="25" t="s">
        <v>24</v>
      </c>
      <c r="H138">
        <v>7574</v>
      </c>
    </row>
    <row r="139" spans="2:8" x14ac:dyDescent="0.25">
      <c r="B139" s="25" t="s">
        <v>22</v>
      </c>
      <c r="C139" s="21" t="s">
        <v>78</v>
      </c>
      <c r="D139" s="35">
        <f>IFERROR(VLOOKUP($B139,$B$21:$AE$29,4,0),0)</f>
        <v>0</v>
      </c>
      <c r="E139" s="36">
        <f>IFERROR(VLOOKUP($B139,$B$35:$AE$43,4,0),0)</f>
        <v>26</v>
      </c>
      <c r="G139" s="25" t="s">
        <v>24</v>
      </c>
      <c r="H139">
        <v>2000</v>
      </c>
    </row>
    <row r="140" spans="2:8" x14ac:dyDescent="0.25">
      <c r="B140" s="25" t="s">
        <v>22</v>
      </c>
      <c r="C140" s="21" t="s">
        <v>141</v>
      </c>
      <c r="D140" s="35">
        <f>IFERROR(VLOOKUP($B140,$B$21:$AE$29,5,0),0)</f>
        <v>0</v>
      </c>
      <c r="E140" s="36">
        <f>IFERROR(VLOOKUP($B140,$B$35:$AE$43,5,0),0)</f>
        <v>15</v>
      </c>
      <c r="G140" s="25" t="s">
        <v>24</v>
      </c>
      <c r="H140">
        <v>4269</v>
      </c>
    </row>
    <row r="141" spans="2:8" x14ac:dyDescent="0.25">
      <c r="B141" s="25" t="s">
        <v>22</v>
      </c>
      <c r="C141" s="21" t="s">
        <v>80</v>
      </c>
      <c r="D141" s="35">
        <f>IFERROR(VLOOKUP($B141,$B$21:$AE$29,6,0),0)</f>
        <v>0</v>
      </c>
      <c r="E141" s="36">
        <f>IFERROR(VLOOKUP($B141,$B$35:$AE$43,6,0),0)</f>
        <v>0</v>
      </c>
      <c r="G141" s="25" t="s">
        <v>24</v>
      </c>
      <c r="H141">
        <v>500</v>
      </c>
    </row>
    <row r="142" spans="2:8" x14ac:dyDescent="0.25">
      <c r="B142" s="25" t="s">
        <v>22</v>
      </c>
      <c r="C142" s="21" t="s">
        <v>142</v>
      </c>
      <c r="D142" s="35">
        <f>IFERROR(VLOOKUP($B142,$B$21:$AE$29,7,0),0)</f>
        <v>0</v>
      </c>
      <c r="E142" s="36">
        <f>IFERROR(VLOOKUP($B142,$B$35:$AE$43,7,0),0)</f>
        <v>10</v>
      </c>
      <c r="G142" s="25" t="s">
        <v>24</v>
      </c>
      <c r="H142">
        <v>2000</v>
      </c>
    </row>
    <row r="143" spans="2:8" x14ac:dyDescent="0.25">
      <c r="B143" s="25" t="s">
        <v>22</v>
      </c>
      <c r="C143" s="21" t="s">
        <v>82</v>
      </c>
      <c r="D143" s="35">
        <f>IFERROR(VLOOKUP($B143,$B$21:$AE$29,8,0),0)</f>
        <v>0</v>
      </c>
      <c r="E143" s="36">
        <f>IFERROR(VLOOKUP($B143,$B$35:$AE$43,8,0),0)</f>
        <v>0</v>
      </c>
      <c r="G143" s="25" t="s">
        <v>24</v>
      </c>
      <c r="H143">
        <v>3000</v>
      </c>
    </row>
    <row r="144" spans="2:8" x14ac:dyDescent="0.25">
      <c r="B144" s="25" t="s">
        <v>22</v>
      </c>
      <c r="C144" s="21" t="s">
        <v>83</v>
      </c>
      <c r="D144" s="35">
        <f>IFERROR(VLOOKUP($B144,$B$21:$AE$29,9,0),0)</f>
        <v>0</v>
      </c>
      <c r="E144" s="36">
        <f>IFERROR(VLOOKUP($B144,$B$35:$AE$43,9,0),0)</f>
        <v>13</v>
      </c>
      <c r="G144" s="25" t="s">
        <v>24</v>
      </c>
      <c r="H144">
        <v>14000</v>
      </c>
    </row>
    <row r="145" spans="2:8" x14ac:dyDescent="0.25">
      <c r="B145" s="25" t="s">
        <v>22</v>
      </c>
      <c r="C145" s="21" t="s">
        <v>84</v>
      </c>
      <c r="D145" s="35">
        <f>IFERROR(VLOOKUP($B145,$B$21:$AE$29,10,0),0)</f>
        <v>0</v>
      </c>
      <c r="E145" s="36">
        <f>IFERROR(VLOOKUP($B145,$B$35:$AE$43,10,0),0)</f>
        <v>0</v>
      </c>
      <c r="G145" s="25" t="s">
        <v>24</v>
      </c>
    </row>
    <row r="146" spans="2:8" x14ac:dyDescent="0.25">
      <c r="B146" s="25" t="s">
        <v>22</v>
      </c>
      <c r="C146" s="21" t="s">
        <v>85</v>
      </c>
      <c r="D146" s="35">
        <f>IFERROR(VLOOKUP($B146,$B$21:$AE$29,11,0),0)</f>
        <v>0</v>
      </c>
      <c r="E146" s="36">
        <f>IFERROR(VLOOKUP($B146,$B$35:$AE$43,11,0),0)</f>
        <v>50</v>
      </c>
      <c r="G146" s="25" t="s">
        <v>25</v>
      </c>
      <c r="H146">
        <v>5987</v>
      </c>
    </row>
    <row r="147" spans="2:8" x14ac:dyDescent="0.25">
      <c r="B147" s="25" t="s">
        <v>22</v>
      </c>
      <c r="C147" s="21" t="s">
        <v>86</v>
      </c>
      <c r="D147" s="35">
        <f>IFERROR(VLOOKUP($B147,$B$21:$AE$29,12,0),0)</f>
        <v>0</v>
      </c>
      <c r="E147" s="36">
        <f>IFERROR(VLOOKUP($B147,$B$35:$AE$43,12,0),0)</f>
        <v>175</v>
      </c>
      <c r="G147" s="25" t="s">
        <v>25</v>
      </c>
      <c r="H147">
        <v>700</v>
      </c>
    </row>
    <row r="148" spans="2:8" x14ac:dyDescent="0.25">
      <c r="B148" s="25" t="s">
        <v>22</v>
      </c>
      <c r="C148" s="21" t="s">
        <v>87</v>
      </c>
      <c r="D148" s="35">
        <f>IFERROR(VLOOKUP($B148,$B$21:$AE$29,13,0),0)</f>
        <v>0</v>
      </c>
      <c r="E148" s="36">
        <f>IFERROR(VLOOKUP($B148,$B$35:$AE$43,13,0),0)</f>
        <v>0</v>
      </c>
      <c r="G148" s="25" t="s">
        <v>25</v>
      </c>
      <c r="H148">
        <v>2136</v>
      </c>
    </row>
    <row r="149" spans="2:8" x14ac:dyDescent="0.25">
      <c r="B149" s="25" t="s">
        <v>22</v>
      </c>
      <c r="C149" s="21" t="s">
        <v>88</v>
      </c>
      <c r="D149" s="35">
        <f>IFERROR(VLOOKUP($B149,$B$21:$AE$29,14,0),0)</f>
        <v>0</v>
      </c>
      <c r="E149" s="36">
        <f>IFERROR(VLOOKUP($B149,$B$35:$AE$43,14,0),0)</f>
        <v>4</v>
      </c>
      <c r="G149" s="25" t="s">
        <v>25</v>
      </c>
      <c r="H149">
        <v>4952</v>
      </c>
    </row>
    <row r="150" spans="2:8" x14ac:dyDescent="0.25">
      <c r="B150" s="25" t="s">
        <v>22</v>
      </c>
      <c r="C150" s="21" t="s">
        <v>89</v>
      </c>
      <c r="D150" s="35">
        <f>IFERROR(VLOOKUP($B150,$B$21:$AE$29,15,0),0)</f>
        <v>0</v>
      </c>
      <c r="E150" s="36">
        <f>IFERROR(VLOOKUP($B150,$B$35:$AE$43,15,0),0)</f>
        <v>9</v>
      </c>
      <c r="G150" s="25" t="s">
        <v>25</v>
      </c>
      <c r="H150">
        <v>727</v>
      </c>
    </row>
    <row r="151" spans="2:8" x14ac:dyDescent="0.25">
      <c r="B151" s="25" t="s">
        <v>22</v>
      </c>
      <c r="C151" s="21" t="s">
        <v>90</v>
      </c>
      <c r="D151" s="35">
        <f>IFERROR(VLOOKUP($B151,$B$21:$AE$29,16,0),0)</f>
        <v>0</v>
      </c>
      <c r="E151" s="36">
        <f>IFERROR(VLOOKUP($B151,$B$35:$AE$43,16,0),0)</f>
        <v>68</v>
      </c>
      <c r="G151" s="25" t="s">
        <v>25</v>
      </c>
      <c r="H151">
        <v>4864</v>
      </c>
    </row>
    <row r="152" spans="2:8" x14ac:dyDescent="0.25">
      <c r="B152" s="25" t="s">
        <v>22</v>
      </c>
      <c r="C152" s="21" t="s">
        <v>91</v>
      </c>
      <c r="D152" s="35">
        <f>IFERROR(VLOOKUP($B152,$B$21:$AE$29,17,0),0)</f>
        <v>0</v>
      </c>
      <c r="E152" s="36">
        <f>IFERROR(VLOOKUP($B152,$B$35:$AE$43,17,0),0)</f>
        <v>0</v>
      </c>
      <c r="G152" s="25" t="s">
        <v>25</v>
      </c>
      <c r="H152">
        <v>7000</v>
      </c>
    </row>
    <row r="153" spans="2:8" x14ac:dyDescent="0.25">
      <c r="B153" s="25" t="s">
        <v>22</v>
      </c>
      <c r="C153" s="21" t="s">
        <v>92</v>
      </c>
      <c r="D153" s="35">
        <f>IFERROR(VLOOKUP($B153,$B$21:$AE$29,18,0),0)</f>
        <v>0</v>
      </c>
      <c r="E153" s="36">
        <f>IFERROR(VLOOKUP($B153,$B$35:$AE$43,18,0),0)</f>
        <v>0</v>
      </c>
      <c r="G153" s="25" t="s">
        <v>25</v>
      </c>
      <c r="H153">
        <v>7000</v>
      </c>
    </row>
    <row r="154" spans="2:8" x14ac:dyDescent="0.25">
      <c r="B154" s="25" t="s">
        <v>22</v>
      </c>
      <c r="C154" s="21" t="s">
        <v>93</v>
      </c>
      <c r="D154" s="35">
        <f>IFERROR(VLOOKUP($B154,$B$21:$AE$29,19,0),0)</f>
        <v>0</v>
      </c>
      <c r="E154" s="36">
        <f>IFERROR(VLOOKUP($B154,$B$35:$AE$43,19,0),0)</f>
        <v>13</v>
      </c>
      <c r="G154" s="25" t="s">
        <v>25</v>
      </c>
      <c r="H154">
        <v>7000</v>
      </c>
    </row>
    <row r="155" spans="2:8" x14ac:dyDescent="0.25">
      <c r="B155" s="25" t="s">
        <v>22</v>
      </c>
      <c r="C155" s="21" t="s">
        <v>94</v>
      </c>
      <c r="D155" s="35">
        <f>IFERROR(VLOOKUP($B155,$B$21:$AE$29,20,0),0)</f>
        <v>0</v>
      </c>
      <c r="E155" s="36">
        <f>IFERROR(VLOOKUP($B155,$B$35:$AE$43,20,0),0)</f>
        <v>67</v>
      </c>
      <c r="G155" s="25" t="s">
        <v>25</v>
      </c>
      <c r="H155">
        <v>7000</v>
      </c>
    </row>
    <row r="156" spans="2:8" x14ac:dyDescent="0.25">
      <c r="B156" s="25" t="s">
        <v>22</v>
      </c>
      <c r="C156" s="21" t="s">
        <v>95</v>
      </c>
      <c r="D156" s="35">
        <f>IFERROR(VLOOKUP($B156,$B$21:$AE$29,21,0),0)</f>
        <v>0</v>
      </c>
      <c r="E156" s="36">
        <f>IFERROR(VLOOKUP($B156,$B$35:$AE$43,21,0),0)</f>
        <v>0</v>
      </c>
      <c r="G156" s="25" t="s">
        <v>25</v>
      </c>
      <c r="H156">
        <v>4000</v>
      </c>
    </row>
    <row r="157" spans="2:8" x14ac:dyDescent="0.25">
      <c r="B157" s="25" t="s">
        <v>22</v>
      </c>
      <c r="C157" s="21" t="s">
        <v>96</v>
      </c>
      <c r="D157" s="35">
        <f>IFERROR(VLOOKUP($B157,$B$21:$AE$29,22,0),0)</f>
        <v>0</v>
      </c>
      <c r="E157" s="36">
        <f>IFERROR(VLOOKUP($B157,$B$35:$AE$43,22,0),0)</f>
        <v>28</v>
      </c>
      <c r="G157" s="25" t="s">
        <v>25</v>
      </c>
    </row>
    <row r="158" spans="2:8" x14ac:dyDescent="0.25">
      <c r="B158" s="25" t="s">
        <v>22</v>
      </c>
      <c r="C158" s="21" t="s">
        <v>97</v>
      </c>
      <c r="D158" s="35">
        <f>IFERROR(VLOOKUP($B158,$B$21:$AE$29,23,0),0)</f>
        <v>0</v>
      </c>
      <c r="E158" s="36">
        <f>IFERROR(VLOOKUP($B158,$B$35:$AE$43,23,0),0)</f>
        <v>0</v>
      </c>
      <c r="G158" s="25" t="s">
        <v>143</v>
      </c>
      <c r="H158">
        <v>3000</v>
      </c>
    </row>
    <row r="159" spans="2:8" x14ac:dyDescent="0.25">
      <c r="B159" s="25" t="s">
        <v>22</v>
      </c>
      <c r="C159" s="21" t="s">
        <v>98</v>
      </c>
      <c r="D159" s="35">
        <f>IFERROR(VLOOKUP($B159,$B$21:$AE$29,24,0),0)</f>
        <v>0</v>
      </c>
      <c r="E159" s="36">
        <f>IFERROR(VLOOKUP($B159,$B$35:$AE$43,24,0),0)</f>
        <v>0</v>
      </c>
      <c r="G159" s="25" t="s">
        <v>143</v>
      </c>
    </row>
    <row r="160" spans="2:8" x14ac:dyDescent="0.25">
      <c r="B160" s="25" t="s">
        <v>22</v>
      </c>
      <c r="C160" s="21" t="s">
        <v>99</v>
      </c>
      <c r="D160" s="35">
        <f>IFERROR(VLOOKUP($B160,$B$21:$AE$29,25,0),0)</f>
        <v>0</v>
      </c>
      <c r="E160" s="36">
        <f>IFERROR(VLOOKUP($B160,$B$35:$AE$43,25,0),0)</f>
        <v>0</v>
      </c>
      <c r="G160" s="25" t="s">
        <v>143</v>
      </c>
    </row>
    <row r="161" spans="2:7" x14ac:dyDescent="0.25">
      <c r="B161" s="25" t="s">
        <v>22</v>
      </c>
      <c r="C161" s="21" t="s">
        <v>100</v>
      </c>
      <c r="D161" s="35">
        <f>IFERROR(VLOOKUP($B161,$B$21:$AE$29,26,0),0)</f>
        <v>0</v>
      </c>
      <c r="E161" s="36">
        <f>IFERROR(VLOOKUP($B161,$B$35:$AE$43,26,0),0)</f>
        <v>0</v>
      </c>
      <c r="G161" s="25" t="s">
        <v>143</v>
      </c>
    </row>
    <row r="162" spans="2:7" x14ac:dyDescent="0.25">
      <c r="B162" s="25" t="s">
        <v>22</v>
      </c>
      <c r="C162" s="21" t="s">
        <v>101</v>
      </c>
      <c r="D162" s="35">
        <f>IFERROR(VLOOKUP($B162,$B$21:$AE$29,27,0),0)</f>
        <v>0</v>
      </c>
      <c r="E162" s="36">
        <f>IFERROR(VLOOKUP($B162,$B$35:$AE$43,27,0),0)</f>
        <v>0</v>
      </c>
      <c r="G162" s="25" t="s">
        <v>143</v>
      </c>
    </row>
    <row r="163" spans="2:7" x14ac:dyDescent="0.25">
      <c r="B163" s="25" t="s">
        <v>22</v>
      </c>
      <c r="C163" s="21" t="s">
        <v>102</v>
      </c>
      <c r="D163" s="35">
        <f>IFERROR(VLOOKUP($B163,$B$21:$AE$29,28,0),0)</f>
        <v>0</v>
      </c>
      <c r="E163" s="36">
        <f>IFERROR(VLOOKUP($B163,$B$35:$AE$43,28,0),0)</f>
        <v>0</v>
      </c>
      <c r="G163" s="25" t="s">
        <v>143</v>
      </c>
    </row>
    <row r="164" spans="2:7" x14ac:dyDescent="0.25">
      <c r="B164" s="25" t="s">
        <v>22</v>
      </c>
      <c r="C164" s="21" t="s">
        <v>103</v>
      </c>
      <c r="D164" s="35">
        <f>IFERROR(VLOOKUP($B164,$B$21:$AE$29,29,0),0)</f>
        <v>0</v>
      </c>
      <c r="E164" s="36">
        <f>IFERROR(VLOOKUP($B164,$B$35:$AE$43,29,0),0)</f>
        <v>0</v>
      </c>
      <c r="G164" s="25" t="s">
        <v>143</v>
      </c>
    </row>
    <row r="165" spans="2:7" x14ac:dyDescent="0.25">
      <c r="B165" s="25" t="s">
        <v>22</v>
      </c>
      <c r="C165" s="21" t="s">
        <v>104</v>
      </c>
      <c r="D165" s="35">
        <f>IFERROR(VLOOKUP($B165,$B$21:$AE$29,30,0),0)</f>
        <v>0</v>
      </c>
      <c r="E165" s="36">
        <f>IFERROR(VLOOKUP($B165,$B$35:$AE$43,30,0),0)</f>
        <v>0</v>
      </c>
    </row>
    <row r="166" spans="2:7" x14ac:dyDescent="0.25">
      <c r="B166" s="25" t="s">
        <v>23</v>
      </c>
      <c r="C166" s="21" t="s">
        <v>76</v>
      </c>
      <c r="D166" s="35">
        <f>IFERROR(VLOOKUP($B166,$B$21:$AE$29,2,0),0)</f>
        <v>0</v>
      </c>
      <c r="E166" s="36">
        <f>IFERROR(VLOOKUP($B166,$B$35:$AE$43,2,0),0)</f>
        <v>0</v>
      </c>
    </row>
    <row r="167" spans="2:7" x14ac:dyDescent="0.25">
      <c r="B167" s="25" t="s">
        <v>23</v>
      </c>
      <c r="C167" s="21" t="s">
        <v>77</v>
      </c>
      <c r="D167" s="35">
        <f>IFERROR(VLOOKUP($B167,$B$21:$AE$29,3,0),0)</f>
        <v>0</v>
      </c>
      <c r="E167" s="36">
        <f>IFERROR(VLOOKUP($B167,$B$35:$AE$43,3,0),0)</f>
        <v>0</v>
      </c>
    </row>
    <row r="168" spans="2:7" x14ac:dyDescent="0.25">
      <c r="B168" s="25" t="s">
        <v>23</v>
      </c>
      <c r="C168" s="21" t="s">
        <v>78</v>
      </c>
      <c r="D168" s="35">
        <f>IFERROR(VLOOKUP($B168,$B$21:$AE$29,4,0),0)</f>
        <v>0</v>
      </c>
      <c r="E168" s="36">
        <f>IFERROR(VLOOKUP($B168,$B$35:$AE$43,4,0),0)</f>
        <v>0</v>
      </c>
    </row>
    <row r="169" spans="2:7" x14ac:dyDescent="0.25">
      <c r="B169" s="25" t="s">
        <v>23</v>
      </c>
      <c r="C169" s="21" t="s">
        <v>141</v>
      </c>
      <c r="D169" s="35">
        <f>IFERROR(VLOOKUP($B169,$B$21:$AE$29,5,0),0)</f>
        <v>0</v>
      </c>
      <c r="E169" s="36">
        <f>IFERROR(VLOOKUP($B169,$B$35:$AE$43,5,0),0)</f>
        <v>0</v>
      </c>
    </row>
    <row r="170" spans="2:7" x14ac:dyDescent="0.25">
      <c r="B170" s="25" t="s">
        <v>23</v>
      </c>
      <c r="C170" s="21" t="s">
        <v>80</v>
      </c>
      <c r="D170" s="35">
        <f>IFERROR(VLOOKUP($B170,$B$21:$AE$29,6,0),0)</f>
        <v>0</v>
      </c>
      <c r="E170" s="36">
        <f>IFERROR(VLOOKUP($B170,$B$35:$AE$43,6,0),0)</f>
        <v>0</v>
      </c>
    </row>
    <row r="171" spans="2:7" x14ac:dyDescent="0.25">
      <c r="B171" s="25" t="s">
        <v>23</v>
      </c>
      <c r="C171" s="21" t="s">
        <v>142</v>
      </c>
      <c r="D171" s="35">
        <f>IFERROR(VLOOKUP($B171,$B$21:$AE$29,7,0),0)</f>
        <v>0</v>
      </c>
      <c r="E171" s="36">
        <f>IFERROR(VLOOKUP($B171,$B$35:$AE$43,7,0),0)</f>
        <v>0</v>
      </c>
    </row>
    <row r="172" spans="2:7" x14ac:dyDescent="0.25">
      <c r="B172" s="25" t="s">
        <v>23</v>
      </c>
      <c r="C172" s="21" t="s">
        <v>82</v>
      </c>
      <c r="D172" s="35">
        <f>IFERROR(VLOOKUP($B172,$B$21:$AE$29,8,0),0)</f>
        <v>0</v>
      </c>
      <c r="E172" s="36">
        <f>IFERROR(VLOOKUP($B172,$B$35:$AE$43,8,0),0)</f>
        <v>0</v>
      </c>
    </row>
    <row r="173" spans="2:7" x14ac:dyDescent="0.25">
      <c r="B173" s="25" t="s">
        <v>23</v>
      </c>
      <c r="C173" s="21" t="s">
        <v>83</v>
      </c>
      <c r="D173" s="35">
        <f>IFERROR(VLOOKUP($B173,$B$21:$AE$29,9,0),0)</f>
        <v>0</v>
      </c>
      <c r="E173" s="36">
        <f>IFERROR(VLOOKUP($B173,$B$35:$AE$43,9,0),0)</f>
        <v>0</v>
      </c>
    </row>
    <row r="174" spans="2:7" x14ac:dyDescent="0.25">
      <c r="B174" s="25" t="s">
        <v>23</v>
      </c>
      <c r="C174" s="21" t="s">
        <v>84</v>
      </c>
      <c r="D174" s="35">
        <f>IFERROR(VLOOKUP($B174,$B$21:$AE$29,10,0),0)</f>
        <v>0</v>
      </c>
      <c r="E174" s="36">
        <f>IFERROR(VLOOKUP($B174,$B$35:$AE$43,10,0),0)</f>
        <v>0</v>
      </c>
    </row>
    <row r="175" spans="2:7" x14ac:dyDescent="0.25">
      <c r="B175" s="25" t="s">
        <v>23</v>
      </c>
      <c r="C175" s="21" t="s">
        <v>85</v>
      </c>
      <c r="D175" s="35">
        <f>IFERROR(VLOOKUP($B175,$B$21:$AE$29,11,0),0)</f>
        <v>0</v>
      </c>
      <c r="E175" s="36">
        <f>IFERROR(VLOOKUP($B175,$B$35:$AE$43,11,0),0)</f>
        <v>0</v>
      </c>
    </row>
    <row r="176" spans="2:7" x14ac:dyDescent="0.25">
      <c r="B176" s="25" t="s">
        <v>23</v>
      </c>
      <c r="C176" s="21" t="s">
        <v>86</v>
      </c>
      <c r="D176" s="35">
        <f>IFERROR(VLOOKUP($B176,$B$21:$AE$29,12,0),0)</f>
        <v>0</v>
      </c>
      <c r="E176" s="36">
        <f>IFERROR(VLOOKUP($B176,$B$35:$AE$43,12,0),0)</f>
        <v>0</v>
      </c>
    </row>
    <row r="177" spans="2:5" x14ac:dyDescent="0.25">
      <c r="B177" s="25" t="s">
        <v>23</v>
      </c>
      <c r="C177" s="21" t="s">
        <v>87</v>
      </c>
      <c r="D177" s="35">
        <f>IFERROR(VLOOKUP($B177,$B$21:$AE$29,13,0),0)</f>
        <v>0</v>
      </c>
      <c r="E177" s="36">
        <f>IFERROR(VLOOKUP($B177,$B$35:$AE$43,13,0),0)</f>
        <v>0</v>
      </c>
    </row>
    <row r="178" spans="2:5" x14ac:dyDescent="0.25">
      <c r="B178" s="25" t="s">
        <v>23</v>
      </c>
      <c r="C178" s="21" t="s">
        <v>88</v>
      </c>
      <c r="D178" s="35">
        <f>IFERROR(VLOOKUP($B178,$B$21:$AE$29,14,0),0)</f>
        <v>0</v>
      </c>
      <c r="E178" s="36">
        <f>IFERROR(VLOOKUP($B178,$B$35:$AE$43,14,0),0)</f>
        <v>0</v>
      </c>
    </row>
    <row r="179" spans="2:5" x14ac:dyDescent="0.25">
      <c r="B179" s="25" t="s">
        <v>23</v>
      </c>
      <c r="C179" s="21" t="s">
        <v>89</v>
      </c>
      <c r="D179" s="35">
        <f>IFERROR(VLOOKUP($B179,$B$21:$AE$29,15,0),0)</f>
        <v>0</v>
      </c>
      <c r="E179" s="36">
        <f>IFERROR(VLOOKUP($B179,$B$35:$AE$43,15,0),0)</f>
        <v>0</v>
      </c>
    </row>
    <row r="180" spans="2:5" x14ac:dyDescent="0.25">
      <c r="B180" s="25" t="s">
        <v>23</v>
      </c>
      <c r="C180" s="21" t="s">
        <v>90</v>
      </c>
      <c r="D180" s="35">
        <f>IFERROR(VLOOKUP($B180,$B$21:$AE$29,16,0),0)</f>
        <v>0</v>
      </c>
      <c r="E180" s="36">
        <f>IFERROR(VLOOKUP($B180,$B$35:$AE$43,16,0),0)</f>
        <v>0</v>
      </c>
    </row>
    <row r="181" spans="2:5" x14ac:dyDescent="0.25">
      <c r="B181" s="25" t="s">
        <v>23</v>
      </c>
      <c r="C181" s="21" t="s">
        <v>91</v>
      </c>
      <c r="D181" s="35">
        <f>IFERROR(VLOOKUP($B181,$B$21:$AE$29,17,0),0)</f>
        <v>0</v>
      </c>
      <c r="E181" s="36">
        <f>IFERROR(VLOOKUP($B181,$B$35:$AE$43,17,0),0)</f>
        <v>0</v>
      </c>
    </row>
    <row r="182" spans="2:5" x14ac:dyDescent="0.25">
      <c r="B182" s="25" t="s">
        <v>23</v>
      </c>
      <c r="C182" s="21" t="s">
        <v>92</v>
      </c>
      <c r="D182" s="35">
        <f>IFERROR(VLOOKUP($B182,$B$21:$AE$29,18,0),0)</f>
        <v>0</v>
      </c>
      <c r="E182" s="36">
        <f>IFERROR(VLOOKUP($B182,$B$35:$AE$43,18,0),0)</f>
        <v>0</v>
      </c>
    </row>
    <row r="183" spans="2:5" x14ac:dyDescent="0.25">
      <c r="B183" s="25" t="s">
        <v>23</v>
      </c>
      <c r="C183" s="21" t="s">
        <v>93</v>
      </c>
      <c r="D183" s="35">
        <f>IFERROR(VLOOKUP($B183,$B$21:$AE$29,19,0),0)</f>
        <v>0</v>
      </c>
      <c r="E183" s="36">
        <f>IFERROR(VLOOKUP($B183,$B$35:$AE$43,19,0),0)</f>
        <v>0</v>
      </c>
    </row>
    <row r="184" spans="2:5" x14ac:dyDescent="0.25">
      <c r="B184" s="25" t="s">
        <v>23</v>
      </c>
      <c r="C184" s="21" t="s">
        <v>94</v>
      </c>
      <c r="D184" s="35">
        <f>IFERROR(VLOOKUP($B184,$B$21:$AE$29,20,0),0)</f>
        <v>0</v>
      </c>
      <c r="E184" s="36">
        <f>IFERROR(VLOOKUP($B184,$B$35:$AE$43,20,0),0)</f>
        <v>0</v>
      </c>
    </row>
    <row r="185" spans="2:5" x14ac:dyDescent="0.25">
      <c r="B185" s="25" t="s">
        <v>23</v>
      </c>
      <c r="C185" s="21" t="s">
        <v>95</v>
      </c>
      <c r="D185" s="35">
        <f>IFERROR(VLOOKUP($B185,$B$21:$AE$29,21,0),0)</f>
        <v>0</v>
      </c>
      <c r="E185" s="36">
        <f>IFERROR(VLOOKUP($B185,$B$35:$AE$43,21,0),0)</f>
        <v>0</v>
      </c>
    </row>
    <row r="186" spans="2:5" x14ac:dyDescent="0.25">
      <c r="B186" s="25" t="s">
        <v>23</v>
      </c>
      <c r="C186" s="21" t="s">
        <v>96</v>
      </c>
      <c r="D186" s="35">
        <f>IFERROR(VLOOKUP($B186,$B$21:$AE$29,22,0),0)</f>
        <v>0</v>
      </c>
      <c r="E186" s="36">
        <f>IFERROR(VLOOKUP($B186,$B$35:$AE$43,22,0),0)</f>
        <v>0</v>
      </c>
    </row>
    <row r="187" spans="2:5" x14ac:dyDescent="0.25">
      <c r="B187" s="25" t="s">
        <v>23</v>
      </c>
      <c r="C187" s="21" t="s">
        <v>97</v>
      </c>
      <c r="D187" s="35">
        <f>IFERROR(VLOOKUP($B187,$B$21:$AE$29,23,0),0)</f>
        <v>0</v>
      </c>
      <c r="E187" s="36">
        <f>IFERROR(VLOOKUP($B187,$B$35:$AE$43,23,0),0)</f>
        <v>0</v>
      </c>
    </row>
    <row r="188" spans="2:5" x14ac:dyDescent="0.25">
      <c r="B188" s="25" t="s">
        <v>23</v>
      </c>
      <c r="C188" s="21" t="s">
        <v>98</v>
      </c>
      <c r="D188" s="35">
        <f>IFERROR(VLOOKUP($B188,$B$21:$AE$29,24,0),0)</f>
        <v>0</v>
      </c>
      <c r="E188" s="36">
        <f>IFERROR(VLOOKUP($B188,$B$35:$AE$43,24,0),0)</f>
        <v>0</v>
      </c>
    </row>
    <row r="189" spans="2:5" x14ac:dyDescent="0.25">
      <c r="B189" s="25" t="s">
        <v>23</v>
      </c>
      <c r="C189" s="21" t="s">
        <v>99</v>
      </c>
      <c r="D189" s="35">
        <f>IFERROR(VLOOKUP($B189,$B$21:$AE$29,25,0),0)</f>
        <v>0</v>
      </c>
      <c r="E189" s="36">
        <f>IFERROR(VLOOKUP($B189,$B$35:$AE$43,25,0),0)</f>
        <v>0</v>
      </c>
    </row>
    <row r="190" spans="2:5" x14ac:dyDescent="0.25">
      <c r="B190" s="25" t="s">
        <v>23</v>
      </c>
      <c r="C190" s="21" t="s">
        <v>100</v>
      </c>
      <c r="D190" s="35">
        <f>IFERROR(VLOOKUP($B190,$B$21:$AE$29,26,0),0)</f>
        <v>0</v>
      </c>
      <c r="E190" s="36">
        <f>IFERROR(VLOOKUP($B190,$B$35:$AE$43,26,0),0)</f>
        <v>0</v>
      </c>
    </row>
    <row r="191" spans="2:5" x14ac:dyDescent="0.25">
      <c r="B191" s="25" t="s">
        <v>23</v>
      </c>
      <c r="C191" s="21" t="s">
        <v>101</v>
      </c>
      <c r="D191" s="35">
        <f>IFERROR(VLOOKUP($B191,$B$21:$AE$29,27,0),0)</f>
        <v>0</v>
      </c>
      <c r="E191" s="36">
        <f>IFERROR(VLOOKUP($B191,$B$35:$AE$43,27,0),0)</f>
        <v>0</v>
      </c>
    </row>
    <row r="192" spans="2:5" x14ac:dyDescent="0.25">
      <c r="B192" s="25" t="s">
        <v>23</v>
      </c>
      <c r="C192" s="21" t="s">
        <v>102</v>
      </c>
      <c r="D192" s="35">
        <f>IFERROR(VLOOKUP($B192,$B$21:$AE$29,28,0),0)</f>
        <v>0</v>
      </c>
      <c r="E192" s="36">
        <f>IFERROR(VLOOKUP($B192,$B$35:$AE$43,28,0),0)</f>
        <v>0</v>
      </c>
    </row>
    <row r="193" spans="2:5" x14ac:dyDescent="0.25">
      <c r="B193" s="25" t="s">
        <v>23</v>
      </c>
      <c r="C193" s="21" t="s">
        <v>103</v>
      </c>
      <c r="D193" s="35">
        <f>IFERROR(VLOOKUP($B193,$B$21:$AE$29,29,0),0)</f>
        <v>0</v>
      </c>
      <c r="E193" s="36">
        <f>IFERROR(VLOOKUP($B193,$B$35:$AE$43,29,0),0)</f>
        <v>0</v>
      </c>
    </row>
    <row r="194" spans="2:5" x14ac:dyDescent="0.25">
      <c r="B194" s="25" t="s">
        <v>23</v>
      </c>
      <c r="C194" s="21" t="s">
        <v>104</v>
      </c>
      <c r="D194" s="35">
        <f>IFERROR(VLOOKUP($B194,$B$21:$AE$29,30,0),0)</f>
        <v>0</v>
      </c>
      <c r="E194" s="36">
        <f>IFERROR(VLOOKUP($B194,$B$35:$AE$43,30,0),0)</f>
        <v>0</v>
      </c>
    </row>
    <row r="195" spans="2:5" x14ac:dyDescent="0.25">
      <c r="B195" s="25" t="s">
        <v>24</v>
      </c>
      <c r="C195" s="21" t="s">
        <v>76</v>
      </c>
      <c r="D195" s="35">
        <f>IFERROR(VLOOKUP($B195,$B$21:$AE$29,2,0),0)</f>
        <v>0</v>
      </c>
      <c r="E195" s="36">
        <f>IFERROR(VLOOKUP($B195,$B$35:$AE$43,2,0),0)</f>
        <v>10</v>
      </c>
    </row>
    <row r="196" spans="2:5" x14ac:dyDescent="0.25">
      <c r="B196" s="25" t="s">
        <v>24</v>
      </c>
      <c r="C196" s="21" t="s">
        <v>77</v>
      </c>
      <c r="D196" s="35">
        <f>IFERROR(VLOOKUP($B196,$B$21:$AE$29,3,0),0)</f>
        <v>0</v>
      </c>
      <c r="E196" s="36">
        <f>IFERROR(VLOOKUP($B196,$B$35:$AE$43,3,0),0)</f>
        <v>35</v>
      </c>
    </row>
    <row r="197" spans="2:5" x14ac:dyDescent="0.25">
      <c r="B197" s="25" t="s">
        <v>24</v>
      </c>
      <c r="C197" s="21" t="s">
        <v>78</v>
      </c>
      <c r="D197" s="35">
        <f>IFERROR(VLOOKUP($B197,$B$21:$AE$29,4,0),0)</f>
        <v>15</v>
      </c>
      <c r="E197" s="36">
        <f>IFERROR(VLOOKUP($B197,$B$35:$AE$43,4,0),0)</f>
        <v>50</v>
      </c>
    </row>
    <row r="198" spans="2:5" x14ac:dyDescent="0.25">
      <c r="B198" s="25" t="s">
        <v>24</v>
      </c>
      <c r="C198" s="21" t="s">
        <v>141</v>
      </c>
      <c r="D198" s="35">
        <f>IFERROR(VLOOKUP($B198,$B$21:$AE$29,5,0),0)</f>
        <v>0</v>
      </c>
      <c r="E198" s="36">
        <f>IFERROR(VLOOKUP($B198,$B$35:$AE$43,5,0),0)</f>
        <v>22</v>
      </c>
    </row>
    <row r="199" spans="2:5" x14ac:dyDescent="0.25">
      <c r="B199" s="25" t="s">
        <v>24</v>
      </c>
      <c r="C199" s="21" t="s">
        <v>80</v>
      </c>
      <c r="D199" s="35">
        <f>IFERROR(VLOOKUP($B199,$B$21:$AE$29,6,0),0)</f>
        <v>0</v>
      </c>
      <c r="E199" s="36">
        <f>IFERROR(VLOOKUP($B199,$B$35:$AE$43,6,0),0)</f>
        <v>0</v>
      </c>
    </row>
    <row r="200" spans="2:5" x14ac:dyDescent="0.25">
      <c r="B200" s="25" t="s">
        <v>24</v>
      </c>
      <c r="C200" s="21" t="s">
        <v>142</v>
      </c>
      <c r="D200" s="35">
        <f>IFERROR(VLOOKUP($B200,$B$21:$AE$29,7,0),0)</f>
        <v>0</v>
      </c>
      <c r="E200" s="36">
        <f>IFERROR(VLOOKUP($B200,$B$35:$AE$43,7,0),0)</f>
        <v>0</v>
      </c>
    </row>
    <row r="201" spans="2:5" x14ac:dyDescent="0.25">
      <c r="B201" s="25" t="s">
        <v>24</v>
      </c>
      <c r="C201" s="21" t="s">
        <v>82</v>
      </c>
      <c r="D201" s="35">
        <f>IFERROR(VLOOKUP($B201,$B$21:$AE$29,8,0),0)</f>
        <v>0</v>
      </c>
      <c r="E201" s="36">
        <f>IFERROR(VLOOKUP($B201,$B$35:$AE$43,8,0),0)</f>
        <v>0</v>
      </c>
    </row>
    <row r="202" spans="2:5" x14ac:dyDescent="0.25">
      <c r="B202" s="25" t="s">
        <v>24</v>
      </c>
      <c r="C202" s="21" t="s">
        <v>83</v>
      </c>
      <c r="D202" s="35">
        <f>IFERROR(VLOOKUP($B202,$B$21:$AE$29,9,0),0)</f>
        <v>0</v>
      </c>
      <c r="E202" s="36">
        <f>IFERROR(VLOOKUP($B202,$B$35:$AE$43,9,0),0)</f>
        <v>12</v>
      </c>
    </row>
    <row r="203" spans="2:5" x14ac:dyDescent="0.25">
      <c r="B203" s="25" t="s">
        <v>24</v>
      </c>
      <c r="C203" s="21" t="s">
        <v>84</v>
      </c>
      <c r="D203" s="35">
        <f>IFERROR(VLOOKUP($B203,$B$21:$AE$29,10,0),0)</f>
        <v>0</v>
      </c>
      <c r="E203" s="36">
        <f>IFERROR(VLOOKUP($B203,$B$35:$AE$43,10,0),0)</f>
        <v>0</v>
      </c>
    </row>
    <row r="204" spans="2:5" x14ac:dyDescent="0.25">
      <c r="B204" s="25" t="s">
        <v>24</v>
      </c>
      <c r="C204" s="21" t="s">
        <v>85</v>
      </c>
      <c r="D204" s="35">
        <f>IFERROR(VLOOKUP($B204,$B$21:$AE$29,11,0),0)</f>
        <v>0</v>
      </c>
      <c r="E204" s="36">
        <f>IFERROR(VLOOKUP($B204,$B$35:$AE$43,11,0),0)</f>
        <v>43</v>
      </c>
    </row>
    <row r="205" spans="2:5" x14ac:dyDescent="0.25">
      <c r="B205" s="25" t="s">
        <v>24</v>
      </c>
      <c r="C205" s="21" t="s">
        <v>86</v>
      </c>
      <c r="D205" s="35">
        <f>IFERROR(VLOOKUP($B205,$B$21:$AE$29,12,0),0)</f>
        <v>0</v>
      </c>
      <c r="E205" s="36">
        <f>IFERROR(VLOOKUP($B205,$B$35:$AE$43,12,0),0)</f>
        <v>68</v>
      </c>
    </row>
    <row r="206" spans="2:5" x14ac:dyDescent="0.25">
      <c r="B206" s="25" t="s">
        <v>24</v>
      </c>
      <c r="C206" s="21" t="s">
        <v>87</v>
      </c>
      <c r="D206" s="35">
        <f>IFERROR(VLOOKUP($B206,$B$21:$AE$29,13,0),0)</f>
        <v>0</v>
      </c>
      <c r="E206" s="36">
        <f>IFERROR(VLOOKUP($B206,$B$35:$AE$43,13,0),0)</f>
        <v>0</v>
      </c>
    </row>
    <row r="207" spans="2:5" x14ac:dyDescent="0.25">
      <c r="B207" s="25" t="s">
        <v>24</v>
      </c>
      <c r="C207" s="21" t="s">
        <v>88</v>
      </c>
      <c r="D207" s="35">
        <f>IFERROR(VLOOKUP($B207,$B$21:$AE$29,14,0),0)</f>
        <v>105</v>
      </c>
      <c r="E207" s="36">
        <f>IFERROR(VLOOKUP($B207,$B$35:$AE$43,14,0),0)</f>
        <v>143</v>
      </c>
    </row>
    <row r="208" spans="2:5" x14ac:dyDescent="0.25">
      <c r="B208" s="25" t="s">
        <v>24</v>
      </c>
      <c r="C208" s="21" t="s">
        <v>89</v>
      </c>
      <c r="D208" s="35">
        <f>IFERROR(VLOOKUP($B208,$B$21:$AE$29,15,0),0)</f>
        <v>36</v>
      </c>
      <c r="E208" s="36">
        <f>IFERROR(VLOOKUP($B208,$B$35:$AE$43,15,0),0)</f>
        <v>36</v>
      </c>
    </row>
    <row r="209" spans="2:5" x14ac:dyDescent="0.25">
      <c r="B209" s="25" t="s">
        <v>24</v>
      </c>
      <c r="C209" s="21" t="s">
        <v>90</v>
      </c>
      <c r="D209" s="35">
        <f>IFERROR(VLOOKUP($B209,$B$21:$AE$29,16,0),0)</f>
        <v>0</v>
      </c>
      <c r="E209" s="36">
        <f>IFERROR(VLOOKUP($B209,$B$35:$AE$43,16,0),0)</f>
        <v>0</v>
      </c>
    </row>
    <row r="210" spans="2:5" x14ac:dyDescent="0.25">
      <c r="B210" s="25" t="s">
        <v>24</v>
      </c>
      <c r="C210" s="21" t="s">
        <v>91</v>
      </c>
      <c r="D210" s="35">
        <f>IFERROR(VLOOKUP($B210,$B$21:$AE$29,17,0),0)</f>
        <v>25</v>
      </c>
      <c r="E210" s="36">
        <f>IFERROR(VLOOKUP($B210,$B$35:$AE$43,17,0),0)</f>
        <v>47</v>
      </c>
    </row>
    <row r="211" spans="2:5" x14ac:dyDescent="0.25">
      <c r="B211" s="25" t="s">
        <v>24</v>
      </c>
      <c r="C211" s="21" t="s">
        <v>92</v>
      </c>
      <c r="D211" s="35">
        <f>IFERROR(VLOOKUP($B211,$B$21:$AE$29,18,0),0)</f>
        <v>0</v>
      </c>
      <c r="E211" s="36">
        <f>IFERROR(VLOOKUP($B211,$B$35:$AE$43,18,0),0)</f>
        <v>0</v>
      </c>
    </row>
    <row r="212" spans="2:5" x14ac:dyDescent="0.25">
      <c r="B212" s="25" t="s">
        <v>24</v>
      </c>
      <c r="C212" s="21" t="s">
        <v>93</v>
      </c>
      <c r="D212" s="35">
        <f>IFERROR(VLOOKUP($B212,$B$21:$AE$29,19,0),0)</f>
        <v>0</v>
      </c>
      <c r="E212" s="36">
        <f>IFERROR(VLOOKUP($B212,$B$35:$AE$43,19,0),0)</f>
        <v>0</v>
      </c>
    </row>
    <row r="213" spans="2:5" x14ac:dyDescent="0.25">
      <c r="B213" s="25" t="s">
        <v>24</v>
      </c>
      <c r="C213" s="21" t="s">
        <v>94</v>
      </c>
      <c r="D213" s="35">
        <f>IFERROR(VLOOKUP($B213,$B$21:$AE$29,20,0),0)</f>
        <v>75</v>
      </c>
      <c r="E213" s="36">
        <f>IFERROR(VLOOKUP($B213,$B$35:$AE$43,20,0),0)</f>
        <v>326</v>
      </c>
    </row>
    <row r="214" spans="2:5" x14ac:dyDescent="0.25">
      <c r="B214" s="25" t="s">
        <v>24</v>
      </c>
      <c r="C214" s="21" t="s">
        <v>95</v>
      </c>
      <c r="D214" s="35">
        <f>IFERROR(VLOOKUP($B214,$B$21:$AE$29,21,0),0)</f>
        <v>46</v>
      </c>
      <c r="E214" s="36">
        <f>IFERROR(VLOOKUP($B214,$B$35:$AE$43,21,0),0)</f>
        <v>86</v>
      </c>
    </row>
    <row r="215" spans="2:5" x14ac:dyDescent="0.25">
      <c r="B215" s="25" t="s">
        <v>24</v>
      </c>
      <c r="C215" s="21" t="s">
        <v>96</v>
      </c>
      <c r="D215" s="35">
        <f>IFERROR(VLOOKUP($B215,$B$21:$AE$29,22,0),0)</f>
        <v>30</v>
      </c>
      <c r="E215" s="36">
        <f>IFERROR(VLOOKUP($B215,$B$35:$AE$43,22,0),0)</f>
        <v>85</v>
      </c>
    </row>
    <row r="216" spans="2:5" x14ac:dyDescent="0.25">
      <c r="B216" s="25" t="s">
        <v>24</v>
      </c>
      <c r="C216" s="21" t="s">
        <v>97</v>
      </c>
      <c r="D216" s="35">
        <f>IFERROR(VLOOKUP($B216,$B$21:$AE$29,23,0),0)</f>
        <v>27</v>
      </c>
      <c r="E216" s="36">
        <f>IFERROR(VLOOKUP($B216,$B$35:$AE$43,23,0),0)</f>
        <v>103</v>
      </c>
    </row>
    <row r="217" spans="2:5" x14ac:dyDescent="0.25">
      <c r="B217" s="25" t="s">
        <v>24</v>
      </c>
      <c r="C217" s="21" t="s">
        <v>98</v>
      </c>
      <c r="D217" s="35">
        <f>IFERROR(VLOOKUP($B217,$B$21:$AE$29,24,0),0)</f>
        <v>0</v>
      </c>
      <c r="E217" s="36">
        <f>IFERROR(VLOOKUP($B217,$B$35:$AE$43,24,0),0)</f>
        <v>63</v>
      </c>
    </row>
    <row r="218" spans="2:5" x14ac:dyDescent="0.25">
      <c r="B218" s="25" t="s">
        <v>24</v>
      </c>
      <c r="C218" s="21" t="s">
        <v>99</v>
      </c>
      <c r="D218" s="35">
        <f>IFERROR(VLOOKUP($B218,$B$21:$AE$29,25,0),0)</f>
        <v>0</v>
      </c>
      <c r="E218" s="36">
        <f>IFERROR(VLOOKUP($B218,$B$35:$AE$43,25,0),0)</f>
        <v>0</v>
      </c>
    </row>
    <row r="219" spans="2:5" x14ac:dyDescent="0.25">
      <c r="B219" s="25" t="s">
        <v>24</v>
      </c>
      <c r="C219" s="21" t="s">
        <v>100</v>
      </c>
      <c r="D219" s="35">
        <f>IFERROR(VLOOKUP($B219,$B$21:$AE$29,26,0),0)</f>
        <v>0</v>
      </c>
      <c r="E219" s="36">
        <f>IFERROR(VLOOKUP($B219,$B$35:$AE$43,26,0),0)</f>
        <v>0</v>
      </c>
    </row>
    <row r="220" spans="2:5" x14ac:dyDescent="0.25">
      <c r="B220" s="25" t="s">
        <v>24</v>
      </c>
      <c r="C220" s="21" t="s">
        <v>101</v>
      </c>
      <c r="D220" s="35">
        <f>IFERROR(VLOOKUP($B220,$B$21:$AE$29,27,0),0)</f>
        <v>0</v>
      </c>
      <c r="E220" s="36">
        <f>IFERROR(VLOOKUP($B220,$B$35:$AE$43,27,0),0)</f>
        <v>0</v>
      </c>
    </row>
    <row r="221" spans="2:5" x14ac:dyDescent="0.25">
      <c r="B221" s="25" t="s">
        <v>24</v>
      </c>
      <c r="C221" s="21" t="s">
        <v>102</v>
      </c>
      <c r="D221" s="35">
        <f>IFERROR(VLOOKUP($B221,$B$21:$AE$29,28,0),0)</f>
        <v>0</v>
      </c>
      <c r="E221" s="36">
        <f>IFERROR(VLOOKUP($B221,$B$35:$AE$43,28,0),0)</f>
        <v>0</v>
      </c>
    </row>
    <row r="222" spans="2:5" x14ac:dyDescent="0.25">
      <c r="B222" s="25" t="s">
        <v>24</v>
      </c>
      <c r="C222" s="21" t="s">
        <v>103</v>
      </c>
      <c r="D222" s="35">
        <f>IFERROR(VLOOKUP($B222,$B$21:$AE$29,29,0),0)</f>
        <v>0</v>
      </c>
      <c r="E222" s="36">
        <f>IFERROR(VLOOKUP($B222,$B$35:$AE$43,29,0),0)</f>
        <v>0</v>
      </c>
    </row>
    <row r="223" spans="2:5" x14ac:dyDescent="0.25">
      <c r="B223" s="25" t="s">
        <v>24</v>
      </c>
      <c r="C223" s="21" t="s">
        <v>104</v>
      </c>
      <c r="D223" s="35">
        <f>IFERROR(VLOOKUP($B223,$B$21:$AE$29,30,0),0)</f>
        <v>7</v>
      </c>
      <c r="E223" s="36">
        <f>IFERROR(VLOOKUP($B223,$B$35:$AE$43,30,0),0)</f>
        <v>13</v>
      </c>
    </row>
    <row r="224" spans="2:5" x14ac:dyDescent="0.25">
      <c r="B224" s="25" t="s">
        <v>25</v>
      </c>
      <c r="C224" s="21" t="s">
        <v>76</v>
      </c>
      <c r="D224" s="35">
        <f>IFERROR(VLOOKUP($B224,$B$21:$AE$29,2,0),0)</f>
        <v>0</v>
      </c>
      <c r="E224" s="36">
        <f>IFERROR(VLOOKUP($B224,$B$35:$AE$43,2,0),0)</f>
        <v>0</v>
      </c>
    </row>
    <row r="225" spans="2:5" x14ac:dyDescent="0.25">
      <c r="B225" s="25" t="s">
        <v>25</v>
      </c>
      <c r="C225" s="21" t="s">
        <v>77</v>
      </c>
      <c r="D225" s="35">
        <f>IFERROR(VLOOKUP($B225,$B$21:$AE$29,3,0),0)</f>
        <v>0</v>
      </c>
      <c r="E225" s="36">
        <f>IFERROR(VLOOKUP($B225,$B$35:$AE$43,3,0),0)</f>
        <v>15</v>
      </c>
    </row>
    <row r="226" spans="2:5" x14ac:dyDescent="0.25">
      <c r="B226" s="25" t="s">
        <v>25</v>
      </c>
      <c r="C226" s="21" t="s">
        <v>78</v>
      </c>
      <c r="D226" s="35">
        <f>IFERROR(VLOOKUP($B226,$B$21:$AE$29,4,0),0)</f>
        <v>0</v>
      </c>
      <c r="E226" s="36">
        <f>IFERROR(VLOOKUP($B226,$B$35:$AE$43,4,0),0)</f>
        <v>44</v>
      </c>
    </row>
    <row r="227" spans="2:5" x14ac:dyDescent="0.25">
      <c r="B227" s="25" t="s">
        <v>25</v>
      </c>
      <c r="C227" s="21" t="s">
        <v>141</v>
      </c>
      <c r="D227" s="35">
        <f>IFERROR(VLOOKUP($B227,$B$21:$AE$29,5,0),0)</f>
        <v>0</v>
      </c>
      <c r="E227" s="36">
        <f>IFERROR(VLOOKUP($B227,$B$35:$AE$43,5,0),0)</f>
        <v>325</v>
      </c>
    </row>
    <row r="228" spans="2:5" x14ac:dyDescent="0.25">
      <c r="B228" s="25" t="s">
        <v>25</v>
      </c>
      <c r="C228" s="21" t="s">
        <v>80</v>
      </c>
      <c r="D228" s="35">
        <f>IFERROR(VLOOKUP($B228,$B$21:$AE$29,6,0),0)</f>
        <v>0</v>
      </c>
      <c r="E228" s="36">
        <f>IFERROR(VLOOKUP($B228,$B$35:$AE$43,6,0),0)</f>
        <v>0</v>
      </c>
    </row>
    <row r="229" spans="2:5" x14ac:dyDescent="0.25">
      <c r="B229" s="25" t="s">
        <v>25</v>
      </c>
      <c r="C229" s="21" t="s">
        <v>142</v>
      </c>
      <c r="D229" s="35">
        <f>IFERROR(VLOOKUP($B229,$B$21:$AE$29,7,0),0)</f>
        <v>0</v>
      </c>
      <c r="E229" s="36">
        <f>IFERROR(VLOOKUP($B229,$B$35:$AE$43,7,0),0)</f>
        <v>0</v>
      </c>
    </row>
    <row r="230" spans="2:5" x14ac:dyDescent="0.25">
      <c r="B230" s="25" t="s">
        <v>25</v>
      </c>
      <c r="C230" s="21" t="s">
        <v>82</v>
      </c>
      <c r="D230" s="35">
        <f>IFERROR(VLOOKUP($B230,$B$21:$AE$29,8,0),0)</f>
        <v>0</v>
      </c>
      <c r="E230" s="36">
        <f>IFERROR(VLOOKUP($B230,$B$35:$AE$43,8,0),0)</f>
        <v>0</v>
      </c>
    </row>
    <row r="231" spans="2:5" x14ac:dyDescent="0.25">
      <c r="B231" s="25" t="s">
        <v>25</v>
      </c>
      <c r="C231" s="21" t="s">
        <v>83</v>
      </c>
      <c r="D231" s="35">
        <f>IFERROR(VLOOKUP($B231,$B$21:$AE$29,9,0),0)</f>
        <v>0</v>
      </c>
      <c r="E231" s="36">
        <f>IFERROR(VLOOKUP($B231,$B$35:$AE$43,9,0),0)</f>
        <v>158</v>
      </c>
    </row>
    <row r="232" spans="2:5" x14ac:dyDescent="0.25">
      <c r="B232" s="25" t="s">
        <v>25</v>
      </c>
      <c r="C232" s="21" t="s">
        <v>84</v>
      </c>
      <c r="D232" s="35">
        <f>IFERROR(VLOOKUP($B232,$B$21:$AE$29,10,0),0)</f>
        <v>0</v>
      </c>
      <c r="E232" s="36">
        <f>IFERROR(VLOOKUP($B232,$B$35:$AE$43,10,0),0)</f>
        <v>0</v>
      </c>
    </row>
    <row r="233" spans="2:5" x14ac:dyDescent="0.25">
      <c r="B233" s="25" t="s">
        <v>25</v>
      </c>
      <c r="C233" s="21" t="s">
        <v>85</v>
      </c>
      <c r="D233" s="35">
        <f>IFERROR(VLOOKUP($B233,$B$21:$AE$29,11,0),0)</f>
        <v>0</v>
      </c>
      <c r="E233" s="36">
        <f>IFERROR(VLOOKUP($B233,$B$35:$AE$43,11,0),0)</f>
        <v>10</v>
      </c>
    </row>
    <row r="234" spans="2:5" x14ac:dyDescent="0.25">
      <c r="B234" s="25" t="s">
        <v>25</v>
      </c>
      <c r="C234" s="21" t="s">
        <v>86</v>
      </c>
      <c r="D234" s="35">
        <f>IFERROR(VLOOKUP($B234,$B$21:$AE$29,12,0),0)</f>
        <v>0</v>
      </c>
      <c r="E234" s="36">
        <f>IFERROR(VLOOKUP($B234,$B$35:$AE$43,12,0),0)</f>
        <v>42</v>
      </c>
    </row>
    <row r="235" spans="2:5" x14ac:dyDescent="0.25">
      <c r="B235" s="25" t="s">
        <v>25</v>
      </c>
      <c r="C235" s="21" t="s">
        <v>87</v>
      </c>
      <c r="D235" s="35">
        <f>IFERROR(VLOOKUP($B235,$B$21:$AE$29,13,0),0)</f>
        <v>0</v>
      </c>
      <c r="E235" s="36">
        <f>IFERROR(VLOOKUP($B235,$B$35:$AE$43,13,0),0)</f>
        <v>0</v>
      </c>
    </row>
    <row r="236" spans="2:5" x14ac:dyDescent="0.25">
      <c r="B236" s="25" t="s">
        <v>25</v>
      </c>
      <c r="C236" s="21" t="s">
        <v>88</v>
      </c>
      <c r="D236" s="35">
        <f>IFERROR(VLOOKUP($B236,$B$21:$AE$29,14,0),0)</f>
        <v>0</v>
      </c>
      <c r="E236" s="36">
        <f>IFERROR(VLOOKUP($B236,$B$35:$AE$43,14,0),0)</f>
        <v>19</v>
      </c>
    </row>
    <row r="237" spans="2:5" x14ac:dyDescent="0.25">
      <c r="B237" s="25" t="s">
        <v>25</v>
      </c>
      <c r="C237" s="21" t="s">
        <v>89</v>
      </c>
      <c r="D237" s="35">
        <f>IFERROR(VLOOKUP($B237,$B$21:$AE$29,15,0),0)</f>
        <v>0</v>
      </c>
      <c r="E237" s="36">
        <f>IFERROR(VLOOKUP($B237,$B$35:$AE$43,15,0),0)</f>
        <v>0</v>
      </c>
    </row>
    <row r="238" spans="2:5" x14ac:dyDescent="0.25">
      <c r="B238" s="25" t="s">
        <v>25</v>
      </c>
      <c r="C238" s="21" t="s">
        <v>90</v>
      </c>
      <c r="D238" s="35">
        <f>IFERROR(VLOOKUP($B238,$B$21:$AE$29,16,0),0)</f>
        <v>4</v>
      </c>
      <c r="E238" s="36">
        <f>IFERROR(VLOOKUP($B238,$B$35:$AE$43,16,0),0)</f>
        <v>47</v>
      </c>
    </row>
    <row r="239" spans="2:5" x14ac:dyDescent="0.25">
      <c r="B239" s="25" t="s">
        <v>25</v>
      </c>
      <c r="C239" s="21" t="s">
        <v>91</v>
      </c>
      <c r="D239" s="35">
        <f>IFERROR(VLOOKUP($B239,$B$21:$AE$29,17,0),0)</f>
        <v>0</v>
      </c>
      <c r="E239" s="36">
        <f>IFERROR(VLOOKUP($B239,$B$35:$AE$43,17,0),0)</f>
        <v>0</v>
      </c>
    </row>
    <row r="240" spans="2:5" x14ac:dyDescent="0.25">
      <c r="B240" s="25" t="s">
        <v>25</v>
      </c>
      <c r="C240" s="21" t="s">
        <v>92</v>
      </c>
      <c r="D240" s="35">
        <f>IFERROR(VLOOKUP($B240,$B$21:$AE$29,18,0),0)</f>
        <v>0</v>
      </c>
      <c r="E240" s="36">
        <f>IFERROR(VLOOKUP($B240,$B$35:$AE$43,18,0),0)</f>
        <v>0</v>
      </c>
    </row>
    <row r="241" spans="2:5" x14ac:dyDescent="0.25">
      <c r="B241" s="25" t="s">
        <v>25</v>
      </c>
      <c r="C241" s="21" t="s">
        <v>93</v>
      </c>
      <c r="D241" s="35">
        <f>IFERROR(VLOOKUP($B241,$B$21:$AE$29,19,0),0)</f>
        <v>0</v>
      </c>
      <c r="E241" s="36">
        <f>IFERROR(VLOOKUP($B241,$B$35:$AE$43,19,0),0)</f>
        <v>0</v>
      </c>
    </row>
    <row r="242" spans="2:5" x14ac:dyDescent="0.25">
      <c r="B242" s="25" t="s">
        <v>25</v>
      </c>
      <c r="C242" s="21" t="s">
        <v>94</v>
      </c>
      <c r="D242" s="35">
        <f>IFERROR(VLOOKUP($B242,$B$21:$AE$29,20,0),0)</f>
        <v>11</v>
      </c>
      <c r="E242" s="36">
        <f>IFERROR(VLOOKUP($B242,$B$35:$AE$43,20,0),0)</f>
        <v>72</v>
      </c>
    </row>
    <row r="243" spans="2:5" x14ac:dyDescent="0.25">
      <c r="B243" s="25" t="s">
        <v>25</v>
      </c>
      <c r="C243" s="21" t="s">
        <v>95</v>
      </c>
      <c r="D243" s="35">
        <f>IFERROR(VLOOKUP($B243,$B$21:$AE$29,21,0),0)</f>
        <v>0</v>
      </c>
      <c r="E243" s="36">
        <f>IFERROR(VLOOKUP($B243,$B$35:$AE$43,21,0),0)</f>
        <v>0</v>
      </c>
    </row>
    <row r="244" spans="2:5" x14ac:dyDescent="0.25">
      <c r="B244" s="25" t="s">
        <v>25</v>
      </c>
      <c r="C244" s="21" t="s">
        <v>96</v>
      </c>
      <c r="D244" s="35">
        <f>IFERROR(VLOOKUP($B244,$B$21:$AE$29,22,0),0)</f>
        <v>11</v>
      </c>
      <c r="E244" s="36">
        <f>IFERROR(VLOOKUP($B244,$B$35:$AE$43,22,0),0)</f>
        <v>154</v>
      </c>
    </row>
    <row r="245" spans="2:5" x14ac:dyDescent="0.25">
      <c r="B245" s="25" t="s">
        <v>25</v>
      </c>
      <c r="C245" s="21" t="s">
        <v>97</v>
      </c>
      <c r="D245" s="35">
        <f>IFERROR(VLOOKUP($B245,$B$21:$AE$29,23,0),0)</f>
        <v>0</v>
      </c>
      <c r="E245" s="36">
        <f>IFERROR(VLOOKUP($B245,$B$35:$AE$43,23,0),0)</f>
        <v>0</v>
      </c>
    </row>
    <row r="246" spans="2:5" x14ac:dyDescent="0.25">
      <c r="B246" s="25" t="s">
        <v>25</v>
      </c>
      <c r="C246" s="21" t="s">
        <v>98</v>
      </c>
      <c r="D246" s="35">
        <f>IFERROR(VLOOKUP($B246,$B$21:$AE$29,24,0),0)</f>
        <v>0</v>
      </c>
      <c r="E246" s="36">
        <f>IFERROR(VLOOKUP($B246,$B$35:$AE$43,24,0),0)</f>
        <v>0</v>
      </c>
    </row>
    <row r="247" spans="2:5" x14ac:dyDescent="0.25">
      <c r="B247" s="25" t="s">
        <v>25</v>
      </c>
      <c r="C247" s="21" t="s">
        <v>99</v>
      </c>
      <c r="D247" s="35">
        <f>IFERROR(VLOOKUP($B247,$B$21:$AE$29,25,0),0)</f>
        <v>0</v>
      </c>
      <c r="E247" s="36">
        <f>IFERROR(VLOOKUP($B247,$B$35:$AE$43,25,0),0)</f>
        <v>0</v>
      </c>
    </row>
    <row r="248" spans="2:5" x14ac:dyDescent="0.25">
      <c r="B248" s="25" t="s">
        <v>25</v>
      </c>
      <c r="C248" s="21" t="s">
        <v>100</v>
      </c>
      <c r="D248" s="35">
        <f>IFERROR(VLOOKUP($B248,$B$21:$AE$29,26,0),0)</f>
        <v>0</v>
      </c>
      <c r="E248" s="36">
        <f>IFERROR(VLOOKUP($B248,$B$35:$AE$43,26,0),0)</f>
        <v>0</v>
      </c>
    </row>
    <row r="249" spans="2:5" x14ac:dyDescent="0.25">
      <c r="B249" s="25" t="s">
        <v>25</v>
      </c>
      <c r="C249" s="21" t="s">
        <v>101</v>
      </c>
      <c r="D249" s="35">
        <f>IFERROR(VLOOKUP($B249,$B$21:$AE$29,27,0),0)</f>
        <v>0</v>
      </c>
      <c r="E249" s="36">
        <f>IFERROR(VLOOKUP($B249,$B$35:$AE$43,27,0),0)</f>
        <v>0</v>
      </c>
    </row>
    <row r="250" spans="2:5" x14ac:dyDescent="0.25">
      <c r="B250" s="25" t="s">
        <v>25</v>
      </c>
      <c r="C250" s="21" t="s">
        <v>102</v>
      </c>
      <c r="D250" s="35">
        <f>IFERROR(VLOOKUP($B250,$B$21:$AE$29,28,0),0)</f>
        <v>0</v>
      </c>
      <c r="E250" s="36">
        <f>IFERROR(VLOOKUP($B250,$B$35:$AE$43,28,0),0)</f>
        <v>0</v>
      </c>
    </row>
    <row r="251" spans="2:5" x14ac:dyDescent="0.25">
      <c r="B251" s="25" t="s">
        <v>25</v>
      </c>
      <c r="C251" s="21" t="s">
        <v>103</v>
      </c>
      <c r="D251" s="35">
        <f>IFERROR(VLOOKUP($B251,$B$21:$AE$29,29,0),0)</f>
        <v>0</v>
      </c>
      <c r="E251" s="36">
        <f>IFERROR(VLOOKUP($B251,$B$35:$AE$43,29,0),0)</f>
        <v>0</v>
      </c>
    </row>
    <row r="252" spans="2:5" x14ac:dyDescent="0.25">
      <c r="B252" s="25" t="s">
        <v>25</v>
      </c>
      <c r="C252" s="21" t="s">
        <v>104</v>
      </c>
      <c r="D252" s="35">
        <f>IFERROR(VLOOKUP($B252,$B$21:$AE$29,30,0),0)</f>
        <v>0</v>
      </c>
      <c r="E252" s="36">
        <f>IFERROR(VLOOKUP($B252,$B$35:$AE$43,30,0),0)</f>
        <v>0</v>
      </c>
    </row>
    <row r="253" spans="2:5" x14ac:dyDescent="0.25">
      <c r="B253" s="25" t="s">
        <v>143</v>
      </c>
      <c r="C253" s="21" t="s">
        <v>76</v>
      </c>
      <c r="D253" s="35">
        <f>IFERROR(VLOOKUP($B253,$B$21:$AE$29,2,0),0)</f>
        <v>0</v>
      </c>
      <c r="E253" s="36">
        <f>IFERROR(VLOOKUP($B253,$B$35:$AE$43,2,0),0)</f>
        <v>0</v>
      </c>
    </row>
    <row r="254" spans="2:5" x14ac:dyDescent="0.25">
      <c r="B254" s="25" t="s">
        <v>143</v>
      </c>
      <c r="C254" s="21" t="s">
        <v>77</v>
      </c>
      <c r="D254" s="35">
        <f>IFERROR(VLOOKUP($B254,$B$21:$AE$29,3,0),0)</f>
        <v>0</v>
      </c>
      <c r="E254" s="36">
        <f>IFERROR(VLOOKUP($B254,$B$35:$AE$43,3,0),0)</f>
        <v>0</v>
      </c>
    </row>
    <row r="255" spans="2:5" x14ac:dyDescent="0.25">
      <c r="B255" s="25" t="s">
        <v>143</v>
      </c>
      <c r="C255" s="21" t="s">
        <v>78</v>
      </c>
      <c r="D255" s="35">
        <f>IFERROR(VLOOKUP($B255,$B$21:$AE$29,4,0),0)</f>
        <v>0</v>
      </c>
      <c r="E255" s="36">
        <f>IFERROR(VLOOKUP($B255,$B$35:$AE$43,4,0),0)</f>
        <v>0</v>
      </c>
    </row>
    <row r="256" spans="2:5" x14ac:dyDescent="0.25">
      <c r="B256" s="25" t="s">
        <v>143</v>
      </c>
      <c r="C256" s="21" t="s">
        <v>141</v>
      </c>
      <c r="D256" s="35">
        <f>IFERROR(VLOOKUP($B256,$B$21:$AE$29,5,0),0)</f>
        <v>20</v>
      </c>
      <c r="E256" s="36">
        <f>IFERROR(VLOOKUP($B256,$B$35:$AE$43,5,0),0)</f>
        <v>20</v>
      </c>
    </row>
    <row r="257" spans="2:5" x14ac:dyDescent="0.25">
      <c r="B257" s="25" t="s">
        <v>143</v>
      </c>
      <c r="C257" s="21" t="s">
        <v>80</v>
      </c>
      <c r="D257" s="35">
        <f>IFERROR(VLOOKUP($B257,$B$21:$AE$29,6,0),0)</f>
        <v>0</v>
      </c>
      <c r="E257" s="36">
        <f>IFERROR(VLOOKUP($B257,$B$35:$AE$43,6,0),0)</f>
        <v>0</v>
      </c>
    </row>
    <row r="258" spans="2:5" x14ac:dyDescent="0.25">
      <c r="B258" s="25" t="s">
        <v>143</v>
      </c>
      <c r="C258" s="21" t="s">
        <v>142</v>
      </c>
      <c r="D258" s="35">
        <f>IFERROR(VLOOKUP($B258,$B$21:$AE$29,7,0),0)</f>
        <v>165</v>
      </c>
      <c r="E258" s="36">
        <f>IFERROR(VLOOKUP($B258,$B$35:$AE$43,7,0),0)</f>
        <v>165</v>
      </c>
    </row>
    <row r="259" spans="2:5" x14ac:dyDescent="0.25">
      <c r="B259" s="25" t="s">
        <v>143</v>
      </c>
      <c r="C259" s="21" t="s">
        <v>82</v>
      </c>
      <c r="D259" s="35">
        <f>IFERROR(VLOOKUP($B259,$B$21:$AE$29,8,0),0)</f>
        <v>0</v>
      </c>
      <c r="E259" s="36">
        <f>IFERROR(VLOOKUP($B259,$B$35:$AE$43,8,0),0)</f>
        <v>0</v>
      </c>
    </row>
    <row r="260" spans="2:5" x14ac:dyDescent="0.25">
      <c r="B260" s="25" t="s">
        <v>143</v>
      </c>
      <c r="C260" s="21" t="s">
        <v>83</v>
      </c>
      <c r="D260" s="35">
        <f>IFERROR(VLOOKUP($B260,$B$21:$AE$29,9,0),0)</f>
        <v>0</v>
      </c>
      <c r="E260" s="36">
        <f>IFERROR(VLOOKUP($B260,$B$35:$AE$43,9,0),0)</f>
        <v>0</v>
      </c>
    </row>
    <row r="261" spans="2:5" x14ac:dyDescent="0.25">
      <c r="B261" s="25" t="s">
        <v>143</v>
      </c>
      <c r="C261" s="21" t="s">
        <v>84</v>
      </c>
      <c r="D261" s="35">
        <f>IFERROR(VLOOKUP($B261,$B$21:$AE$29,10,0),0)</f>
        <v>90</v>
      </c>
      <c r="E261" s="36">
        <f>IFERROR(VLOOKUP($B261,$B$35:$AE$43,10,0),0)</f>
        <v>90</v>
      </c>
    </row>
    <row r="262" spans="2:5" x14ac:dyDescent="0.25">
      <c r="B262" s="25" t="s">
        <v>143</v>
      </c>
      <c r="C262" s="21" t="s">
        <v>85</v>
      </c>
      <c r="D262" s="35">
        <f>IFERROR(VLOOKUP($B262,$B$21:$AE$29,11,0),0)</f>
        <v>0</v>
      </c>
      <c r="E262" s="36">
        <f>IFERROR(VLOOKUP($B262,$B$35:$AE$43,11,0),0)</f>
        <v>0</v>
      </c>
    </row>
    <row r="263" spans="2:5" x14ac:dyDescent="0.25">
      <c r="B263" s="25" t="s">
        <v>143</v>
      </c>
      <c r="C263" s="21" t="s">
        <v>86</v>
      </c>
      <c r="D263" s="35">
        <f>IFERROR(VLOOKUP($B263,$B$21:$AE$29,12,0),0)</f>
        <v>0</v>
      </c>
      <c r="E263" s="36">
        <f>IFERROR(VLOOKUP($B263,$B$35:$AE$43,12,0),0)</f>
        <v>0</v>
      </c>
    </row>
    <row r="264" spans="2:5" x14ac:dyDescent="0.25">
      <c r="B264" s="25" t="s">
        <v>143</v>
      </c>
      <c r="C264" s="21" t="s">
        <v>87</v>
      </c>
      <c r="D264" s="35">
        <f>IFERROR(VLOOKUP($B264,$B$21:$AE$29,13,0),0)</f>
        <v>0</v>
      </c>
      <c r="E264" s="36">
        <f>IFERROR(VLOOKUP($B264,$B$35:$AE$43,13,0),0)</f>
        <v>0</v>
      </c>
    </row>
    <row r="265" spans="2:5" x14ac:dyDescent="0.25">
      <c r="B265" s="25" t="s">
        <v>143</v>
      </c>
      <c r="C265" s="21" t="s">
        <v>88</v>
      </c>
      <c r="D265" s="35">
        <f>IFERROR(VLOOKUP($B265,$B$21:$AE$29,14,0),0)</f>
        <v>0</v>
      </c>
      <c r="E265" s="36">
        <f>IFERROR(VLOOKUP($B265,$B$35:$AE$43,14,0),0)</f>
        <v>0</v>
      </c>
    </row>
    <row r="266" spans="2:5" x14ac:dyDescent="0.25">
      <c r="B266" s="25" t="s">
        <v>143</v>
      </c>
      <c r="C266" s="21" t="s">
        <v>89</v>
      </c>
      <c r="D266" s="35">
        <f>IFERROR(VLOOKUP($B266,$B$21:$AE$29,15,0),0)</f>
        <v>0</v>
      </c>
      <c r="E266" s="36">
        <f>IFERROR(VLOOKUP($B266,$B$35:$AE$43,15,0),0)</f>
        <v>0</v>
      </c>
    </row>
    <row r="267" spans="2:5" x14ac:dyDescent="0.25">
      <c r="B267" s="25" t="s">
        <v>143</v>
      </c>
      <c r="C267" s="21" t="s">
        <v>90</v>
      </c>
      <c r="D267" s="35">
        <f>IFERROR(VLOOKUP($B267,$B$21:$AE$29,16,0),0)</f>
        <v>0</v>
      </c>
      <c r="E267" s="36">
        <f>IFERROR(VLOOKUP($B267,$B$35:$AE$43,16,0),0)</f>
        <v>0</v>
      </c>
    </row>
    <row r="268" spans="2:5" x14ac:dyDescent="0.25">
      <c r="B268" s="25" t="s">
        <v>143</v>
      </c>
      <c r="C268" s="21" t="s">
        <v>91</v>
      </c>
      <c r="D268" s="35">
        <f>IFERROR(VLOOKUP($B268,$B$21:$AE$29,17,0),0)</f>
        <v>0</v>
      </c>
      <c r="E268" s="36">
        <f>IFERROR(VLOOKUP($B268,$B$35:$AE$43,17,0),0)</f>
        <v>0</v>
      </c>
    </row>
    <row r="269" spans="2:5" x14ac:dyDescent="0.25">
      <c r="B269" s="25" t="s">
        <v>143</v>
      </c>
      <c r="C269" s="21" t="s">
        <v>92</v>
      </c>
      <c r="D269" s="35">
        <f>IFERROR(VLOOKUP($B269,$B$21:$AE$29,18,0),0)</f>
        <v>0</v>
      </c>
      <c r="E269" s="36">
        <f>IFERROR(VLOOKUP($B269,$B$35:$AE$43,18,0),0)</f>
        <v>0</v>
      </c>
    </row>
    <row r="270" spans="2:5" x14ac:dyDescent="0.25">
      <c r="B270" s="25" t="s">
        <v>143</v>
      </c>
      <c r="C270" s="21" t="s">
        <v>93</v>
      </c>
      <c r="D270" s="35">
        <f>IFERROR(VLOOKUP($B270,$B$21:$AE$29,19,0),0)</f>
        <v>0</v>
      </c>
      <c r="E270" s="36">
        <f>IFERROR(VLOOKUP($B270,$B$35:$AE$43,19,0),0)</f>
        <v>0</v>
      </c>
    </row>
    <row r="271" spans="2:5" x14ac:dyDescent="0.25">
      <c r="B271" s="25" t="s">
        <v>143</v>
      </c>
      <c r="C271" s="21" t="s">
        <v>94</v>
      </c>
      <c r="D271" s="35">
        <f>IFERROR(VLOOKUP($B271,$B$21:$AE$29,20,0),0)</f>
        <v>0</v>
      </c>
      <c r="E271" s="36">
        <f>IFERROR(VLOOKUP($B271,$B$35:$AE$43,20,0),0)</f>
        <v>0</v>
      </c>
    </row>
    <row r="272" spans="2:5" x14ac:dyDescent="0.25">
      <c r="B272" s="25" t="s">
        <v>143</v>
      </c>
      <c r="C272" s="21" t="s">
        <v>95</v>
      </c>
      <c r="D272" s="35">
        <f>IFERROR(VLOOKUP($B272,$B$21:$AE$29,21,0),0)</f>
        <v>0</v>
      </c>
      <c r="E272" s="36">
        <f>IFERROR(VLOOKUP($B272,$B$35:$AE$43,21,0),0)</f>
        <v>0</v>
      </c>
    </row>
    <row r="273" spans="2:5" x14ac:dyDescent="0.25">
      <c r="B273" s="25" t="s">
        <v>143</v>
      </c>
      <c r="C273" s="21" t="s">
        <v>96</v>
      </c>
      <c r="D273" s="35">
        <f>IFERROR(VLOOKUP($B273,$B$21:$AE$29,22,0),0)</f>
        <v>35</v>
      </c>
      <c r="E273" s="36">
        <f>IFERROR(VLOOKUP($B273,$B$35:$AE$43,22,0),0)</f>
        <v>35</v>
      </c>
    </row>
    <row r="274" spans="2:5" x14ac:dyDescent="0.25">
      <c r="B274" s="25" t="s">
        <v>143</v>
      </c>
      <c r="C274" s="21" t="s">
        <v>97</v>
      </c>
      <c r="D274" s="35">
        <f>IFERROR(VLOOKUP($B274,$B$21:$AE$29,23,0),0)</f>
        <v>0</v>
      </c>
      <c r="E274" s="36">
        <f>IFERROR(VLOOKUP($B274,$B$35:$AE$43,23,0),0)</f>
        <v>0</v>
      </c>
    </row>
    <row r="275" spans="2:5" x14ac:dyDescent="0.25">
      <c r="B275" s="25" t="s">
        <v>143</v>
      </c>
      <c r="C275" s="21" t="s">
        <v>98</v>
      </c>
      <c r="D275" s="35">
        <f>IFERROR(VLOOKUP($B275,$B$21:$AE$29,24,0),0)</f>
        <v>0</v>
      </c>
      <c r="E275" s="36">
        <f>IFERROR(VLOOKUP($B275,$B$35:$AE$43,24,0),0)</f>
        <v>0</v>
      </c>
    </row>
    <row r="276" spans="2:5" x14ac:dyDescent="0.25">
      <c r="B276" s="25" t="s">
        <v>143</v>
      </c>
      <c r="C276" s="21" t="s">
        <v>99</v>
      </c>
      <c r="D276" s="35">
        <f>IFERROR(VLOOKUP($B276,$B$21:$AE$29,25,0),0)</f>
        <v>0</v>
      </c>
      <c r="E276" s="36">
        <f>IFERROR(VLOOKUP($B276,$B$35:$AE$43,25,0),0)</f>
        <v>0</v>
      </c>
    </row>
    <row r="277" spans="2:5" x14ac:dyDescent="0.25">
      <c r="B277" s="25" t="s">
        <v>143</v>
      </c>
      <c r="C277" s="21" t="s">
        <v>100</v>
      </c>
      <c r="D277" s="35">
        <f>IFERROR(VLOOKUP($B277,$B$21:$AE$29,26,0),0)</f>
        <v>0</v>
      </c>
      <c r="E277" s="36">
        <f>IFERROR(VLOOKUP($B277,$B$35:$AE$43,26,0),0)</f>
        <v>0</v>
      </c>
    </row>
    <row r="278" spans="2:5" x14ac:dyDescent="0.25">
      <c r="B278" s="25" t="s">
        <v>143</v>
      </c>
      <c r="C278" s="21" t="s">
        <v>101</v>
      </c>
      <c r="D278" s="35">
        <f>IFERROR(VLOOKUP($B278,$B$21:$AE$29,27,0),0)</f>
        <v>0</v>
      </c>
      <c r="E278" s="36">
        <f>IFERROR(VLOOKUP($B278,$B$35:$AE$43,27,0),0)</f>
        <v>0</v>
      </c>
    </row>
    <row r="279" spans="2:5" x14ac:dyDescent="0.25">
      <c r="B279" s="25" t="s">
        <v>143</v>
      </c>
      <c r="C279" s="21" t="s">
        <v>102</v>
      </c>
      <c r="D279" s="35">
        <f>IFERROR(VLOOKUP($B279,$B$21:$AE$29,28,0),0)</f>
        <v>0</v>
      </c>
      <c r="E279" s="36">
        <f>IFERROR(VLOOKUP($B279,$B$35:$AE$43,28,0),0)</f>
        <v>0</v>
      </c>
    </row>
    <row r="280" spans="2:5" x14ac:dyDescent="0.25">
      <c r="B280" s="25" t="s">
        <v>143</v>
      </c>
      <c r="C280" s="21" t="s">
        <v>103</v>
      </c>
      <c r="D280" s="35">
        <f>IFERROR(VLOOKUP($B280,$B$21:$AE$29,29,0),0)</f>
        <v>0</v>
      </c>
      <c r="E280" s="36">
        <f>IFERROR(VLOOKUP($B280,$B$35:$AE$43,29,0),0)</f>
        <v>0</v>
      </c>
    </row>
    <row r="281" spans="2:5" x14ac:dyDescent="0.25">
      <c r="B281" s="28" t="s">
        <v>143</v>
      </c>
      <c r="C281" s="37" t="s">
        <v>104</v>
      </c>
      <c r="D281" s="38">
        <f>IFERROR(VLOOKUP($B281,$B$21:$AE$29,30,0),0)</f>
        <v>135</v>
      </c>
      <c r="E281" s="39">
        <f>IFERROR(VLOOKUP($B281,$B$35:$AE$43,30,0),0)</f>
        <v>135</v>
      </c>
    </row>
  </sheetData>
  <mergeCells count="8">
    <mergeCell ref="G79:H79"/>
    <mergeCell ref="B1:J1"/>
    <mergeCell ref="S47:Y47"/>
    <mergeCell ref="L1:N1"/>
    <mergeCell ref="B48:E48"/>
    <mergeCell ref="G48:K48"/>
    <mergeCell ref="M48:Q48"/>
    <mergeCell ref="L2:N2"/>
  </mergeCells>
  <phoneticPr fontId="6" type="noConversion"/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Overall</vt:lpstr>
      <vt:lpstr>1</vt:lpstr>
      <vt:lpstr>3</vt:lpstr>
      <vt:lpstr>4</vt:lpstr>
      <vt:lpstr>5</vt:lpstr>
      <vt:lpstr>9</vt:lpstr>
      <vt:lpstr>10</vt:lpstr>
      <vt:lpstr>12</vt:lpstr>
      <vt:lpstr>14</vt:lpstr>
      <vt:lpstr>Data</vt:lpstr>
      <vt:lpstr>Totals</vt:lpstr>
      <vt:lpstr>'1'!Print_Area</vt:lpstr>
      <vt:lpstr>'10'!Print_Area</vt:lpstr>
      <vt:lpstr>'12'!Print_Area</vt:lpstr>
      <vt:lpstr>'14'!Print_Area</vt:lpstr>
      <vt:lpstr>'3'!Print_Area</vt:lpstr>
      <vt:lpstr>'4'!Print_Area</vt:lpstr>
      <vt:lpstr>'5'!Print_Area</vt:lpstr>
      <vt:lpstr>'9'!Print_Area</vt:lpstr>
      <vt:lpstr>Overall!Print_Area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 Winters</dc:creator>
  <cp:lastModifiedBy>Amie Winters</cp:lastModifiedBy>
  <cp:lastPrinted>2023-02-28T22:58:48Z</cp:lastPrinted>
  <dcterms:created xsi:type="dcterms:W3CDTF">2023-01-13T17:36:28Z</dcterms:created>
  <dcterms:modified xsi:type="dcterms:W3CDTF">2023-03-30T18:42:15Z</dcterms:modified>
</cp:coreProperties>
</file>