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m1\Downloads\"/>
    </mc:Choice>
  </mc:AlternateContent>
  <xr:revisionPtr revIDLastSave="0" documentId="13_ncr:1_{4E69FAF9-703F-4922-A32D-E6171B7D729D}" xr6:coauthVersionLast="47" xr6:coauthVersionMax="47" xr10:uidLastSave="{00000000-0000-0000-0000-000000000000}"/>
  <bookViews>
    <workbookView xWindow="29010" yWindow="2550" windowWidth="43170" windowHeight="18015" xr2:uid="{6C7473DA-F217-4C1E-91C0-CA6A43A06F45}"/>
  </bookViews>
  <sheets>
    <sheet name="Overall" sheetId="12" r:id="rId1"/>
    <sheet name="1" sheetId="1" r:id="rId2"/>
    <sheet name="3" sheetId="6" r:id="rId3"/>
    <sheet name="4" sheetId="5" r:id="rId4"/>
    <sheet name="5" sheetId="4" r:id="rId5"/>
    <sheet name="9" sheetId="7" r:id="rId6"/>
    <sheet name="10" sheetId="8" r:id="rId7"/>
    <sheet name="12" sheetId="9" r:id="rId8"/>
    <sheet name="14" sheetId="10" r:id="rId9"/>
    <sheet name="Data" sheetId="2" r:id="rId10"/>
    <sheet name="Totals" sheetId="3" r:id="rId11"/>
    <sheet name="Months" sheetId="13" r:id="rId12"/>
  </sheets>
  <externalReferences>
    <externalReference r:id="rId13"/>
  </externalReferences>
  <definedNames>
    <definedName name="_xlnm._FilterDatabase" localSheetId="9" hidden="1">Data!$A$1:$BZ$2</definedName>
    <definedName name="_xlnm.Print_Area" localSheetId="1">'1'!$A$1:$J$61</definedName>
    <definedName name="_xlnm.Print_Area" localSheetId="6">'10'!$A$1:$J$59</definedName>
    <definedName name="_xlnm.Print_Area" localSheetId="7">'12'!$A$1:$J$59</definedName>
    <definedName name="_xlnm.Print_Area" localSheetId="8">'14'!$A$1:$J$59</definedName>
    <definedName name="_xlnm.Print_Area" localSheetId="2">'3'!$A$1:$J$59</definedName>
    <definedName name="_xlnm.Print_Area" localSheetId="3">'4'!$A$1:$J$59</definedName>
    <definedName name="_xlnm.Print_Area" localSheetId="4">'5'!$A$1:$J$59</definedName>
    <definedName name="_xlnm.Print_Area" localSheetId="5">'9'!$A$1:$J$59</definedName>
    <definedName name="_xlnm.Print_Area" localSheetId="0">Overall!$B$1:$K$20</definedName>
  </definedNames>
  <calcPr calcId="191029"/>
  <pivotCaches>
    <pivotCache cacheId="0" r:id="rId14"/>
    <pivotCache cacheId="1" r:id="rId15"/>
    <pivotCache cacheId="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2" i="2"/>
  <c r="AO13" i="3"/>
  <c r="AO12" i="3"/>
  <c r="AO11" i="3"/>
  <c r="AO10" i="3"/>
  <c r="AO9" i="3"/>
  <c r="AO8" i="3"/>
  <c r="AO7" i="3"/>
  <c r="AO6" i="3"/>
  <c r="AO5" i="3"/>
  <c r="AN13" i="3"/>
  <c r="AM13" i="3"/>
  <c r="AL13" i="3"/>
  <c r="AK13" i="3"/>
  <c r="AJ13" i="3"/>
  <c r="AI13" i="3"/>
  <c r="AN12" i="3"/>
  <c r="AM12" i="3"/>
  <c r="AL12" i="3"/>
  <c r="AK12" i="3"/>
  <c r="AJ12" i="3"/>
  <c r="AI12" i="3"/>
  <c r="AN11" i="3"/>
  <c r="AM11" i="3"/>
  <c r="AL11" i="3"/>
  <c r="AK11" i="3"/>
  <c r="AJ11" i="3"/>
  <c r="AI11" i="3"/>
  <c r="AN10" i="3"/>
  <c r="AM10" i="3"/>
  <c r="AL10" i="3"/>
  <c r="AK10" i="3"/>
  <c r="AJ10" i="3"/>
  <c r="AI10" i="3"/>
  <c r="AN9" i="3"/>
  <c r="AM9" i="3"/>
  <c r="AL9" i="3"/>
  <c r="AK9" i="3"/>
  <c r="AJ9" i="3"/>
  <c r="AI9" i="3"/>
  <c r="AN8" i="3"/>
  <c r="AM8" i="3"/>
  <c r="AL8" i="3"/>
  <c r="AK8" i="3"/>
  <c r="AJ8" i="3"/>
  <c r="AI8" i="3"/>
  <c r="AN7" i="3"/>
  <c r="AM7" i="3"/>
  <c r="AL7" i="3"/>
  <c r="AK7" i="3"/>
  <c r="AJ7" i="3"/>
  <c r="AI7" i="3"/>
  <c r="AN6" i="3"/>
  <c r="AM6" i="3"/>
  <c r="AL6" i="3"/>
  <c r="AK6" i="3"/>
  <c r="AJ6" i="3"/>
  <c r="AI6" i="3"/>
  <c r="AN5" i="3"/>
  <c r="AM5" i="3"/>
  <c r="AL5" i="3"/>
  <c r="AK5" i="3"/>
  <c r="AJ5" i="3"/>
  <c r="AI5" i="3"/>
  <c r="AH13" i="3"/>
  <c r="AH6" i="3"/>
  <c r="AH7" i="3"/>
  <c r="AH8" i="3"/>
  <c r="AH9" i="3"/>
  <c r="AH10" i="3"/>
  <c r="AH11" i="3"/>
  <c r="AH12" i="3"/>
  <c r="AH5" i="3"/>
  <c r="J44" i="10" l="1" a="1"/>
  <c r="J44" i="10" s="1"/>
  <c r="I44" i="10" a="1"/>
  <c r="I44" i="10" s="1"/>
  <c r="H44" i="10" a="1"/>
  <c r="H44" i="10" s="1"/>
  <c r="G44" i="10" a="1"/>
  <c r="G44" i="10" s="1"/>
  <c r="F44" i="10" a="1"/>
  <c r="F44" i="10" s="1"/>
  <c r="E44" i="10" a="1"/>
  <c r="E44" i="10" s="1"/>
  <c r="D44" i="10" a="1"/>
  <c r="D44" i="10" s="1"/>
  <c r="C44" i="10" a="1"/>
  <c r="C44" i="10" s="1"/>
  <c r="B44" i="10" a="1"/>
  <c r="B44" i="10" s="1"/>
  <c r="A44" i="10" a="1"/>
  <c r="A44" i="10" s="1"/>
  <c r="J43" i="10" a="1"/>
  <c r="J43" i="10" s="1"/>
  <c r="I43" i="10" a="1"/>
  <c r="I43" i="10" s="1"/>
  <c r="H43" i="10" a="1"/>
  <c r="H43" i="10" s="1"/>
  <c r="G43" i="10" a="1"/>
  <c r="G43" i="10" s="1"/>
  <c r="F43" i="10" a="1"/>
  <c r="F43" i="10" s="1"/>
  <c r="E43" i="10" a="1"/>
  <c r="E43" i="10" s="1"/>
  <c r="D43" i="10" a="1"/>
  <c r="D43" i="10" s="1"/>
  <c r="C43" i="10" a="1"/>
  <c r="C43" i="10" s="1"/>
  <c r="B43" i="10" a="1"/>
  <c r="B43" i="10" s="1"/>
  <c r="A43" i="10" a="1"/>
  <c r="A43" i="10" s="1"/>
  <c r="J42" i="10" a="1"/>
  <c r="J42" i="10" s="1"/>
  <c r="I42" i="10" a="1"/>
  <c r="I42" i="10" s="1"/>
  <c r="H42" i="10" a="1"/>
  <c r="H42" i="10" s="1"/>
  <c r="G42" i="10" a="1"/>
  <c r="G42" i="10" s="1"/>
  <c r="F42" i="10" a="1"/>
  <c r="F42" i="10" s="1"/>
  <c r="E42" i="10" a="1"/>
  <c r="E42" i="10" s="1"/>
  <c r="D42" i="10" a="1"/>
  <c r="D42" i="10" s="1"/>
  <c r="C42" i="10" a="1"/>
  <c r="C42" i="10" s="1"/>
  <c r="B42" i="10" a="1"/>
  <c r="B42" i="10" s="1"/>
  <c r="A42" i="10" a="1"/>
  <c r="A42" i="10" s="1"/>
  <c r="J41" i="10" a="1"/>
  <c r="J41" i="10" s="1"/>
  <c r="I41" i="10" a="1"/>
  <c r="I41" i="10" s="1"/>
  <c r="H41" i="10" a="1"/>
  <c r="H41" i="10" s="1"/>
  <c r="G41" i="10" a="1"/>
  <c r="G41" i="10" s="1"/>
  <c r="F41" i="10" a="1"/>
  <c r="F41" i="10" s="1"/>
  <c r="E41" i="10" a="1"/>
  <c r="E41" i="10" s="1"/>
  <c r="D41" i="10" a="1"/>
  <c r="D41" i="10" s="1"/>
  <c r="C41" i="10" a="1"/>
  <c r="C41" i="10" s="1"/>
  <c r="B41" i="10" a="1"/>
  <c r="B41" i="10" s="1"/>
  <c r="A41" i="10" a="1"/>
  <c r="A41" i="10" s="1"/>
  <c r="J40" i="10" a="1"/>
  <c r="J40" i="10" s="1"/>
  <c r="I40" i="10" a="1"/>
  <c r="I40" i="10" s="1"/>
  <c r="H40" i="10" a="1"/>
  <c r="H40" i="10" s="1"/>
  <c r="G40" i="10" a="1"/>
  <c r="G40" i="10" s="1"/>
  <c r="F40" i="10" a="1"/>
  <c r="F40" i="10" s="1"/>
  <c r="E40" i="10" a="1"/>
  <c r="E40" i="10" s="1"/>
  <c r="D40" i="10" a="1"/>
  <c r="D40" i="10" s="1"/>
  <c r="C40" i="10" a="1"/>
  <c r="C40" i="10" s="1"/>
  <c r="B40" i="10" a="1"/>
  <c r="B40" i="10" s="1"/>
  <c r="A40" i="10" a="1"/>
  <c r="A40" i="10" s="1"/>
  <c r="J39" i="10" a="1"/>
  <c r="J39" i="10" s="1"/>
  <c r="I39" i="10" a="1"/>
  <c r="I39" i="10" s="1"/>
  <c r="H39" i="10" a="1"/>
  <c r="H39" i="10" s="1"/>
  <c r="G39" i="10" a="1"/>
  <c r="G39" i="10" s="1"/>
  <c r="F39" i="10" a="1"/>
  <c r="F39" i="10" s="1"/>
  <c r="E39" i="10" a="1"/>
  <c r="E39" i="10" s="1"/>
  <c r="D39" i="10" a="1"/>
  <c r="D39" i="10" s="1"/>
  <c r="C39" i="10" a="1"/>
  <c r="C39" i="10" s="1"/>
  <c r="B39" i="10" a="1"/>
  <c r="B39" i="10" s="1"/>
  <c r="A39" i="10" a="1"/>
  <c r="A39" i="10" s="1"/>
  <c r="J38" i="10" a="1"/>
  <c r="J38" i="10" s="1"/>
  <c r="I38" i="10" a="1"/>
  <c r="I38" i="10" s="1"/>
  <c r="H38" i="10" a="1"/>
  <c r="H38" i="10" s="1"/>
  <c r="G38" i="10" a="1"/>
  <c r="G38" i="10" s="1"/>
  <c r="F38" i="10" a="1"/>
  <c r="F38" i="10" s="1"/>
  <c r="E38" i="10" a="1"/>
  <c r="E38" i="10" s="1"/>
  <c r="D38" i="10" a="1"/>
  <c r="D38" i="10" s="1"/>
  <c r="C38" i="10" a="1"/>
  <c r="C38" i="10" s="1"/>
  <c r="B38" i="10" a="1"/>
  <c r="B38" i="10" s="1"/>
  <c r="A38" i="10" a="1"/>
  <c r="A38" i="10" s="1"/>
  <c r="J37" i="10" a="1"/>
  <c r="J37" i="10" s="1"/>
  <c r="I37" i="10" a="1"/>
  <c r="I37" i="10" s="1"/>
  <c r="H37" i="10" a="1"/>
  <c r="H37" i="10" s="1"/>
  <c r="G37" i="10" a="1"/>
  <c r="G37" i="10" s="1"/>
  <c r="F37" i="10" a="1"/>
  <c r="F37" i="10" s="1"/>
  <c r="E37" i="10" a="1"/>
  <c r="E37" i="10" s="1"/>
  <c r="D37" i="10" a="1"/>
  <c r="D37" i="10" s="1"/>
  <c r="C37" i="10" a="1"/>
  <c r="C37" i="10" s="1"/>
  <c r="B37" i="10" a="1"/>
  <c r="B37" i="10" s="1"/>
  <c r="A37" i="10" a="1"/>
  <c r="A37" i="10" s="1"/>
  <c r="J36" i="10" a="1"/>
  <c r="J36" i="10" s="1"/>
  <c r="I36" i="10" a="1"/>
  <c r="I36" i="10" s="1"/>
  <c r="H36" i="10" a="1"/>
  <c r="H36" i="10" s="1"/>
  <c r="G36" i="10" a="1"/>
  <c r="G36" i="10" s="1"/>
  <c r="F36" i="10" a="1"/>
  <c r="F36" i="10" s="1"/>
  <c r="E36" i="10" a="1"/>
  <c r="E36" i="10" s="1"/>
  <c r="D36" i="10" a="1"/>
  <c r="D36" i="10" s="1"/>
  <c r="C36" i="10" a="1"/>
  <c r="C36" i="10" s="1"/>
  <c r="B36" i="10" a="1"/>
  <c r="B36" i="10" s="1"/>
  <c r="A36" i="10" a="1"/>
  <c r="A36" i="10" s="1"/>
  <c r="J35" i="10" a="1"/>
  <c r="J35" i="10" s="1"/>
  <c r="I35" i="10" a="1"/>
  <c r="I35" i="10" s="1"/>
  <c r="H35" i="10" a="1"/>
  <c r="H35" i="10" s="1"/>
  <c r="G35" i="10" a="1"/>
  <c r="G35" i="10" s="1"/>
  <c r="F35" i="10" a="1"/>
  <c r="F35" i="10" s="1"/>
  <c r="E35" i="10" a="1"/>
  <c r="E35" i="10" s="1"/>
  <c r="D35" i="10" a="1"/>
  <c r="D35" i="10" s="1"/>
  <c r="C35" i="10" a="1"/>
  <c r="C35" i="10" s="1"/>
  <c r="B35" i="10" a="1"/>
  <c r="B35" i="10" s="1"/>
  <c r="A35" i="10" a="1"/>
  <c r="A35" i="10" s="1"/>
  <c r="J34" i="10" a="1"/>
  <c r="J34" i="10" s="1"/>
  <c r="I34" i="10" a="1"/>
  <c r="I34" i="10" s="1"/>
  <c r="H34" i="10" a="1"/>
  <c r="H34" i="10" s="1"/>
  <c r="G34" i="10" a="1"/>
  <c r="G34" i="10" s="1"/>
  <c r="F34" i="10" a="1"/>
  <c r="F34" i="10" s="1"/>
  <c r="E34" i="10" a="1"/>
  <c r="E34" i="10" s="1"/>
  <c r="D34" i="10" a="1"/>
  <c r="D34" i="10" s="1"/>
  <c r="C34" i="10" a="1"/>
  <c r="C34" i="10" s="1"/>
  <c r="B34" i="10" a="1"/>
  <c r="B34" i="10" s="1"/>
  <c r="A34" i="10" a="1"/>
  <c r="A34" i="10" s="1"/>
  <c r="J33" i="10" a="1"/>
  <c r="J33" i="10" s="1"/>
  <c r="I33" i="10" a="1"/>
  <c r="I33" i="10" s="1"/>
  <c r="H33" i="10" a="1"/>
  <c r="H33" i="10" s="1"/>
  <c r="G33" i="10" a="1"/>
  <c r="G33" i="10" s="1"/>
  <c r="F33" i="10" a="1"/>
  <c r="F33" i="10" s="1"/>
  <c r="E33" i="10" a="1"/>
  <c r="E33" i="10" s="1"/>
  <c r="D33" i="10" a="1"/>
  <c r="D33" i="10" s="1"/>
  <c r="C33" i="10" a="1"/>
  <c r="C33" i="10" s="1"/>
  <c r="B33" i="10" a="1"/>
  <c r="B33" i="10" s="1"/>
  <c r="A33" i="10" a="1"/>
  <c r="A33" i="10" s="1"/>
  <c r="J32" i="10" a="1"/>
  <c r="J32" i="10" s="1"/>
  <c r="I32" i="10" a="1"/>
  <c r="I32" i="10" s="1"/>
  <c r="H32" i="10" a="1"/>
  <c r="H32" i="10" s="1"/>
  <c r="G32" i="10" a="1"/>
  <c r="G32" i="10" s="1"/>
  <c r="F32" i="10" a="1"/>
  <c r="F32" i="10" s="1"/>
  <c r="E32" i="10" a="1"/>
  <c r="E32" i="10" s="1"/>
  <c r="D32" i="10" a="1"/>
  <c r="D32" i="10" s="1"/>
  <c r="C32" i="10" a="1"/>
  <c r="C32" i="10" s="1"/>
  <c r="B32" i="10" a="1"/>
  <c r="B32" i="10" s="1"/>
  <c r="A32" i="10" a="1"/>
  <c r="A32" i="10" s="1"/>
  <c r="J31" i="10" a="1"/>
  <c r="J31" i="10" s="1"/>
  <c r="I31" i="10" a="1"/>
  <c r="I31" i="10" s="1"/>
  <c r="H31" i="10" a="1"/>
  <c r="H31" i="10" s="1"/>
  <c r="G31" i="10" a="1"/>
  <c r="G31" i="10" s="1"/>
  <c r="F31" i="10" a="1"/>
  <c r="F31" i="10" s="1"/>
  <c r="E31" i="10" a="1"/>
  <c r="E31" i="10" s="1"/>
  <c r="D31" i="10" a="1"/>
  <c r="D31" i="10" s="1"/>
  <c r="C31" i="10" a="1"/>
  <c r="C31" i="10" s="1"/>
  <c r="B31" i="10" a="1"/>
  <c r="B31" i="10" s="1"/>
  <c r="A31" i="10" a="1"/>
  <c r="A31" i="10" s="1"/>
  <c r="J30" i="10" a="1"/>
  <c r="J30" i="10" s="1"/>
  <c r="I30" i="10" a="1"/>
  <c r="I30" i="10" s="1"/>
  <c r="H30" i="10" a="1"/>
  <c r="H30" i="10" s="1"/>
  <c r="G30" i="10" a="1"/>
  <c r="G30" i="10" s="1"/>
  <c r="F30" i="10" a="1"/>
  <c r="F30" i="10" s="1"/>
  <c r="E30" i="10" a="1"/>
  <c r="E30" i="10" s="1"/>
  <c r="D30" i="10" a="1"/>
  <c r="D30" i="10" s="1"/>
  <c r="C30" i="10" a="1"/>
  <c r="C30" i="10" s="1"/>
  <c r="B30" i="10" a="1"/>
  <c r="B30" i="10" s="1"/>
  <c r="A30" i="10" a="1"/>
  <c r="A30" i="10" s="1"/>
  <c r="B29" i="10" a="1"/>
  <c r="B29" i="10" s="1"/>
  <c r="C29" i="10" a="1"/>
  <c r="C29" i="10" s="1"/>
  <c r="D29" i="10" a="1"/>
  <c r="D29" i="10" s="1"/>
  <c r="E29" i="10" a="1"/>
  <c r="E29" i="10"/>
  <c r="F29" i="10" a="1"/>
  <c r="F29" i="10" s="1"/>
  <c r="G29" i="10" a="1"/>
  <c r="G29" i="10" s="1"/>
  <c r="H29" i="10" a="1"/>
  <c r="H29" i="10" s="1"/>
  <c r="I29" i="10" a="1"/>
  <c r="I29" i="10"/>
  <c r="J29" i="10" a="1"/>
  <c r="J29" i="10" s="1"/>
  <c r="A29" i="10" a="1"/>
  <c r="A29" i="10" s="1"/>
  <c r="A30" i="9" a="1"/>
  <c r="A30" i="9" s="1"/>
  <c r="B30" i="9" a="1"/>
  <c r="B30" i="9" s="1"/>
  <c r="C30" i="9" a="1"/>
  <c r="C30" i="9" s="1"/>
  <c r="D30" i="9" a="1"/>
  <c r="D30" i="9"/>
  <c r="E30" i="9" a="1"/>
  <c r="E30" i="9" s="1"/>
  <c r="F30" i="9" a="1"/>
  <c r="F30" i="9" s="1"/>
  <c r="G30" i="9" a="1"/>
  <c r="G30" i="9" s="1"/>
  <c r="H30" i="9" a="1"/>
  <c r="H30" i="9"/>
  <c r="I30" i="9" a="1"/>
  <c r="I30" i="9" s="1"/>
  <c r="J30" i="9" a="1"/>
  <c r="J30" i="9" s="1"/>
  <c r="A31" i="9" a="1"/>
  <c r="A31" i="9" s="1"/>
  <c r="B31" i="9" a="1"/>
  <c r="B31" i="9"/>
  <c r="C31" i="9" a="1"/>
  <c r="C31" i="9" s="1"/>
  <c r="D31" i="9" a="1"/>
  <c r="D31" i="9" s="1"/>
  <c r="E31" i="9" a="1"/>
  <c r="E31" i="9" s="1"/>
  <c r="F31" i="9" a="1"/>
  <c r="F31" i="9"/>
  <c r="G31" i="9" a="1"/>
  <c r="G31" i="9" s="1"/>
  <c r="H31" i="9" a="1"/>
  <c r="H31" i="9" s="1"/>
  <c r="I31" i="9" a="1"/>
  <c r="I31" i="9" s="1"/>
  <c r="J31" i="9" a="1"/>
  <c r="J31" i="9"/>
  <c r="A32" i="9" a="1"/>
  <c r="A32" i="9" s="1"/>
  <c r="B32" i="9" a="1"/>
  <c r="B32" i="9" s="1"/>
  <c r="C32" i="9" a="1"/>
  <c r="C32" i="9" s="1"/>
  <c r="D32" i="9" a="1"/>
  <c r="D32" i="9"/>
  <c r="E32" i="9" a="1"/>
  <c r="E32" i="9" s="1"/>
  <c r="F32" i="9" a="1"/>
  <c r="F32" i="9" s="1"/>
  <c r="G32" i="9" a="1"/>
  <c r="G32" i="9" s="1"/>
  <c r="H32" i="9" a="1"/>
  <c r="H32" i="9"/>
  <c r="I32" i="9" a="1"/>
  <c r="I32" i="9" s="1"/>
  <c r="J32" i="9" a="1"/>
  <c r="J32" i="9" s="1"/>
  <c r="A33" i="9" a="1"/>
  <c r="A33" i="9" s="1"/>
  <c r="B33" i="9" a="1"/>
  <c r="B33" i="9"/>
  <c r="C33" i="9" a="1"/>
  <c r="C33" i="9" s="1"/>
  <c r="D33" i="9" a="1"/>
  <c r="D33" i="9" s="1"/>
  <c r="E33" i="9" a="1"/>
  <c r="E33" i="9" s="1"/>
  <c r="F33" i="9" a="1"/>
  <c r="F33" i="9"/>
  <c r="G33" i="9" a="1"/>
  <c r="G33" i="9" s="1"/>
  <c r="H33" i="9" a="1"/>
  <c r="H33" i="9" s="1"/>
  <c r="I33" i="9" a="1"/>
  <c r="I33" i="9" s="1"/>
  <c r="J33" i="9" a="1"/>
  <c r="J33" i="9"/>
  <c r="A34" i="9" a="1"/>
  <c r="A34" i="9" s="1"/>
  <c r="B34" i="9" a="1"/>
  <c r="B34" i="9" s="1"/>
  <c r="C34" i="9" a="1"/>
  <c r="C34" i="9" s="1"/>
  <c r="D34" i="9" a="1"/>
  <c r="D34" i="9"/>
  <c r="E34" i="9" a="1"/>
  <c r="E34" i="9" s="1"/>
  <c r="F34" i="9" a="1"/>
  <c r="F34" i="9" s="1"/>
  <c r="G34" i="9" a="1"/>
  <c r="G34" i="9" s="1"/>
  <c r="H34" i="9" a="1"/>
  <c r="H34" i="9"/>
  <c r="I34" i="9" a="1"/>
  <c r="I34" i="9" s="1"/>
  <c r="J34" i="9" a="1"/>
  <c r="J34" i="9" s="1"/>
  <c r="A35" i="9" a="1"/>
  <c r="A35" i="9" s="1"/>
  <c r="B35" i="9" a="1"/>
  <c r="B35" i="9"/>
  <c r="C35" i="9" a="1"/>
  <c r="C35" i="9" s="1"/>
  <c r="D35" i="9" a="1"/>
  <c r="D35" i="9" s="1"/>
  <c r="E35" i="9" a="1"/>
  <c r="E35" i="9" s="1"/>
  <c r="F35" i="9" a="1"/>
  <c r="F35" i="9"/>
  <c r="G35" i="9" a="1"/>
  <c r="G35" i="9" s="1"/>
  <c r="H35" i="9" a="1"/>
  <c r="H35" i="9" s="1"/>
  <c r="I35" i="9" a="1"/>
  <c r="I35" i="9" s="1"/>
  <c r="J35" i="9" a="1"/>
  <c r="J35" i="9"/>
  <c r="A36" i="9" a="1"/>
  <c r="A36" i="9" s="1"/>
  <c r="B36" i="9" a="1"/>
  <c r="B36" i="9" s="1"/>
  <c r="C36" i="9" a="1"/>
  <c r="C36" i="9" s="1"/>
  <c r="D36" i="9" a="1"/>
  <c r="D36" i="9"/>
  <c r="E36" i="9" a="1"/>
  <c r="E36" i="9" s="1"/>
  <c r="F36" i="9" a="1"/>
  <c r="F36" i="9" s="1"/>
  <c r="G36" i="9" a="1"/>
  <c r="G36" i="9" s="1"/>
  <c r="H36" i="9" a="1"/>
  <c r="H36" i="9"/>
  <c r="I36" i="9" a="1"/>
  <c r="I36" i="9" s="1"/>
  <c r="J36" i="9" a="1"/>
  <c r="J36" i="9" s="1"/>
  <c r="A37" i="9" a="1"/>
  <c r="A37" i="9" s="1"/>
  <c r="B37" i="9" a="1"/>
  <c r="B37" i="9"/>
  <c r="C37" i="9" a="1"/>
  <c r="C37" i="9" s="1"/>
  <c r="D37" i="9" a="1"/>
  <c r="D37" i="9" s="1"/>
  <c r="E37" i="9" a="1"/>
  <c r="E37" i="9" s="1"/>
  <c r="F37" i="9" a="1"/>
  <c r="F37" i="9"/>
  <c r="G37" i="9" a="1"/>
  <c r="G37" i="9" s="1"/>
  <c r="H37" i="9" a="1"/>
  <c r="H37" i="9" s="1"/>
  <c r="I37" i="9" a="1"/>
  <c r="I37" i="9" s="1"/>
  <c r="J37" i="9" a="1"/>
  <c r="J37" i="9"/>
  <c r="A38" i="9" a="1"/>
  <c r="A38" i="9" s="1"/>
  <c r="B38" i="9" a="1"/>
  <c r="B38" i="9" s="1"/>
  <c r="C38" i="9" a="1"/>
  <c r="C38" i="9" s="1"/>
  <c r="D38" i="9" a="1"/>
  <c r="D38" i="9"/>
  <c r="E38" i="9" a="1"/>
  <c r="E38" i="9" s="1"/>
  <c r="F38" i="9" a="1"/>
  <c r="F38" i="9" s="1"/>
  <c r="G38" i="9" a="1"/>
  <c r="G38" i="9" s="1"/>
  <c r="H38" i="9" a="1"/>
  <c r="H38" i="9"/>
  <c r="I38" i="9" a="1"/>
  <c r="I38" i="9" s="1"/>
  <c r="J38" i="9" a="1"/>
  <c r="J38" i="9" s="1"/>
  <c r="A39" i="9" a="1"/>
  <c r="A39" i="9" s="1"/>
  <c r="B39" i="9" a="1"/>
  <c r="B39" i="9"/>
  <c r="C39" i="9" a="1"/>
  <c r="C39" i="9" s="1"/>
  <c r="D39" i="9" a="1"/>
  <c r="D39" i="9" s="1"/>
  <c r="E39" i="9" a="1"/>
  <c r="E39" i="9" s="1"/>
  <c r="F39" i="9" a="1"/>
  <c r="F39" i="9"/>
  <c r="G39" i="9" a="1"/>
  <c r="G39" i="9" s="1"/>
  <c r="H39" i="9" a="1"/>
  <c r="H39" i="9" s="1"/>
  <c r="I39" i="9" a="1"/>
  <c r="I39" i="9" s="1"/>
  <c r="J39" i="9" a="1"/>
  <c r="J39" i="9"/>
  <c r="A40" i="9" a="1"/>
  <c r="A40" i="9" s="1"/>
  <c r="B40" i="9" a="1"/>
  <c r="B40" i="9" s="1"/>
  <c r="C40" i="9" a="1"/>
  <c r="C40" i="9" s="1"/>
  <c r="D40" i="9" a="1"/>
  <c r="D40" i="9"/>
  <c r="E40" i="9" a="1"/>
  <c r="E40" i="9" s="1"/>
  <c r="F40" i="9" a="1"/>
  <c r="F40" i="9" s="1"/>
  <c r="G40" i="9" a="1"/>
  <c r="G40" i="9" s="1"/>
  <c r="H40" i="9" a="1"/>
  <c r="H40" i="9"/>
  <c r="I40" i="9" a="1"/>
  <c r="I40" i="9" s="1"/>
  <c r="J40" i="9" a="1"/>
  <c r="J40" i="9" s="1"/>
  <c r="A41" i="9" a="1"/>
  <c r="A41" i="9" s="1"/>
  <c r="B41" i="9" a="1"/>
  <c r="B41" i="9"/>
  <c r="C41" i="9" a="1"/>
  <c r="C41" i="9" s="1"/>
  <c r="D41" i="9" a="1"/>
  <c r="D41" i="9" s="1"/>
  <c r="E41" i="9" a="1"/>
  <c r="E41" i="9" s="1"/>
  <c r="F41" i="9" a="1"/>
  <c r="F41" i="9"/>
  <c r="G41" i="9" a="1"/>
  <c r="G41" i="9" s="1"/>
  <c r="H41" i="9" a="1"/>
  <c r="H41" i="9" s="1"/>
  <c r="I41" i="9" a="1"/>
  <c r="I41" i="9" s="1"/>
  <c r="J41" i="9" a="1"/>
  <c r="J41" i="9"/>
  <c r="A42" i="9" a="1"/>
  <c r="A42" i="9" s="1"/>
  <c r="B42" i="9" a="1"/>
  <c r="B42" i="9" s="1"/>
  <c r="C42" i="9" a="1"/>
  <c r="C42" i="9" s="1"/>
  <c r="D42" i="9" a="1"/>
  <c r="D42" i="9"/>
  <c r="E42" i="9" a="1"/>
  <c r="E42" i="9" s="1"/>
  <c r="F42" i="9" a="1"/>
  <c r="F42" i="9" s="1"/>
  <c r="G42" i="9" a="1"/>
  <c r="G42" i="9" s="1"/>
  <c r="H42" i="9" a="1"/>
  <c r="H42" i="9"/>
  <c r="I42" i="9" a="1"/>
  <c r="I42" i="9" s="1"/>
  <c r="J42" i="9" a="1"/>
  <c r="J42" i="9" s="1"/>
  <c r="A43" i="9" a="1"/>
  <c r="A43" i="9" s="1"/>
  <c r="B43" i="9" a="1"/>
  <c r="B43" i="9"/>
  <c r="C43" i="9" a="1"/>
  <c r="C43" i="9" s="1"/>
  <c r="D43" i="9" a="1"/>
  <c r="D43" i="9" s="1"/>
  <c r="E43" i="9" a="1"/>
  <c r="E43" i="9" s="1"/>
  <c r="F43" i="9" a="1"/>
  <c r="F43" i="9"/>
  <c r="G43" i="9" a="1"/>
  <c r="G43" i="9" s="1"/>
  <c r="H43" i="9" a="1"/>
  <c r="H43" i="9" s="1"/>
  <c r="I43" i="9" a="1"/>
  <c r="I43" i="9" s="1"/>
  <c r="J43" i="9" a="1"/>
  <c r="J43" i="9"/>
  <c r="A44" i="9" a="1"/>
  <c r="A44" i="9" s="1"/>
  <c r="B44" i="9" a="1"/>
  <c r="B44" i="9" s="1"/>
  <c r="C44" i="9" a="1"/>
  <c r="C44" i="9" s="1"/>
  <c r="D44" i="9" a="1"/>
  <c r="D44" i="9"/>
  <c r="E44" i="9" a="1"/>
  <c r="E44" i="9" s="1"/>
  <c r="F44" i="9" a="1"/>
  <c r="F44" i="9" s="1"/>
  <c r="G44" i="9" a="1"/>
  <c r="G44" i="9" s="1"/>
  <c r="H44" i="9" a="1"/>
  <c r="H44" i="9"/>
  <c r="I44" i="9" a="1"/>
  <c r="I44" i="9" s="1"/>
  <c r="J44" i="9" a="1"/>
  <c r="J44" i="9" s="1"/>
  <c r="B29" i="9" a="1"/>
  <c r="B29" i="9" s="1"/>
  <c r="C29" i="9" a="1"/>
  <c r="C29" i="9" s="1"/>
  <c r="D29" i="9" a="1"/>
  <c r="D29" i="9" s="1"/>
  <c r="E29" i="9" a="1"/>
  <c r="E29" i="9"/>
  <c r="F29" i="9" a="1"/>
  <c r="F29" i="9" s="1"/>
  <c r="G29" i="9" a="1"/>
  <c r="G29" i="9" s="1"/>
  <c r="H29" i="9" a="1"/>
  <c r="H29" i="9" s="1"/>
  <c r="I29" i="9" a="1"/>
  <c r="I29" i="9"/>
  <c r="J29" i="9" a="1"/>
  <c r="J29" i="9" s="1"/>
  <c r="A29" i="9" a="1"/>
  <c r="A29" i="9"/>
  <c r="A31" i="8" a="1"/>
  <c r="A31" i="8" s="1"/>
  <c r="B31" i="8" a="1"/>
  <c r="B31" i="8" s="1"/>
  <c r="C31" i="8" a="1"/>
  <c r="C31" i="8" s="1"/>
  <c r="D31" i="8" a="1"/>
  <c r="D31" i="8"/>
  <c r="E31" i="8" a="1"/>
  <c r="E31" i="8" s="1"/>
  <c r="F31" i="8" a="1"/>
  <c r="F31" i="8" s="1"/>
  <c r="G31" i="8" a="1"/>
  <c r="G31" i="8" s="1"/>
  <c r="H31" i="8" a="1"/>
  <c r="H31" i="8"/>
  <c r="I31" i="8" a="1"/>
  <c r="I31" i="8" s="1"/>
  <c r="J31" i="8" a="1"/>
  <c r="J31" i="8" s="1"/>
  <c r="A32" i="8" a="1"/>
  <c r="A32" i="8" s="1"/>
  <c r="B32" i="8" a="1"/>
  <c r="B32" i="8"/>
  <c r="C32" i="8" a="1"/>
  <c r="C32" i="8" s="1"/>
  <c r="D32" i="8" a="1"/>
  <c r="D32" i="8" s="1"/>
  <c r="E32" i="8" a="1"/>
  <c r="E32" i="8" s="1"/>
  <c r="F32" i="8" a="1"/>
  <c r="F32" i="8"/>
  <c r="G32" i="8" a="1"/>
  <c r="G32" i="8" s="1"/>
  <c r="H32" i="8" a="1"/>
  <c r="H32" i="8" s="1"/>
  <c r="I32" i="8" a="1"/>
  <c r="I32" i="8" s="1"/>
  <c r="J32" i="8" a="1"/>
  <c r="J32" i="8"/>
  <c r="A33" i="8" a="1"/>
  <c r="A33" i="8" s="1"/>
  <c r="B33" i="8" a="1"/>
  <c r="B33" i="8" s="1"/>
  <c r="C33" i="8" a="1"/>
  <c r="C33" i="8" s="1"/>
  <c r="D33" i="8" a="1"/>
  <c r="D33" i="8"/>
  <c r="E33" i="8" a="1"/>
  <c r="E33" i="8" s="1"/>
  <c r="F33" i="8" a="1"/>
  <c r="F33" i="8" s="1"/>
  <c r="G33" i="8" a="1"/>
  <c r="G33" i="8" s="1"/>
  <c r="H33" i="8" a="1"/>
  <c r="H33" i="8"/>
  <c r="I33" i="8" a="1"/>
  <c r="I33" i="8" s="1"/>
  <c r="J33" i="8" a="1"/>
  <c r="J33" i="8" s="1"/>
  <c r="A34" i="8" a="1"/>
  <c r="A34" i="8" s="1"/>
  <c r="B34" i="8" a="1"/>
  <c r="B34" i="8"/>
  <c r="C34" i="8" a="1"/>
  <c r="C34" i="8" s="1"/>
  <c r="D34" i="8" a="1"/>
  <c r="D34" i="8" s="1"/>
  <c r="E34" i="8" a="1"/>
  <c r="E34" i="8" s="1"/>
  <c r="F34" i="8" a="1"/>
  <c r="F34" i="8"/>
  <c r="G34" i="8" a="1"/>
  <c r="G34" i="8" s="1"/>
  <c r="H34" i="8" a="1"/>
  <c r="H34" i="8" s="1"/>
  <c r="I34" i="8" a="1"/>
  <c r="I34" i="8" s="1"/>
  <c r="J34" i="8" a="1"/>
  <c r="J34" i="8"/>
  <c r="A35" i="8" a="1"/>
  <c r="A35" i="8" s="1"/>
  <c r="B35" i="8" a="1"/>
  <c r="B35" i="8" s="1"/>
  <c r="C35" i="8" a="1"/>
  <c r="C35" i="8" s="1"/>
  <c r="D35" i="8" a="1"/>
  <c r="D35" i="8"/>
  <c r="E35" i="8" a="1"/>
  <c r="E35" i="8" s="1"/>
  <c r="F35" i="8" a="1"/>
  <c r="F35" i="8" s="1"/>
  <c r="G35" i="8" a="1"/>
  <c r="G35" i="8" s="1"/>
  <c r="H35" i="8" a="1"/>
  <c r="H35" i="8"/>
  <c r="I35" i="8" a="1"/>
  <c r="I35" i="8" s="1"/>
  <c r="J35" i="8" a="1"/>
  <c r="J35" i="8" s="1"/>
  <c r="A36" i="8" a="1"/>
  <c r="A36" i="8" s="1"/>
  <c r="B36" i="8" a="1"/>
  <c r="B36" i="8"/>
  <c r="C36" i="8" a="1"/>
  <c r="C36" i="8" s="1"/>
  <c r="D36" i="8" a="1"/>
  <c r="D36" i="8" s="1"/>
  <c r="E36" i="8" a="1"/>
  <c r="E36" i="8" s="1"/>
  <c r="F36" i="8" a="1"/>
  <c r="F36" i="8"/>
  <c r="G36" i="8" a="1"/>
  <c r="G36" i="8" s="1"/>
  <c r="H36" i="8" a="1"/>
  <c r="H36" i="8" s="1"/>
  <c r="I36" i="8" a="1"/>
  <c r="I36" i="8" s="1"/>
  <c r="J36" i="8" a="1"/>
  <c r="J36" i="8"/>
  <c r="A37" i="8" a="1"/>
  <c r="A37" i="8" s="1"/>
  <c r="B37" i="8" a="1"/>
  <c r="B37" i="8" s="1"/>
  <c r="C37" i="8" a="1"/>
  <c r="C37" i="8" s="1"/>
  <c r="D37" i="8" a="1"/>
  <c r="D37" i="8"/>
  <c r="E37" i="8" a="1"/>
  <c r="E37" i="8" s="1"/>
  <c r="F37" i="8" a="1"/>
  <c r="F37" i="8" s="1"/>
  <c r="G37" i="8" a="1"/>
  <c r="G37" i="8" s="1"/>
  <c r="H37" i="8" a="1"/>
  <c r="H37" i="8"/>
  <c r="I37" i="8" a="1"/>
  <c r="I37" i="8" s="1"/>
  <c r="J37" i="8" a="1"/>
  <c r="J37" i="8" s="1"/>
  <c r="A38" i="8" a="1"/>
  <c r="A38" i="8" s="1"/>
  <c r="B38" i="8" a="1"/>
  <c r="B38" i="8"/>
  <c r="C38" i="8" a="1"/>
  <c r="C38" i="8" s="1"/>
  <c r="D38" i="8" a="1"/>
  <c r="D38" i="8" s="1"/>
  <c r="E38" i="8" a="1"/>
  <c r="E38" i="8" s="1"/>
  <c r="F38" i="8" a="1"/>
  <c r="F38" i="8"/>
  <c r="G38" i="8" a="1"/>
  <c r="G38" i="8" s="1"/>
  <c r="H38" i="8" a="1"/>
  <c r="H38" i="8" s="1"/>
  <c r="I38" i="8" a="1"/>
  <c r="I38" i="8" s="1"/>
  <c r="J38" i="8" a="1"/>
  <c r="J38" i="8"/>
  <c r="A39" i="8" a="1"/>
  <c r="A39" i="8" s="1"/>
  <c r="B39" i="8" a="1"/>
  <c r="B39" i="8" s="1"/>
  <c r="C39" i="8" a="1"/>
  <c r="C39" i="8" s="1"/>
  <c r="D39" i="8" a="1"/>
  <c r="D39" i="8"/>
  <c r="E39" i="8" a="1"/>
  <c r="E39" i="8" s="1"/>
  <c r="F39" i="8" a="1"/>
  <c r="F39" i="8" s="1"/>
  <c r="G39" i="8" a="1"/>
  <c r="G39" i="8" s="1"/>
  <c r="H39" i="8" a="1"/>
  <c r="H39" i="8"/>
  <c r="I39" i="8" a="1"/>
  <c r="I39" i="8" s="1"/>
  <c r="J39" i="8" a="1"/>
  <c r="J39" i="8" s="1"/>
  <c r="A40" i="8" a="1"/>
  <c r="A40" i="8" s="1"/>
  <c r="B40" i="8" a="1"/>
  <c r="B40" i="8"/>
  <c r="C40" i="8" a="1"/>
  <c r="C40" i="8" s="1"/>
  <c r="D40" i="8" a="1"/>
  <c r="D40" i="8" s="1"/>
  <c r="E40" i="8" a="1"/>
  <c r="E40" i="8" s="1"/>
  <c r="F40" i="8" a="1"/>
  <c r="F40" i="8"/>
  <c r="G40" i="8" a="1"/>
  <c r="G40" i="8" s="1"/>
  <c r="H40" i="8" a="1"/>
  <c r="H40" i="8" s="1"/>
  <c r="I40" i="8" a="1"/>
  <c r="I40" i="8" s="1"/>
  <c r="J40" i="8" a="1"/>
  <c r="J40" i="8"/>
  <c r="A41" i="8" a="1"/>
  <c r="A41" i="8" s="1"/>
  <c r="B41" i="8" a="1"/>
  <c r="B41" i="8" s="1"/>
  <c r="C41" i="8" a="1"/>
  <c r="C41" i="8" s="1"/>
  <c r="D41" i="8" a="1"/>
  <c r="D41" i="8"/>
  <c r="E41" i="8" a="1"/>
  <c r="E41" i="8" s="1"/>
  <c r="F41" i="8" a="1"/>
  <c r="F41" i="8" s="1"/>
  <c r="G41" i="8" a="1"/>
  <c r="G41" i="8" s="1"/>
  <c r="H41" i="8" a="1"/>
  <c r="H41" i="8"/>
  <c r="I41" i="8" a="1"/>
  <c r="I41" i="8" s="1"/>
  <c r="J41" i="8" a="1"/>
  <c r="J41" i="8" s="1"/>
  <c r="A42" i="8" a="1"/>
  <c r="A42" i="8" s="1"/>
  <c r="B42" i="8" a="1"/>
  <c r="B42" i="8"/>
  <c r="C42" i="8" a="1"/>
  <c r="C42" i="8" s="1"/>
  <c r="D42" i="8" a="1"/>
  <c r="D42" i="8" s="1"/>
  <c r="E42" i="8" a="1"/>
  <c r="E42" i="8" s="1"/>
  <c r="F42" i="8" a="1"/>
  <c r="F42" i="8"/>
  <c r="G42" i="8" a="1"/>
  <c r="G42" i="8" s="1"/>
  <c r="H42" i="8" a="1"/>
  <c r="H42" i="8" s="1"/>
  <c r="I42" i="8" a="1"/>
  <c r="I42" i="8" s="1"/>
  <c r="J42" i="8" a="1"/>
  <c r="J42" i="8"/>
  <c r="A43" i="8" a="1"/>
  <c r="A43" i="8" s="1"/>
  <c r="B43" i="8" a="1"/>
  <c r="B43" i="8" s="1"/>
  <c r="C43" i="8" a="1"/>
  <c r="C43" i="8" s="1"/>
  <c r="D43" i="8" a="1"/>
  <c r="D43" i="8"/>
  <c r="E43" i="8" a="1"/>
  <c r="E43" i="8" s="1"/>
  <c r="F43" i="8" a="1"/>
  <c r="F43" i="8" s="1"/>
  <c r="G43" i="8" a="1"/>
  <c r="G43" i="8" s="1"/>
  <c r="H43" i="8" a="1"/>
  <c r="H43" i="8"/>
  <c r="I43" i="8" a="1"/>
  <c r="I43" i="8" s="1"/>
  <c r="J43" i="8" a="1"/>
  <c r="J43" i="8" s="1"/>
  <c r="A44" i="8" a="1"/>
  <c r="A44" i="8" s="1"/>
  <c r="B44" i="8" a="1"/>
  <c r="B44" i="8"/>
  <c r="C44" i="8" a="1"/>
  <c r="C44" i="8" s="1"/>
  <c r="D44" i="8" a="1"/>
  <c r="D44" i="8" s="1"/>
  <c r="E44" i="8" a="1"/>
  <c r="E44" i="8" s="1"/>
  <c r="F44" i="8" a="1"/>
  <c r="F44" i="8"/>
  <c r="G44" i="8" a="1"/>
  <c r="G44" i="8" s="1"/>
  <c r="H44" i="8" a="1"/>
  <c r="H44" i="8" s="1"/>
  <c r="I44" i="8" a="1"/>
  <c r="I44" i="8" s="1"/>
  <c r="J44" i="8" a="1"/>
  <c r="J44" i="8"/>
  <c r="A30" i="8" a="1"/>
  <c r="A30" i="8" s="1"/>
  <c r="B30" i="8" a="1"/>
  <c r="B30" i="8" s="1"/>
  <c r="C30" i="8" a="1"/>
  <c r="C30" i="8" s="1"/>
  <c r="D30" i="8" a="1"/>
  <c r="D30" i="8"/>
  <c r="E30" i="8" a="1"/>
  <c r="E30" i="8" s="1"/>
  <c r="F30" i="8" a="1"/>
  <c r="F30" i="8" s="1"/>
  <c r="G30" i="8" a="1"/>
  <c r="G30" i="8" s="1"/>
  <c r="H30" i="8" a="1"/>
  <c r="H30" i="8"/>
  <c r="I30" i="8" a="1"/>
  <c r="I30" i="8" s="1"/>
  <c r="J30" i="8" a="1"/>
  <c r="J30" i="8" s="1"/>
  <c r="B29" i="8" a="1"/>
  <c r="B29" i="8" s="1"/>
  <c r="C29" i="8" a="1"/>
  <c r="C29" i="8" s="1"/>
  <c r="D29" i="8" a="1"/>
  <c r="D29" i="8" s="1"/>
  <c r="E29" i="8" a="1"/>
  <c r="E29" i="8"/>
  <c r="F29" i="8" a="1"/>
  <c r="F29" i="8" s="1"/>
  <c r="G29" i="8" a="1"/>
  <c r="G29" i="8" s="1"/>
  <c r="H29" i="8" a="1"/>
  <c r="H29" i="8" s="1"/>
  <c r="I29" i="8" a="1"/>
  <c r="I29" i="8"/>
  <c r="J29" i="8" a="1"/>
  <c r="J29" i="8" s="1"/>
  <c r="A29" i="8" a="1"/>
  <c r="A29" i="8" s="1"/>
  <c r="J44" i="7" a="1"/>
  <c r="J44" i="7" s="1"/>
  <c r="I44" i="7" a="1"/>
  <c r="I44" i="7" s="1"/>
  <c r="H44" i="7" a="1"/>
  <c r="H44" i="7" s="1"/>
  <c r="G44" i="7" a="1"/>
  <c r="G44" i="7" s="1"/>
  <c r="F44" i="7" a="1"/>
  <c r="F44" i="7" s="1"/>
  <c r="E44" i="7" a="1"/>
  <c r="E44" i="7" s="1"/>
  <c r="D44" i="7" a="1"/>
  <c r="D44" i="7" s="1"/>
  <c r="C44" i="7" a="1"/>
  <c r="C44" i="7" s="1"/>
  <c r="B44" i="7" a="1"/>
  <c r="B44" i="7" s="1"/>
  <c r="A44" i="7" a="1"/>
  <c r="A44" i="7" s="1"/>
  <c r="J43" i="7" a="1"/>
  <c r="J43" i="7" s="1"/>
  <c r="I43" i="7" a="1"/>
  <c r="I43" i="7" s="1"/>
  <c r="H43" i="7" a="1"/>
  <c r="H43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B43" i="7" a="1"/>
  <c r="B43" i="7" s="1"/>
  <c r="A43" i="7" a="1"/>
  <c r="A43" i="7" s="1"/>
  <c r="J42" i="7" a="1"/>
  <c r="J42" i="7" s="1"/>
  <c r="I42" i="7" a="1"/>
  <c r="I42" i="7" s="1"/>
  <c r="H42" i="7" a="1"/>
  <c r="H42" i="7" s="1"/>
  <c r="G42" i="7" a="1"/>
  <c r="G42" i="7" s="1"/>
  <c r="F42" i="7" a="1"/>
  <c r="F42" i="7" s="1"/>
  <c r="E42" i="7" a="1"/>
  <c r="E42" i="7" s="1"/>
  <c r="D42" i="7" a="1"/>
  <c r="D42" i="7" s="1"/>
  <c r="C42" i="7" a="1"/>
  <c r="C42" i="7" s="1"/>
  <c r="B42" i="7" a="1"/>
  <c r="B42" i="7" s="1"/>
  <c r="A42" i="7" a="1"/>
  <c r="A42" i="7" s="1"/>
  <c r="J41" i="7" a="1"/>
  <c r="J41" i="7" s="1"/>
  <c r="I41" i="7" a="1"/>
  <c r="I41" i="7" s="1"/>
  <c r="H41" i="7" a="1"/>
  <c r="H41" i="7" s="1"/>
  <c r="G41" i="7" a="1"/>
  <c r="G41" i="7" s="1"/>
  <c r="F41" i="7" a="1"/>
  <c r="F41" i="7" s="1"/>
  <c r="E41" i="7" a="1"/>
  <c r="E41" i="7" s="1"/>
  <c r="D41" i="7" a="1"/>
  <c r="D41" i="7" s="1"/>
  <c r="C41" i="7" a="1"/>
  <c r="C41" i="7" s="1"/>
  <c r="B41" i="7" a="1"/>
  <c r="B41" i="7" s="1"/>
  <c r="A41" i="7" a="1"/>
  <c r="A41" i="7" s="1"/>
  <c r="J40" i="7" a="1"/>
  <c r="J40" i="7" s="1"/>
  <c r="I40" i="7" a="1"/>
  <c r="I40" i="7" s="1"/>
  <c r="H40" i="7" a="1"/>
  <c r="H40" i="7" s="1"/>
  <c r="G40" i="7" a="1"/>
  <c r="G40" i="7" s="1"/>
  <c r="F40" i="7" a="1"/>
  <c r="F40" i="7" s="1"/>
  <c r="E40" i="7" a="1"/>
  <c r="E40" i="7" s="1"/>
  <c r="D40" i="7" a="1"/>
  <c r="D40" i="7" s="1"/>
  <c r="C40" i="7" a="1"/>
  <c r="C40" i="7" s="1"/>
  <c r="B40" i="7" a="1"/>
  <c r="B40" i="7" s="1"/>
  <c r="A40" i="7" a="1"/>
  <c r="A40" i="7" s="1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 s="1"/>
  <c r="D39" i="7" a="1"/>
  <c r="D39" i="7" s="1"/>
  <c r="C39" i="7" a="1"/>
  <c r="C39" i="7" s="1"/>
  <c r="B39" i="7" a="1"/>
  <c r="B39" i="7" s="1"/>
  <c r="A39" i="7" a="1"/>
  <c r="A39" i="7" s="1"/>
  <c r="J38" i="7" a="1"/>
  <c r="J38" i="7" s="1"/>
  <c r="I38" i="7" a="1"/>
  <c r="I38" i="7" s="1"/>
  <c r="H38" i="7" a="1"/>
  <c r="H38" i="7" s="1"/>
  <c r="G38" i="7" a="1"/>
  <c r="G38" i="7" s="1"/>
  <c r="F38" i="7" a="1"/>
  <c r="F38" i="7" s="1"/>
  <c r="E38" i="7" a="1"/>
  <c r="E38" i="7" s="1"/>
  <c r="D38" i="7" a="1"/>
  <c r="D38" i="7" s="1"/>
  <c r="C38" i="7" a="1"/>
  <c r="C38" i="7" s="1"/>
  <c r="B38" i="7" a="1"/>
  <c r="B38" i="7" s="1"/>
  <c r="A38" i="7" a="1"/>
  <c r="A38" i="7" s="1"/>
  <c r="J37" i="7" a="1"/>
  <c r="J37" i="7" s="1"/>
  <c r="I37" i="7" a="1"/>
  <c r="I37" i="7" s="1"/>
  <c r="H37" i="7" a="1"/>
  <c r="H37" i="7" s="1"/>
  <c r="G37" i="7" a="1"/>
  <c r="G37" i="7" s="1"/>
  <c r="F37" i="7" a="1"/>
  <c r="F37" i="7" s="1"/>
  <c r="E37" i="7" a="1"/>
  <c r="E37" i="7" s="1"/>
  <c r="D37" i="7" a="1"/>
  <c r="D37" i="7" s="1"/>
  <c r="C37" i="7" a="1"/>
  <c r="C37" i="7" s="1"/>
  <c r="B37" i="7" a="1"/>
  <c r="B37" i="7" s="1"/>
  <c r="A37" i="7" a="1"/>
  <c r="A37" i="7" s="1"/>
  <c r="J36" i="7" a="1"/>
  <c r="J36" i="7" s="1"/>
  <c r="I36" i="7" a="1"/>
  <c r="I36" i="7" s="1"/>
  <c r="H36" i="7" a="1"/>
  <c r="H36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B36" i="7" a="1"/>
  <c r="B36" i="7" s="1"/>
  <c r="A36" i="7" a="1"/>
  <c r="A36" i="7" s="1"/>
  <c r="J35" i="7" a="1"/>
  <c r="J35" i="7" s="1"/>
  <c r="I35" i="7" a="1"/>
  <c r="I35" i="7" s="1"/>
  <c r="H35" i="7" a="1"/>
  <c r="H35" i="7" s="1"/>
  <c r="G35" i="7" a="1"/>
  <c r="G35" i="7" s="1"/>
  <c r="F35" i="7" a="1"/>
  <c r="F35" i="7" s="1"/>
  <c r="E35" i="7" a="1"/>
  <c r="E35" i="7" s="1"/>
  <c r="D35" i="7" a="1"/>
  <c r="D35" i="7" s="1"/>
  <c r="C35" i="7" a="1"/>
  <c r="C35" i="7" s="1"/>
  <c r="B35" i="7" a="1"/>
  <c r="B35" i="7" s="1"/>
  <c r="A35" i="7" a="1"/>
  <c r="A35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C34" i="7" a="1"/>
  <c r="C34" i="7" s="1"/>
  <c r="B34" i="7" a="1"/>
  <c r="B34" i="7" s="1"/>
  <c r="A34" i="7" a="1"/>
  <c r="A34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B33" i="7" a="1"/>
  <c r="B33" i="7" s="1"/>
  <c r="A33" i="7" a="1"/>
  <c r="A33" i="7" s="1"/>
  <c r="J32" i="7" a="1"/>
  <c r="J32" i="7" s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D32" i="7" a="1"/>
  <c r="D32" i="7" s="1"/>
  <c r="C32" i="7" a="1"/>
  <c r="C32" i="7" s="1"/>
  <c r="B32" i="7" a="1"/>
  <c r="B32" i="7" s="1"/>
  <c r="A32" i="7" a="1"/>
  <c r="A32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D31" i="7" a="1"/>
  <c r="D31" i="7" s="1"/>
  <c r="C31" i="7" a="1"/>
  <c r="C31" i="7" s="1"/>
  <c r="B31" i="7" a="1"/>
  <c r="B31" i="7" s="1"/>
  <c r="A31" i="7" a="1"/>
  <c r="A31" i="7" s="1"/>
  <c r="J30" i="7" a="1"/>
  <c r="J30" i="7" s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D30" i="7" a="1"/>
  <c r="D30" i="7" s="1"/>
  <c r="C30" i="7" a="1"/>
  <c r="C30" i="7" s="1"/>
  <c r="B30" i="7" a="1"/>
  <c r="B30" i="7" s="1"/>
  <c r="A30" i="7" a="1"/>
  <c r="A30" i="7" s="1"/>
  <c r="B29" i="7" a="1"/>
  <c r="B29" i="7"/>
  <c r="C29" i="7" a="1"/>
  <c r="C29" i="7" s="1"/>
  <c r="D29" i="7" a="1"/>
  <c r="D29" i="7" s="1"/>
  <c r="E29" i="7" a="1"/>
  <c r="E29" i="7"/>
  <c r="F29" i="7" a="1"/>
  <c r="F29" i="7" s="1"/>
  <c r="G29" i="7" a="1"/>
  <c r="G29" i="7" s="1"/>
  <c r="H29" i="7" a="1"/>
  <c r="H29" i="7" s="1"/>
  <c r="I29" i="7" a="1"/>
  <c r="I29" i="7"/>
  <c r="J29" i="7" a="1"/>
  <c r="J29" i="7" s="1"/>
  <c r="A29" i="7" a="1"/>
  <c r="A29" i="7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E44" i="4" a="1"/>
  <c r="E44" i="4" s="1"/>
  <c r="D44" i="4" a="1"/>
  <c r="D44" i="4" s="1"/>
  <c r="C44" i="4" a="1"/>
  <c r="C44" i="4" s="1"/>
  <c r="B44" i="4" a="1"/>
  <c r="B44" i="4" s="1"/>
  <c r="A44" i="4" a="1"/>
  <c r="A44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E43" i="4" a="1"/>
  <c r="E43" i="4" s="1"/>
  <c r="D43" i="4" a="1"/>
  <c r="D43" i="4" s="1"/>
  <c r="C43" i="4" a="1"/>
  <c r="C43" i="4" s="1"/>
  <c r="B43" i="4" a="1"/>
  <c r="B43" i="4" s="1"/>
  <c r="A43" i="4" a="1"/>
  <c r="A43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E42" i="4" a="1"/>
  <c r="E42" i="4" s="1"/>
  <c r="D42" i="4" a="1"/>
  <c r="D42" i="4" s="1"/>
  <c r="C42" i="4" a="1"/>
  <c r="C42" i="4" s="1"/>
  <c r="B42" i="4" a="1"/>
  <c r="B42" i="4" s="1"/>
  <c r="A42" i="4" a="1"/>
  <c r="A42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C41" i="4" a="1"/>
  <c r="C41" i="4" s="1"/>
  <c r="B41" i="4" a="1"/>
  <c r="B41" i="4" s="1"/>
  <c r="A41" i="4" a="1"/>
  <c r="A41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C40" i="4" a="1"/>
  <c r="C40" i="4" s="1"/>
  <c r="B40" i="4" a="1"/>
  <c r="B40" i="4" s="1"/>
  <c r="A40" i="4" a="1"/>
  <c r="A40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C39" i="4" a="1"/>
  <c r="C39" i="4" s="1"/>
  <c r="B39" i="4" a="1"/>
  <c r="B39" i="4" s="1"/>
  <c r="A39" i="4" a="1"/>
  <c r="A39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E38" i="4" a="1"/>
  <c r="E38" i="4" s="1"/>
  <c r="D38" i="4" a="1"/>
  <c r="D38" i="4" s="1"/>
  <c r="C38" i="4" a="1"/>
  <c r="C38" i="4" s="1"/>
  <c r="B38" i="4" a="1"/>
  <c r="B38" i="4" s="1"/>
  <c r="A38" i="4" a="1"/>
  <c r="A38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B37" i="4" a="1"/>
  <c r="B37" i="4" s="1"/>
  <c r="A37" i="4" a="1"/>
  <c r="A37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E36" i="4" a="1"/>
  <c r="E36" i="4" s="1"/>
  <c r="D36" i="4" a="1"/>
  <c r="D36" i="4" s="1"/>
  <c r="C36" i="4" a="1"/>
  <c r="C36" i="4" s="1"/>
  <c r="B36" i="4" a="1"/>
  <c r="B36" i="4" s="1"/>
  <c r="A36" i="4" a="1"/>
  <c r="A36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B35" i="4" a="1"/>
  <c r="B35" i="4" s="1"/>
  <c r="A35" i="4" a="1"/>
  <c r="A35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B34" i="4" a="1"/>
  <c r="B34" i="4" s="1"/>
  <c r="A34" i="4" a="1"/>
  <c r="A34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B33" i="4" a="1"/>
  <c r="B33" i="4" s="1"/>
  <c r="A33" i="4" a="1"/>
  <c r="A33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B32" i="4" a="1"/>
  <c r="B32" i="4" s="1"/>
  <c r="A32" i="4" a="1"/>
  <c r="A32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B31" i="4" a="1"/>
  <c r="B31" i="4" s="1"/>
  <c r="A31" i="4" a="1"/>
  <c r="A31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B30" i="4" a="1"/>
  <c r="B30" i="4" s="1"/>
  <c r="A30" i="4" a="1"/>
  <c r="A30" i="4" s="1"/>
  <c r="B29" i="4" a="1"/>
  <c r="B29" i="4" s="1"/>
  <c r="C29" i="4" a="1"/>
  <c r="C29" i="4" s="1"/>
  <c r="D29" i="4" a="1"/>
  <c r="D29" i="4" s="1"/>
  <c r="E29" i="4" a="1"/>
  <c r="E29" i="4"/>
  <c r="F29" i="4" a="1"/>
  <c r="F29" i="4" s="1"/>
  <c r="G29" i="4" a="1"/>
  <c r="G29" i="4" s="1"/>
  <c r="H29" i="4" a="1"/>
  <c r="H29" i="4" s="1"/>
  <c r="I29" i="4" a="1"/>
  <c r="I29" i="4"/>
  <c r="J29" i="4" a="1"/>
  <c r="J29" i="4" s="1"/>
  <c r="A29" i="4" a="1"/>
  <c r="A29" i="4" s="1"/>
  <c r="J44" i="1" a="1"/>
  <c r="J44" i="1" s="1"/>
  <c r="I44" i="1"/>
  <c r="I44" i="1" a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B44" i="1" a="1"/>
  <c r="B44" i="1" s="1"/>
  <c r="A44" i="1" a="1"/>
  <c r="A44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A43" i="1" a="1"/>
  <c r="A43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A42" i="1" a="1"/>
  <c r="A42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B41" i="1" a="1"/>
  <c r="B41" i="1" s="1"/>
  <c r="A41" i="1" a="1"/>
  <c r="A41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B40" i="1" a="1"/>
  <c r="B40" i="1" s="1"/>
  <c r="A40" i="1" a="1"/>
  <c r="A40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B39" i="1" a="1"/>
  <c r="B39" i="1" s="1"/>
  <c r="A39" i="1" a="1"/>
  <c r="A39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A38" i="1" a="1"/>
  <c r="A38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A37" i="1" a="1"/>
  <c r="A37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A36" i="1" a="1"/>
  <c r="A36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A35" i="1" a="1"/>
  <c r="A35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A34" i="1" a="1"/>
  <c r="A34" i="1" s="1"/>
  <c r="A38" i="6" a="1"/>
  <c r="A38" i="6" s="1"/>
  <c r="B38" i="6" a="1"/>
  <c r="B38" i="6" s="1"/>
  <c r="C38" i="6" a="1"/>
  <c r="C38" i="6"/>
  <c r="D38" i="6" a="1"/>
  <c r="D38" i="6"/>
  <c r="E38" i="6" a="1"/>
  <c r="E38" i="6" s="1"/>
  <c r="F38" i="6" a="1"/>
  <c r="F38" i="6" s="1"/>
  <c r="G38" i="6" a="1"/>
  <c r="G38" i="6"/>
  <c r="H38" i="6" a="1"/>
  <c r="H38" i="6"/>
  <c r="I38" i="6" a="1"/>
  <c r="I38" i="6" s="1"/>
  <c r="J38" i="6" a="1"/>
  <c r="J38" i="6" s="1"/>
  <c r="A39" i="6" a="1"/>
  <c r="A39" i="6"/>
  <c r="B39" i="6" a="1"/>
  <c r="B39" i="6"/>
  <c r="C39" i="6" a="1"/>
  <c r="C39" i="6" s="1"/>
  <c r="D39" i="6" a="1"/>
  <c r="D39" i="6" s="1"/>
  <c r="E39" i="6" a="1"/>
  <c r="E39" i="6"/>
  <c r="F39" i="6" a="1"/>
  <c r="F39" i="6"/>
  <c r="G39" i="6" a="1"/>
  <c r="G39" i="6" s="1"/>
  <c r="H39" i="6" a="1"/>
  <c r="H39" i="6" s="1"/>
  <c r="I39" i="6" a="1"/>
  <c r="I39" i="6"/>
  <c r="J39" i="6" a="1"/>
  <c r="J39" i="6"/>
  <c r="A40" i="6" a="1"/>
  <c r="A40" i="6" s="1"/>
  <c r="B40" i="6" a="1"/>
  <c r="B40" i="6" s="1"/>
  <c r="C40" i="6" a="1"/>
  <c r="C40" i="6"/>
  <c r="D40" i="6" a="1"/>
  <c r="D40" i="6"/>
  <c r="E40" i="6" a="1"/>
  <c r="E40" i="6" s="1"/>
  <c r="F40" i="6" a="1"/>
  <c r="F40" i="6" s="1"/>
  <c r="G40" i="6" a="1"/>
  <c r="G40" i="6"/>
  <c r="H40" i="6" a="1"/>
  <c r="H40" i="6"/>
  <c r="I40" i="6" a="1"/>
  <c r="I40" i="6" s="1"/>
  <c r="J40" i="6" a="1"/>
  <c r="J40" i="6" s="1"/>
  <c r="A41" i="6" a="1"/>
  <c r="A41" i="6"/>
  <c r="B41" i="6" a="1"/>
  <c r="B41" i="6"/>
  <c r="C41" i="6" a="1"/>
  <c r="C41" i="6" s="1"/>
  <c r="D41" i="6" a="1"/>
  <c r="D41" i="6" s="1"/>
  <c r="E41" i="6" a="1"/>
  <c r="E41" i="6"/>
  <c r="F41" i="6" a="1"/>
  <c r="F41" i="6"/>
  <c r="G41" i="6" a="1"/>
  <c r="G41" i="6" s="1"/>
  <c r="H41" i="6" a="1"/>
  <c r="H41" i="6" s="1"/>
  <c r="I41" i="6" a="1"/>
  <c r="I41" i="6"/>
  <c r="J41" i="6" a="1"/>
  <c r="J41" i="6"/>
  <c r="A42" i="6" a="1"/>
  <c r="A42" i="6" s="1"/>
  <c r="B42" i="6" a="1"/>
  <c r="B42" i="6" s="1"/>
  <c r="C42" i="6" a="1"/>
  <c r="C42" i="6"/>
  <c r="D42" i="6" a="1"/>
  <c r="D42" i="6"/>
  <c r="E42" i="6" a="1"/>
  <c r="E42" i="6" s="1"/>
  <c r="F42" i="6" a="1"/>
  <c r="F42" i="6" s="1"/>
  <c r="G42" i="6" a="1"/>
  <c r="G42" i="6"/>
  <c r="H42" i="6" a="1"/>
  <c r="H42" i="6"/>
  <c r="I42" i="6" a="1"/>
  <c r="I42" i="6" s="1"/>
  <c r="J42" i="6" a="1"/>
  <c r="J42" i="6" s="1"/>
  <c r="A43" i="6" a="1"/>
  <c r="A43" i="6"/>
  <c r="B43" i="6" a="1"/>
  <c r="B43" i="6"/>
  <c r="C43" i="6" a="1"/>
  <c r="C43" i="6" s="1"/>
  <c r="D43" i="6" a="1"/>
  <c r="D43" i="6" s="1"/>
  <c r="E43" i="6" a="1"/>
  <c r="E43" i="6"/>
  <c r="F43" i="6" a="1"/>
  <c r="F43" i="6"/>
  <c r="G43" i="6" a="1"/>
  <c r="G43" i="6" s="1"/>
  <c r="H43" i="6" a="1"/>
  <c r="H43" i="6" s="1"/>
  <c r="I43" i="6" a="1"/>
  <c r="I43" i="6"/>
  <c r="J43" i="6" a="1"/>
  <c r="J43" i="6"/>
  <c r="A44" i="6" a="1"/>
  <c r="A44" i="6" s="1"/>
  <c r="B44" i="6" a="1"/>
  <c r="B44" i="6" s="1"/>
  <c r="C44" i="6" a="1"/>
  <c r="C44" i="6"/>
  <c r="D44" i="6" a="1"/>
  <c r="D44" i="6"/>
  <c r="E44" i="6" a="1"/>
  <c r="E44" i="6" s="1"/>
  <c r="F44" i="6" a="1"/>
  <c r="F44" i="6" s="1"/>
  <c r="G44" i="6" a="1"/>
  <c r="G44" i="6"/>
  <c r="H44" i="6" a="1"/>
  <c r="H44" i="6"/>
  <c r="I44" i="6" a="1"/>
  <c r="I44" i="6" s="1"/>
  <c r="J44" i="6" a="1"/>
  <c r="J44" i="6" s="1"/>
  <c r="J44" i="5" a="1"/>
  <c r="J44" i="5" s="1"/>
  <c r="I44" i="5" a="1"/>
  <c r="I44" i="5" s="1"/>
  <c r="H44" i="5" a="1"/>
  <c r="H44" i="5" s="1"/>
  <c r="G44" i="5" a="1"/>
  <c r="G44" i="5" s="1"/>
  <c r="F44" i="5" a="1"/>
  <c r="F44" i="5" s="1"/>
  <c r="E44" i="5" a="1"/>
  <c r="E44" i="5" s="1"/>
  <c r="D44" i="5" a="1"/>
  <c r="D44" i="5" s="1"/>
  <c r="C44" i="5" a="1"/>
  <c r="C44" i="5" s="1"/>
  <c r="B44" i="5" a="1"/>
  <c r="B44" i="5" s="1"/>
  <c r="A44" i="5" a="1"/>
  <c r="A44" i="5" s="1"/>
  <c r="J43" i="5" a="1"/>
  <c r="J43" i="5" s="1"/>
  <c r="I43" i="5" a="1"/>
  <c r="I43" i="5" s="1"/>
  <c r="H43" i="5" a="1"/>
  <c r="H43" i="5" s="1"/>
  <c r="G43" i="5" a="1"/>
  <c r="G43" i="5" s="1"/>
  <c r="F43" i="5" a="1"/>
  <c r="F43" i="5" s="1"/>
  <c r="E43" i="5" a="1"/>
  <c r="E43" i="5" s="1"/>
  <c r="D43" i="5" a="1"/>
  <c r="D43" i="5" s="1"/>
  <c r="C43" i="5" a="1"/>
  <c r="C43" i="5" s="1"/>
  <c r="B43" i="5" a="1"/>
  <c r="B43" i="5" s="1"/>
  <c r="A43" i="5" a="1"/>
  <c r="A43" i="5" s="1"/>
  <c r="J42" i="5" a="1"/>
  <c r="J42" i="5" s="1"/>
  <c r="I42" i="5" a="1"/>
  <c r="I42" i="5" s="1"/>
  <c r="H42" i="5" a="1"/>
  <c r="H42" i="5" s="1"/>
  <c r="G42" i="5" a="1"/>
  <c r="G42" i="5" s="1"/>
  <c r="F42" i="5" a="1"/>
  <c r="F42" i="5" s="1"/>
  <c r="E42" i="5" a="1"/>
  <c r="E42" i="5" s="1"/>
  <c r="D42" i="5" a="1"/>
  <c r="D42" i="5" s="1"/>
  <c r="C42" i="5" a="1"/>
  <c r="C42" i="5" s="1"/>
  <c r="B42" i="5" a="1"/>
  <c r="B42" i="5" s="1"/>
  <c r="A42" i="5" a="1"/>
  <c r="A42" i="5" s="1"/>
  <c r="J41" i="5" a="1"/>
  <c r="J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 a="1"/>
  <c r="D41" i="5" s="1"/>
  <c r="C41" i="5" a="1"/>
  <c r="C41" i="5" s="1"/>
  <c r="B41" i="5" a="1"/>
  <c r="B41" i="5" s="1"/>
  <c r="A41" i="5" a="1"/>
  <c r="A41" i="5" s="1"/>
  <c r="J40" i="5" a="1"/>
  <c r="J40" i="5" s="1"/>
  <c r="I40" i="5" a="1"/>
  <c r="I40" i="5" s="1"/>
  <c r="H40" i="5" a="1"/>
  <c r="H40" i="5" s="1"/>
  <c r="G40" i="5" a="1"/>
  <c r="G40" i="5" s="1"/>
  <c r="F40" i="5" a="1"/>
  <c r="F40" i="5" s="1"/>
  <c r="E40" i="5" a="1"/>
  <c r="E40" i="5" s="1"/>
  <c r="D40" i="5" a="1"/>
  <c r="D40" i="5" s="1"/>
  <c r="C40" i="5" a="1"/>
  <c r="C40" i="5" s="1"/>
  <c r="B40" i="5" a="1"/>
  <c r="B40" i="5" s="1"/>
  <c r="A40" i="5" a="1"/>
  <c r="A40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E39" i="5" a="1"/>
  <c r="E39" i="5" s="1"/>
  <c r="D39" i="5" a="1"/>
  <c r="D39" i="5" s="1"/>
  <c r="C39" i="5" a="1"/>
  <c r="C39" i="5" s="1"/>
  <c r="B39" i="5" a="1"/>
  <c r="B39" i="5" s="1"/>
  <c r="A39" i="5" a="1"/>
  <c r="A39" i="5" s="1"/>
  <c r="J38" i="5" a="1"/>
  <c r="J38" i="5" s="1"/>
  <c r="I38" i="5" a="1"/>
  <c r="I38" i="5" s="1"/>
  <c r="H38" i="5" a="1"/>
  <c r="H38" i="5" s="1"/>
  <c r="G38" i="5" a="1"/>
  <c r="G38" i="5" s="1"/>
  <c r="F38" i="5" a="1"/>
  <c r="F38" i="5" s="1"/>
  <c r="E38" i="5" a="1"/>
  <c r="E38" i="5" s="1"/>
  <c r="D38" i="5" a="1"/>
  <c r="D38" i="5" s="1"/>
  <c r="C38" i="5" a="1"/>
  <c r="C38" i="5" s="1"/>
  <c r="B38" i="5" a="1"/>
  <c r="B38" i="5" s="1"/>
  <c r="A38" i="5" a="1"/>
  <c r="A38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 a="1"/>
  <c r="D37" i="5" s="1"/>
  <c r="C37" i="5" a="1"/>
  <c r="C37" i="5" s="1"/>
  <c r="B37" i="5" a="1"/>
  <c r="B37" i="5" s="1"/>
  <c r="A37" i="5" a="1"/>
  <c r="A37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 a="1"/>
  <c r="A36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 a="1"/>
  <c r="A35" i="5" s="1"/>
  <c r="J34" i="5" a="1"/>
  <c r="J34" i="5" s="1"/>
  <c r="I34" i="5" a="1"/>
  <c r="I34" i="5" s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C34" i="5" a="1"/>
  <c r="C34" i="5" s="1"/>
  <c r="B34" i="5" a="1"/>
  <c r="B34" i="5" s="1"/>
  <c r="A34" i="5" a="1"/>
  <c r="A34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B33" i="5" a="1"/>
  <c r="B33" i="5" s="1"/>
  <c r="A33" i="5" a="1"/>
  <c r="A33" i="5" s="1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B32" i="5" a="1"/>
  <c r="B32" i="5" s="1"/>
  <c r="A32" i="5" a="1"/>
  <c r="A32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 a="1"/>
  <c r="A31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 a="1"/>
  <c r="A30" i="5" s="1"/>
  <c r="B29" i="5" a="1"/>
  <c r="B29" i="5" s="1"/>
  <c r="C29" i="5" a="1"/>
  <c r="C29" i="5" s="1"/>
  <c r="D29" i="5" a="1"/>
  <c r="D29" i="5" s="1"/>
  <c r="E29" i="5" a="1"/>
  <c r="E29" i="5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A29" i="5" a="1"/>
  <c r="A29" i="5" s="1"/>
  <c r="A31" i="6" a="1"/>
  <c r="A31" i="6" s="1"/>
  <c r="B31" i="6" a="1"/>
  <c r="B31" i="6" s="1"/>
  <c r="C31" i="6" a="1"/>
  <c r="C31" i="6" s="1"/>
  <c r="D31" i="6" a="1"/>
  <c r="D31" i="6"/>
  <c r="E31" i="6" a="1"/>
  <c r="E31" i="6" s="1"/>
  <c r="F31" i="6" a="1"/>
  <c r="F31" i="6" s="1"/>
  <c r="G31" i="6" a="1"/>
  <c r="G31" i="6" s="1"/>
  <c r="H31" i="6" a="1"/>
  <c r="H31" i="6"/>
  <c r="I31" i="6" a="1"/>
  <c r="I31" i="6" s="1"/>
  <c r="J31" i="6" a="1"/>
  <c r="J31" i="6" s="1"/>
  <c r="A32" i="6" a="1"/>
  <c r="A32" i="6" s="1"/>
  <c r="B32" i="6" a="1"/>
  <c r="B32" i="6"/>
  <c r="C32" i="6" a="1"/>
  <c r="C32" i="6" s="1"/>
  <c r="D32" i="6" a="1"/>
  <c r="D32" i="6" s="1"/>
  <c r="E32" i="6" a="1"/>
  <c r="E32" i="6" s="1"/>
  <c r="F32" i="6" a="1"/>
  <c r="F32" i="6"/>
  <c r="G32" i="6" a="1"/>
  <c r="G32" i="6" s="1"/>
  <c r="H32" i="6" a="1"/>
  <c r="H32" i="6" s="1"/>
  <c r="I32" i="6" a="1"/>
  <c r="I32" i="6" s="1"/>
  <c r="J32" i="6" a="1"/>
  <c r="J32" i="6"/>
  <c r="A33" i="6" a="1"/>
  <c r="A33" i="6" s="1"/>
  <c r="B33" i="6" a="1"/>
  <c r="B33" i="6" s="1"/>
  <c r="C33" i="6" a="1"/>
  <c r="C33" i="6" s="1"/>
  <c r="D33" i="6" a="1"/>
  <c r="D33" i="6"/>
  <c r="E33" i="6" a="1"/>
  <c r="E33" i="6" s="1"/>
  <c r="F33" i="6" a="1"/>
  <c r="F33" i="6" s="1"/>
  <c r="G33" i="6" a="1"/>
  <c r="G33" i="6" s="1"/>
  <c r="H33" i="6" a="1"/>
  <c r="H33" i="6"/>
  <c r="I33" i="6" a="1"/>
  <c r="I33" i="6" s="1"/>
  <c r="J33" i="6" a="1"/>
  <c r="J33" i="6" s="1"/>
  <c r="A34" i="6" a="1"/>
  <c r="A34" i="6" s="1"/>
  <c r="B34" i="6" a="1"/>
  <c r="B34" i="6"/>
  <c r="C34" i="6" a="1"/>
  <c r="C34" i="6" s="1"/>
  <c r="D34" i="6" a="1"/>
  <c r="D34" i="6" s="1"/>
  <c r="E34" i="6" a="1"/>
  <c r="E34" i="6" s="1"/>
  <c r="F34" i="6" a="1"/>
  <c r="F34" i="6"/>
  <c r="G34" i="6" a="1"/>
  <c r="G34" i="6" s="1"/>
  <c r="H34" i="6" a="1"/>
  <c r="H34" i="6" s="1"/>
  <c r="I34" i="6" a="1"/>
  <c r="I34" i="6" s="1"/>
  <c r="J34" i="6" a="1"/>
  <c r="J34" i="6"/>
  <c r="A35" i="6" a="1"/>
  <c r="A35" i="6" s="1"/>
  <c r="B35" i="6" a="1"/>
  <c r="B35" i="6" s="1"/>
  <c r="C35" i="6" a="1"/>
  <c r="C35" i="6" s="1"/>
  <c r="D35" i="6" a="1"/>
  <c r="D35" i="6"/>
  <c r="E35" i="6" a="1"/>
  <c r="E35" i="6" s="1"/>
  <c r="F35" i="6" a="1"/>
  <c r="F35" i="6" s="1"/>
  <c r="G35" i="6" a="1"/>
  <c r="G35" i="6" s="1"/>
  <c r="H35" i="6" a="1"/>
  <c r="H35" i="6"/>
  <c r="I35" i="6" a="1"/>
  <c r="I35" i="6" s="1"/>
  <c r="J35" i="6" a="1"/>
  <c r="J35" i="6" s="1"/>
  <c r="A36" i="6" a="1"/>
  <c r="A36" i="6" s="1"/>
  <c r="B36" i="6" a="1"/>
  <c r="B36" i="6"/>
  <c r="C36" i="6" a="1"/>
  <c r="C36" i="6" s="1"/>
  <c r="D36" i="6" a="1"/>
  <c r="D36" i="6" s="1"/>
  <c r="E36" i="6" a="1"/>
  <c r="E36" i="6" s="1"/>
  <c r="F36" i="6" a="1"/>
  <c r="F36" i="6"/>
  <c r="G36" i="6" a="1"/>
  <c r="G36" i="6" s="1"/>
  <c r="H36" i="6" a="1"/>
  <c r="H36" i="6" s="1"/>
  <c r="I36" i="6" a="1"/>
  <c r="I36" i="6" s="1"/>
  <c r="J36" i="6" a="1"/>
  <c r="J36" i="6"/>
  <c r="A37" i="6" a="1"/>
  <c r="A37" i="6" s="1"/>
  <c r="B37" i="6" a="1"/>
  <c r="B37" i="6" s="1"/>
  <c r="C37" i="6" a="1"/>
  <c r="C37" i="6" s="1"/>
  <c r="D37" i="6" a="1"/>
  <c r="D37" i="6"/>
  <c r="E37" i="6" a="1"/>
  <c r="E37" i="6" s="1"/>
  <c r="F37" i="6" a="1"/>
  <c r="F37" i="6" s="1"/>
  <c r="G37" i="6" a="1"/>
  <c r="G37" i="6" s="1"/>
  <c r="H37" i="6" a="1"/>
  <c r="H37" i="6"/>
  <c r="I37" i="6" a="1"/>
  <c r="I37" i="6" s="1"/>
  <c r="J37" i="6" a="1"/>
  <c r="J37" i="6" s="1"/>
  <c r="A30" i="6" a="1"/>
  <c r="A30" i="6" s="1"/>
  <c r="B30" i="6" a="1"/>
  <c r="B30" i="6" s="1"/>
  <c r="C30" i="6" a="1"/>
  <c r="C30" i="6" s="1"/>
  <c r="D30" i="6" a="1"/>
  <c r="D30" i="6"/>
  <c r="E30" i="6" a="1"/>
  <c r="E30" i="6" s="1"/>
  <c r="F30" i="6" a="1"/>
  <c r="F30" i="6" s="1"/>
  <c r="G30" i="6" a="1"/>
  <c r="G30" i="6" s="1"/>
  <c r="H30" i="6" a="1"/>
  <c r="H30" i="6"/>
  <c r="I30" i="6" a="1"/>
  <c r="I30" i="6" s="1"/>
  <c r="J30" i="6" a="1"/>
  <c r="J30" i="6" s="1"/>
  <c r="B29" i="6" a="1"/>
  <c r="B29" i="6" s="1"/>
  <c r="C29" i="6" a="1"/>
  <c r="C29" i="6" s="1"/>
  <c r="D29" i="6" a="1"/>
  <c r="D29" i="6" s="1"/>
  <c r="E29" i="6" a="1"/>
  <c r="E29" i="6"/>
  <c r="F29" i="6" a="1"/>
  <c r="F29" i="6" s="1"/>
  <c r="G29" i="6" a="1"/>
  <c r="G29" i="6" s="1"/>
  <c r="H29" i="6" a="1"/>
  <c r="H29" i="6" s="1"/>
  <c r="I29" i="6" a="1"/>
  <c r="I29" i="6" s="1"/>
  <c r="J29" i="6" a="1"/>
  <c r="J29" i="6" s="1"/>
  <c r="A29" i="6" a="1"/>
  <c r="A29" i="6" s="1"/>
  <c r="A30" i="1" a="1"/>
  <c r="A30" i="1" s="1"/>
  <c r="B30" i="1" a="1"/>
  <c r="B30" i="1" s="1"/>
  <c r="C30" i="1" a="1"/>
  <c r="C30" i="1" s="1"/>
  <c r="D30" i="1" a="1"/>
  <c r="D30" i="1"/>
  <c r="E30" i="1" a="1"/>
  <c r="E30" i="1" s="1"/>
  <c r="F30" i="1" a="1"/>
  <c r="F30" i="1" s="1"/>
  <c r="G30" i="1" a="1"/>
  <c r="G30" i="1" s="1"/>
  <c r="H30" i="1" a="1"/>
  <c r="H30" i="1"/>
  <c r="I30" i="1" a="1"/>
  <c r="I30" i="1" s="1"/>
  <c r="J30" i="1" a="1"/>
  <c r="J30" i="1" s="1"/>
  <c r="A31" i="1" a="1"/>
  <c r="A31" i="1" s="1"/>
  <c r="B31" i="1" a="1"/>
  <c r="B31" i="1"/>
  <c r="C31" i="1" a="1"/>
  <c r="C31" i="1" s="1"/>
  <c r="D31" i="1" a="1"/>
  <c r="D31" i="1" s="1"/>
  <c r="E31" i="1" a="1"/>
  <c r="E31" i="1" s="1"/>
  <c r="F31" i="1" a="1"/>
  <c r="F31" i="1"/>
  <c r="G31" i="1" a="1"/>
  <c r="G31" i="1" s="1"/>
  <c r="H31" i="1" a="1"/>
  <c r="H31" i="1" s="1"/>
  <c r="I31" i="1" a="1"/>
  <c r="I31" i="1" s="1"/>
  <c r="J31" i="1" a="1"/>
  <c r="J31" i="1"/>
  <c r="A32" i="1" a="1"/>
  <c r="A32" i="1" s="1"/>
  <c r="B32" i="1" a="1"/>
  <c r="B32" i="1" s="1"/>
  <c r="C32" i="1" a="1"/>
  <c r="C32" i="1" s="1"/>
  <c r="D32" i="1" a="1"/>
  <c r="D32" i="1"/>
  <c r="E32" i="1" a="1"/>
  <c r="E32" i="1" s="1"/>
  <c r="F32" i="1" a="1"/>
  <c r="F32" i="1" s="1"/>
  <c r="G32" i="1" a="1"/>
  <c r="G32" i="1" s="1"/>
  <c r="H32" i="1" a="1"/>
  <c r="H32" i="1"/>
  <c r="I32" i="1" a="1"/>
  <c r="I32" i="1" s="1"/>
  <c r="J32" i="1" a="1"/>
  <c r="J32" i="1" s="1"/>
  <c r="A33" i="1" a="1"/>
  <c r="A33" i="1" s="1"/>
  <c r="B33" i="1" a="1"/>
  <c r="B33" i="1"/>
  <c r="C33" i="1" a="1"/>
  <c r="C33" i="1" s="1"/>
  <c r="D33" i="1" a="1"/>
  <c r="D33" i="1" s="1"/>
  <c r="E33" i="1" a="1"/>
  <c r="E33" i="1" s="1"/>
  <c r="F33" i="1" a="1"/>
  <c r="F33" i="1"/>
  <c r="G33" i="1" a="1"/>
  <c r="G33" i="1" s="1"/>
  <c r="H33" i="1" a="1"/>
  <c r="H33" i="1" s="1"/>
  <c r="I33" i="1" a="1"/>
  <c r="I33" i="1" s="1"/>
  <c r="J33" i="1" a="1"/>
  <c r="J33" i="1" s="1"/>
  <c r="A29" i="1" a="1"/>
  <c r="A29" i="1" s="1"/>
  <c r="I29" i="1" a="1"/>
  <c r="I29" i="1" s="1"/>
  <c r="J29" i="1" a="1"/>
  <c r="J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C29" i="1" a="1"/>
  <c r="C29" i="1" s="1"/>
  <c r="B29" i="1" a="1"/>
  <c r="B29" i="1" s="1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D34" i="2"/>
  <c r="E34" i="2"/>
  <c r="F34" i="2"/>
  <c r="G34" i="2"/>
  <c r="H34" i="2"/>
  <c r="I34" i="2"/>
  <c r="J34" i="2"/>
  <c r="K34" i="2"/>
  <c r="L34" i="2"/>
  <c r="M34" i="2"/>
  <c r="N34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D37" i="2"/>
  <c r="E37" i="2"/>
  <c r="F37" i="2"/>
  <c r="G37" i="2"/>
  <c r="H37" i="2"/>
  <c r="I37" i="2"/>
  <c r="J37" i="2"/>
  <c r="K37" i="2"/>
  <c r="L37" i="2"/>
  <c r="M37" i="2"/>
  <c r="N37" i="2"/>
  <c r="D38" i="2"/>
  <c r="E38" i="2"/>
  <c r="F38" i="2"/>
  <c r="G38" i="2"/>
  <c r="H38" i="2"/>
  <c r="I38" i="2"/>
  <c r="J38" i="2"/>
  <c r="K38" i="2"/>
  <c r="L38" i="2"/>
  <c r="M38" i="2"/>
  <c r="N38" i="2"/>
  <c r="D39" i="2"/>
  <c r="E39" i="2"/>
  <c r="F39" i="2"/>
  <c r="G39" i="2"/>
  <c r="H39" i="2"/>
  <c r="I39" i="2"/>
  <c r="J39" i="2"/>
  <c r="K39" i="2"/>
  <c r="L39" i="2"/>
  <c r="M39" i="2"/>
  <c r="N39" i="2"/>
  <c r="D40" i="2"/>
  <c r="E40" i="2"/>
  <c r="F40" i="2"/>
  <c r="G40" i="2"/>
  <c r="H40" i="2"/>
  <c r="I40" i="2"/>
  <c r="J40" i="2"/>
  <c r="K40" i="2"/>
  <c r="L40" i="2"/>
  <c r="M40" i="2"/>
  <c r="N40" i="2"/>
  <c r="D41" i="2"/>
  <c r="E41" i="2"/>
  <c r="F41" i="2"/>
  <c r="G41" i="2"/>
  <c r="H41" i="2"/>
  <c r="I41" i="2"/>
  <c r="J41" i="2"/>
  <c r="K41" i="2"/>
  <c r="L41" i="2"/>
  <c r="M41" i="2"/>
  <c r="N41" i="2"/>
  <c r="D42" i="2"/>
  <c r="E42" i="2"/>
  <c r="F42" i="2"/>
  <c r="G42" i="2"/>
  <c r="H42" i="2"/>
  <c r="I42" i="2"/>
  <c r="J42" i="2"/>
  <c r="K42" i="2"/>
  <c r="L42" i="2"/>
  <c r="M42" i="2"/>
  <c r="N42" i="2"/>
  <c r="D43" i="2"/>
  <c r="E43" i="2"/>
  <c r="F43" i="2"/>
  <c r="G43" i="2"/>
  <c r="H43" i="2"/>
  <c r="I43" i="2"/>
  <c r="J43" i="2"/>
  <c r="K43" i="2"/>
  <c r="L43" i="2"/>
  <c r="M43" i="2"/>
  <c r="N43" i="2"/>
  <c r="D18" i="2"/>
  <c r="E18" i="2"/>
  <c r="F18" i="2"/>
  <c r="G18" i="2"/>
  <c r="H18" i="2"/>
  <c r="I18" i="2"/>
  <c r="J18" i="2"/>
  <c r="K18" i="2"/>
  <c r="L18" i="2"/>
  <c r="M18" i="2"/>
  <c r="N18" i="2"/>
  <c r="D19" i="2"/>
  <c r="E19" i="2"/>
  <c r="F19" i="2"/>
  <c r="G19" i="2"/>
  <c r="H19" i="2"/>
  <c r="I19" i="2"/>
  <c r="J19" i="2"/>
  <c r="K19" i="2"/>
  <c r="L19" i="2"/>
  <c r="M19" i="2"/>
  <c r="N19" i="2"/>
  <c r="D20" i="2"/>
  <c r="E20" i="2"/>
  <c r="F20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D15" i="2"/>
  <c r="E15" i="2"/>
  <c r="F15" i="2"/>
  <c r="G15" i="2"/>
  <c r="H15" i="2"/>
  <c r="I15" i="2"/>
  <c r="J15" i="2"/>
  <c r="K15" i="2"/>
  <c r="L15" i="2"/>
  <c r="M15" i="2"/>
  <c r="N15" i="2"/>
  <c r="D16" i="2"/>
  <c r="E16" i="2"/>
  <c r="F16" i="2"/>
  <c r="G16" i="2"/>
  <c r="H16" i="2"/>
  <c r="I16" i="2"/>
  <c r="J16" i="2"/>
  <c r="K16" i="2"/>
  <c r="L16" i="2"/>
  <c r="M16" i="2"/>
  <c r="N16" i="2"/>
  <c r="D17" i="2"/>
  <c r="E17" i="2"/>
  <c r="F17" i="2"/>
  <c r="G17" i="2"/>
  <c r="H17" i="2"/>
  <c r="I17" i="2"/>
  <c r="J17" i="2"/>
  <c r="K17" i="2"/>
  <c r="L17" i="2"/>
  <c r="M17" i="2"/>
  <c r="N17" i="2"/>
  <c r="N3" i="2"/>
  <c r="M3" i="2"/>
  <c r="L3" i="2"/>
  <c r="K3" i="2"/>
  <c r="J3" i="2"/>
  <c r="I3" i="2"/>
  <c r="H3" i="2"/>
  <c r="G3" i="2"/>
  <c r="F3" i="2"/>
  <c r="E3" i="2"/>
  <c r="D3" i="2"/>
  <c r="N4" i="2"/>
  <c r="M4" i="2"/>
  <c r="L4" i="2"/>
  <c r="K4" i="2"/>
  <c r="J4" i="2"/>
  <c r="I4" i="2"/>
  <c r="H4" i="2"/>
  <c r="G4" i="2"/>
  <c r="F4" i="2"/>
  <c r="E4" i="2"/>
  <c r="D4" i="2"/>
  <c r="N11" i="3"/>
  <c r="X12" i="3" s="1"/>
  <c r="N5" i="3"/>
  <c r="X6" i="3" s="1"/>
  <c r="N6" i="3"/>
  <c r="X7" i="3" s="1"/>
  <c r="N7" i="3"/>
  <c r="X8" i="3" s="1"/>
  <c r="N8" i="3"/>
  <c r="X9" i="3" s="1"/>
  <c r="N9" i="3"/>
  <c r="X10" i="3" s="1"/>
  <c r="N10" i="3"/>
  <c r="X11" i="3" s="1"/>
  <c r="N4" i="3"/>
  <c r="X5" i="3" s="1"/>
  <c r="M5" i="3"/>
  <c r="M6" i="3"/>
  <c r="M7" i="3"/>
  <c r="M8" i="3"/>
  <c r="M9" i="3"/>
  <c r="M10" i="3"/>
  <c r="M11" i="3"/>
  <c r="M4" i="3"/>
  <c r="D2" i="2"/>
  <c r="E2" i="2"/>
  <c r="F2" i="2"/>
  <c r="G2" i="2"/>
  <c r="H2" i="2"/>
  <c r="I2" i="2"/>
  <c r="J2" i="2"/>
  <c r="K2" i="2"/>
  <c r="L2" i="2"/>
  <c r="N2" i="2"/>
  <c r="Y50" i="3" l="1"/>
  <c r="Y49" i="3"/>
  <c r="Y13" i="3" l="1"/>
  <c r="Y5" i="3"/>
  <c r="E9" i="12" l="1"/>
  <c r="F5" i="10"/>
  <c r="F3" i="10"/>
  <c r="F5" i="9"/>
  <c r="F3" i="9"/>
  <c r="F5" i="8"/>
  <c r="F3" i="8"/>
  <c r="F5" i="7"/>
  <c r="F3" i="7"/>
  <c r="F5" i="4"/>
  <c r="F3" i="4"/>
  <c r="F5" i="5"/>
  <c r="F3" i="5"/>
  <c r="F5" i="6"/>
  <c r="F3" i="6"/>
  <c r="F5" i="1"/>
  <c r="F3" i="1"/>
  <c r="N12" i="3"/>
  <c r="B9" i="10"/>
  <c r="M12" i="3"/>
  <c r="C9" i="12" s="1"/>
  <c r="F5" i="3"/>
  <c r="F4" i="6" s="1"/>
  <c r="F6" i="3"/>
  <c r="F4" i="5" s="1"/>
  <c r="F7" i="3"/>
  <c r="F4" i="4" s="1"/>
  <c r="F8" i="3"/>
  <c r="F4" i="7" s="1"/>
  <c r="F9" i="3"/>
  <c r="F4" i="8" s="1"/>
  <c r="F10" i="3"/>
  <c r="F4" i="9" s="1"/>
  <c r="F11" i="3"/>
  <c r="F4" i="10" s="1"/>
  <c r="F4" i="3"/>
  <c r="F4" i="1" s="1"/>
  <c r="D9" i="1"/>
  <c r="Y6" i="3"/>
  <c r="D9" i="6" s="1"/>
  <c r="Y7" i="3"/>
  <c r="D9" i="5" s="1"/>
  <c r="Y8" i="3"/>
  <c r="D9" i="4" s="1"/>
  <c r="Y9" i="3"/>
  <c r="D9" i="7" s="1"/>
  <c r="Y10" i="3"/>
  <c r="D9" i="8" s="1"/>
  <c r="Y11" i="3"/>
  <c r="D9" i="9" s="1"/>
  <c r="Y12" i="3"/>
  <c r="D9" i="10" s="1"/>
  <c r="D9" i="12" l="1"/>
  <c r="X13" i="3"/>
  <c r="G3" i="12"/>
  <c r="G25" i="12" l="1"/>
  <c r="G24" i="12"/>
  <c r="I28" i="12" l="1"/>
  <c r="B1" i="10" l="1"/>
  <c r="B1" i="9"/>
  <c r="B1" i="8"/>
  <c r="B1" i="7"/>
  <c r="B1" i="4"/>
  <c r="B1" i="5"/>
  <c r="B1" i="6"/>
  <c r="B1" i="1"/>
  <c r="C9" i="6"/>
  <c r="C9" i="5"/>
  <c r="C9" i="4"/>
  <c r="C9" i="7"/>
  <c r="C9" i="8"/>
  <c r="C9" i="9"/>
  <c r="C9" i="10"/>
  <c r="C9" i="1"/>
  <c r="B9" i="1"/>
  <c r="X50" i="3"/>
  <c r="C6" i="6" s="1"/>
  <c r="X51" i="3"/>
  <c r="C6" i="5" s="1"/>
  <c r="X52" i="3"/>
  <c r="C6" i="4" s="1"/>
  <c r="X53" i="3"/>
  <c r="C6" i="7" s="1"/>
  <c r="X54" i="3"/>
  <c r="C6" i="8" s="1"/>
  <c r="X55" i="3"/>
  <c r="C6" i="9" s="1"/>
  <c r="X56" i="3"/>
  <c r="C6" i="10" s="1"/>
  <c r="X49" i="3"/>
  <c r="D6" i="6"/>
  <c r="Y51" i="3"/>
  <c r="D6" i="5" s="1"/>
  <c r="Y52" i="3"/>
  <c r="D6" i="4" s="1"/>
  <c r="Y53" i="3"/>
  <c r="D6" i="7" s="1"/>
  <c r="Y54" i="3"/>
  <c r="D6" i="8" s="1"/>
  <c r="Y55" i="3"/>
  <c r="Y56" i="3"/>
  <c r="D6" i="10" s="1"/>
  <c r="C2" i="12"/>
  <c r="B2" i="10"/>
  <c r="B2" i="9"/>
  <c r="B2" i="8"/>
  <c r="B2" i="7"/>
  <c r="B2" i="6"/>
  <c r="B2" i="5"/>
  <c r="B2" i="4"/>
  <c r="B9" i="6"/>
  <c r="B9" i="5"/>
  <c r="B9" i="4"/>
  <c r="B9" i="7"/>
  <c r="B9" i="8"/>
  <c r="B9" i="9"/>
  <c r="W55" i="3" l="1"/>
  <c r="B6" i="9" s="1"/>
  <c r="D6" i="1"/>
  <c r="Y57" i="3"/>
  <c r="E6" i="12" s="1"/>
  <c r="C6" i="1"/>
  <c r="X57" i="3"/>
  <c r="D6" i="12" s="1"/>
  <c r="W56" i="3"/>
  <c r="B6" i="10" s="1"/>
  <c r="D6" i="9"/>
  <c r="W57" i="3" l="1"/>
  <c r="C6" i="12" s="1"/>
  <c r="H7" i="6"/>
  <c r="H7" i="5"/>
  <c r="H7" i="4"/>
  <c r="H7" i="7"/>
  <c r="H7" i="8"/>
  <c r="H7" i="9"/>
  <c r="F12" i="3"/>
  <c r="G4" i="12" s="1"/>
  <c r="B2" i="1" l="1"/>
  <c r="D16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50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I7" i="12" l="1"/>
  <c r="H7" i="10"/>
  <c r="W49" i="3"/>
  <c r="B6" i="1" s="1"/>
  <c r="W53" i="3"/>
  <c r="B6" i="7" s="1"/>
  <c r="W51" i="3"/>
  <c r="B6" i="5" s="1"/>
  <c r="W54" i="3"/>
  <c r="B6" i="8" s="1"/>
  <c r="W52" i="3"/>
  <c r="B6" i="4" s="1"/>
  <c r="W50" i="3"/>
  <c r="B6" i="6" s="1"/>
  <c r="P53" i="3" a="1"/>
  <c r="P53" i="3" s="1"/>
  <c r="Q53" i="3" s="1" a="1"/>
  <c r="Q53" i="3" s="1"/>
  <c r="P68" i="3" a="1"/>
  <c r="P68" i="3" s="1"/>
  <c r="Q68" i="3" s="1" a="1"/>
  <c r="Q68" i="3" s="1"/>
  <c r="P60" i="3" a="1"/>
  <c r="P60" i="3" s="1"/>
  <c r="Q60" i="3" s="1" a="1"/>
  <c r="Q60" i="3" s="1"/>
  <c r="J72" i="3" a="1"/>
  <c r="J72" i="3" s="1"/>
  <c r="K72" i="3" s="1" a="1"/>
  <c r="K72" i="3" s="1"/>
  <c r="P52" i="3" a="1"/>
  <c r="P52" i="3" s="1"/>
  <c r="Q52" i="3" s="1" a="1"/>
  <c r="Q52" i="3" s="1"/>
  <c r="P67" i="3" a="1"/>
  <c r="P67" i="3" s="1"/>
  <c r="Q67" i="3" s="1" a="1"/>
  <c r="Q67" i="3" s="1"/>
  <c r="P59" i="3" a="1"/>
  <c r="P59" i="3" s="1"/>
  <c r="Q59" i="3" s="1" a="1"/>
  <c r="Q59" i="3" s="1"/>
  <c r="P51" i="3" a="1"/>
  <c r="P51" i="3" s="1"/>
  <c r="Q51" i="3" s="1" a="1"/>
  <c r="Q51" i="3" s="1"/>
  <c r="P50" i="3" a="1"/>
  <c r="P50" i="3" s="1"/>
  <c r="P66" i="3" a="1"/>
  <c r="P66" i="3" s="1"/>
  <c r="Q66" i="3" s="1" a="1"/>
  <c r="Q66" i="3" s="1"/>
  <c r="P58" i="3" a="1"/>
  <c r="P58" i="3" s="1"/>
  <c r="Q58" i="3" s="1" a="1"/>
  <c r="Q58" i="3" s="1"/>
  <c r="J58" i="3" a="1"/>
  <c r="J58" i="3" s="1"/>
  <c r="K58" i="3" s="1" a="1"/>
  <c r="K58" i="3" s="1"/>
  <c r="P73" i="3" a="1"/>
  <c r="P73" i="3" s="1"/>
  <c r="Q73" i="3" s="1" a="1"/>
  <c r="Q73" i="3" s="1"/>
  <c r="P65" i="3" a="1"/>
  <c r="P65" i="3" s="1"/>
  <c r="Q65" i="3" s="1" a="1"/>
  <c r="Q65" i="3" s="1"/>
  <c r="P57" i="3" a="1"/>
  <c r="P57" i="3" s="1"/>
  <c r="Q57" i="3" s="1" a="1"/>
  <c r="Q57" i="3" s="1"/>
  <c r="P72" i="3" a="1"/>
  <c r="P72" i="3" s="1"/>
  <c r="Q72" i="3" s="1" a="1"/>
  <c r="Q72" i="3" s="1"/>
  <c r="P64" i="3" a="1"/>
  <c r="P64" i="3" s="1"/>
  <c r="Q64" i="3" s="1" a="1"/>
  <c r="Q64" i="3" s="1"/>
  <c r="P56" i="3" a="1"/>
  <c r="P56" i="3" s="1"/>
  <c r="Q56" i="3" s="1" a="1"/>
  <c r="Q56" i="3" s="1"/>
  <c r="P71" i="3" a="1"/>
  <c r="P71" i="3" s="1"/>
  <c r="Q71" i="3" s="1" a="1"/>
  <c r="Q71" i="3" s="1"/>
  <c r="P63" i="3" a="1"/>
  <c r="P63" i="3" s="1"/>
  <c r="Q63" i="3" s="1" a="1"/>
  <c r="Q63" i="3" s="1"/>
  <c r="P55" i="3" a="1"/>
  <c r="P55" i="3" s="1"/>
  <c r="Q55" i="3" s="1" a="1"/>
  <c r="Q55" i="3" s="1"/>
  <c r="P70" i="3" a="1"/>
  <c r="P70" i="3" s="1"/>
  <c r="Q70" i="3" s="1" a="1"/>
  <c r="Q70" i="3" s="1"/>
  <c r="P62" i="3" a="1"/>
  <c r="P62" i="3" s="1"/>
  <c r="Q62" i="3" s="1" a="1"/>
  <c r="Q62" i="3" s="1"/>
  <c r="P54" i="3" a="1"/>
  <c r="P54" i="3" s="1"/>
  <c r="Q54" i="3" s="1" a="1"/>
  <c r="Q54" i="3" s="1"/>
  <c r="P69" i="3" a="1"/>
  <c r="P69" i="3" s="1"/>
  <c r="Q69" i="3" s="1" a="1"/>
  <c r="Q69" i="3" s="1"/>
  <c r="P61" i="3" a="1"/>
  <c r="P61" i="3" s="1"/>
  <c r="Q61" i="3" s="1" a="1"/>
  <c r="Q61" i="3" s="1"/>
  <c r="J57" i="3" a="1"/>
  <c r="J57" i="3" s="1"/>
  <c r="K57" i="3" s="1" a="1"/>
  <c r="K57" i="3" s="1"/>
  <c r="J71" i="3" a="1"/>
  <c r="J71" i="3" s="1"/>
  <c r="K71" i="3" s="1" a="1"/>
  <c r="K71" i="3" s="1"/>
  <c r="J56" i="3" a="1"/>
  <c r="J56" i="3" s="1"/>
  <c r="K56" i="3" s="1" a="1"/>
  <c r="K56" i="3" s="1"/>
  <c r="J64" i="3" a="1"/>
  <c r="J64" i="3" s="1"/>
  <c r="K64" i="3" s="1" a="1"/>
  <c r="K64" i="3" s="1"/>
  <c r="J70" i="3" a="1"/>
  <c r="J70" i="3" s="1"/>
  <c r="K70" i="3" s="1" a="1"/>
  <c r="K70" i="3" s="1"/>
  <c r="J63" i="3" a="1"/>
  <c r="J63" i="3" s="1"/>
  <c r="K63" i="3" s="1" a="1"/>
  <c r="K63" i="3" s="1"/>
  <c r="J55" i="3" a="1"/>
  <c r="J55" i="3" s="1"/>
  <c r="K55" i="3" s="1" a="1"/>
  <c r="K55" i="3" s="1"/>
  <c r="J69" i="3" a="1"/>
  <c r="J69" i="3" s="1"/>
  <c r="K69" i="3" s="1" a="1"/>
  <c r="K69" i="3" s="1"/>
  <c r="J62" i="3" a="1"/>
  <c r="J62" i="3" s="1"/>
  <c r="K62" i="3" s="1" a="1"/>
  <c r="K62" i="3" s="1"/>
  <c r="J54" i="3" a="1"/>
  <c r="J54" i="3" s="1"/>
  <c r="K54" i="3" s="1" a="1"/>
  <c r="K54" i="3" s="1"/>
  <c r="J68" i="3" a="1"/>
  <c r="J68" i="3" s="1"/>
  <c r="K68" i="3" s="1" a="1"/>
  <c r="K68" i="3" s="1"/>
  <c r="J61" i="3" a="1"/>
  <c r="J61" i="3" s="1"/>
  <c r="K61" i="3" s="1" a="1"/>
  <c r="K61" i="3" s="1"/>
  <c r="J53" i="3" a="1"/>
  <c r="J53" i="3" s="1"/>
  <c r="K53" i="3" s="1" a="1"/>
  <c r="K53" i="3" s="1"/>
  <c r="J50" i="3" a="1"/>
  <c r="J50" i="3" s="1"/>
  <c r="K50" i="3" s="1" a="1"/>
  <c r="K50" i="3" s="1"/>
  <c r="C22" i="1" s="1"/>
  <c r="J67" i="3" a="1"/>
  <c r="J67" i="3" s="1"/>
  <c r="K67" i="3" s="1" a="1"/>
  <c r="K67" i="3" s="1"/>
  <c r="J60" i="3" a="1"/>
  <c r="J60" i="3" s="1"/>
  <c r="K60" i="3" s="1" a="1"/>
  <c r="K60" i="3" s="1"/>
  <c r="J52" i="3" a="1"/>
  <c r="J52" i="3" s="1"/>
  <c r="J51" i="3" a="1"/>
  <c r="J51" i="3" s="1"/>
  <c r="K51" i="3" s="1" a="1"/>
  <c r="K51" i="3" s="1"/>
  <c r="C23" i="1" s="1"/>
  <c r="J66" i="3" a="1"/>
  <c r="J66" i="3" s="1"/>
  <c r="K66" i="3" s="1" a="1"/>
  <c r="K66" i="3" s="1"/>
  <c r="J59" i="3" a="1"/>
  <c r="J59" i="3" s="1"/>
  <c r="K59" i="3" s="1" a="1"/>
  <c r="K59" i="3" s="1"/>
  <c r="J73" i="3" a="1"/>
  <c r="J73" i="3" s="1"/>
  <c r="K73" i="3" s="1" a="1"/>
  <c r="K73" i="3" s="1"/>
  <c r="J65" i="3" a="1"/>
  <c r="J65" i="3" s="1"/>
  <c r="K65" i="3" s="1" a="1"/>
  <c r="K65" i="3" s="1"/>
  <c r="K52" i="3" l="1" a="1"/>
  <c r="K52" i="3" s="1"/>
  <c r="C24" i="1" s="1"/>
  <c r="Q50" i="3" a="1"/>
  <c r="Q50" i="3" s="1"/>
  <c r="H22" i="1" s="1"/>
  <c r="C23" i="4"/>
  <c r="B23" i="4"/>
  <c r="C23" i="9"/>
  <c r="B23" i="9"/>
  <c r="H24" i="4"/>
  <c r="G24" i="4"/>
  <c r="H22" i="5"/>
  <c r="G22" i="5"/>
  <c r="H23" i="8"/>
  <c r="G23" i="8"/>
  <c r="H22" i="9"/>
  <c r="G22" i="9"/>
  <c r="H23" i="9"/>
  <c r="G23" i="9"/>
  <c r="H24" i="7"/>
  <c r="G24" i="7"/>
  <c r="H22" i="6"/>
  <c r="G22" i="6"/>
  <c r="C22" i="8"/>
  <c r="B22" i="8"/>
  <c r="C23" i="7"/>
  <c r="B23" i="7"/>
  <c r="H23" i="6"/>
  <c r="G23" i="6"/>
  <c r="H23" i="10"/>
  <c r="G23" i="10"/>
  <c r="C24" i="8"/>
  <c r="B24" i="8"/>
  <c r="C24" i="10"/>
  <c r="B24" i="10"/>
  <c r="C22" i="6"/>
  <c r="B22" i="6"/>
  <c r="C24" i="9"/>
  <c r="B24" i="9"/>
  <c r="H22" i="7"/>
  <c r="G22" i="7"/>
  <c r="H23" i="5"/>
  <c r="G23" i="5"/>
  <c r="H22" i="4"/>
  <c r="G22" i="4"/>
  <c r="C22" i="4"/>
  <c r="B22" i="4"/>
  <c r="C24" i="4"/>
  <c r="B24" i="4"/>
  <c r="C24" i="7"/>
  <c r="B24" i="7"/>
  <c r="H24" i="9"/>
  <c r="G24" i="9"/>
  <c r="H22" i="8"/>
  <c r="G22" i="8"/>
  <c r="H24" i="8"/>
  <c r="G24" i="8"/>
  <c r="C24" i="6"/>
  <c r="B24" i="6"/>
  <c r="C23" i="8"/>
  <c r="B23" i="8"/>
  <c r="C22" i="9"/>
  <c r="B22" i="9"/>
  <c r="C22" i="5"/>
  <c r="B22" i="5"/>
  <c r="H24" i="6"/>
  <c r="G24" i="6"/>
  <c r="H24" i="10"/>
  <c r="G24" i="10"/>
  <c r="C23" i="6"/>
  <c r="B23" i="6"/>
  <c r="C22" i="10"/>
  <c r="B22" i="10"/>
  <c r="H23" i="7"/>
  <c r="G23" i="7"/>
  <c r="C24" i="5"/>
  <c r="B24" i="5"/>
  <c r="C23" i="10"/>
  <c r="B23" i="10"/>
  <c r="C22" i="7"/>
  <c r="B22" i="7"/>
  <c r="C23" i="5"/>
  <c r="B23" i="5"/>
  <c r="H22" i="10"/>
  <c r="G22" i="10"/>
  <c r="H24" i="5"/>
  <c r="G24" i="5"/>
  <c r="H23" i="4"/>
  <c r="G23" i="4"/>
  <c r="H24" i="1"/>
  <c r="G24" i="1"/>
  <c r="G22" i="1"/>
  <c r="B22" i="1"/>
  <c r="H23" i="1"/>
  <c r="G23" i="1"/>
  <c r="B24" i="1"/>
  <c r="B23" i="1"/>
  <c r="H7" i="1" l="1"/>
  <c r="M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<sst xmlns="http://schemas.openxmlformats.org/spreadsheetml/2006/main" count="1533" uniqueCount="260">
  <si>
    <t>Week Of</t>
  </si>
  <si>
    <t>Line</t>
  </si>
  <si>
    <t>OEE</t>
  </si>
  <si>
    <t>Cases</t>
  </si>
  <si>
    <t>Current Cases</t>
  </si>
  <si>
    <t>Planned Cases</t>
  </si>
  <si>
    <t>Achieved</t>
  </si>
  <si>
    <t>Target</t>
  </si>
  <si>
    <t>Yesterday's Top 3 Downtime</t>
  </si>
  <si>
    <t>Week's Top 3 Downtime</t>
  </si>
  <si>
    <t>Inventory Variances</t>
  </si>
  <si>
    <t>Data Corrections</t>
  </si>
  <si>
    <t>Data Issues</t>
  </si>
  <si>
    <t>Working Days</t>
  </si>
  <si>
    <t>Total</t>
  </si>
  <si>
    <t xml:space="preserve">B </t>
  </si>
  <si>
    <t>C</t>
  </si>
  <si>
    <t>FY23</t>
  </si>
  <si>
    <t>B</t>
  </si>
  <si>
    <t xml:space="preserve">        FS01</t>
  </si>
  <si>
    <t xml:space="preserve">        FS03</t>
  </si>
  <si>
    <t xml:space="preserve">        FS04</t>
  </si>
  <si>
    <t xml:space="preserve">        FS05</t>
  </si>
  <si>
    <t xml:space="preserve">        FS09</t>
  </si>
  <si>
    <t xml:space="preserve">        FS10</t>
  </si>
  <si>
    <t xml:space="preserve">        FS12</t>
  </si>
  <si>
    <t>Fiscal Year</t>
  </si>
  <si>
    <t>Period</t>
  </si>
  <si>
    <t>Month</t>
  </si>
  <si>
    <t>Identifier Y/M/S</t>
  </si>
  <si>
    <t>Identifier Y/M/I</t>
  </si>
  <si>
    <t>Identifier WD</t>
  </si>
  <si>
    <t>Identifier WD/S</t>
  </si>
  <si>
    <t>Identifier WD/S/L</t>
  </si>
  <si>
    <t>Identifier D/S</t>
  </si>
  <si>
    <t>Identifier D/S/L</t>
  </si>
  <si>
    <t>Identifier Y/M/L/S</t>
  </si>
  <si>
    <t>Identifier Y/L</t>
  </si>
  <si>
    <t>Indentfier range/L</t>
  </si>
  <si>
    <t>Identifier Y/M/L</t>
  </si>
  <si>
    <t>Date</t>
  </si>
  <si>
    <t>Shift</t>
  </si>
  <si>
    <t>WO #</t>
  </si>
  <si>
    <t>Item #</t>
  </si>
  <si>
    <t>Description</t>
  </si>
  <si>
    <t>Actual         Man Hours</t>
  </si>
  <si>
    <t>Pack Size</t>
  </si>
  <si>
    <t>Bottles</t>
  </si>
  <si>
    <t>Budgeted   FillerSpeed</t>
  </si>
  <si>
    <t>Actual    FillerSpeed</t>
  </si>
  <si>
    <t>Avail. Min</t>
  </si>
  <si>
    <t>Lunch</t>
  </si>
  <si>
    <t>OEE Mins</t>
  </si>
  <si>
    <t>Expected   Bottles</t>
  </si>
  <si>
    <t>Expected    Cases</t>
  </si>
  <si>
    <t>Btls</t>
  </si>
  <si>
    <t>OEE %</t>
  </si>
  <si>
    <t>Availability      OEE %</t>
  </si>
  <si>
    <t>Performance     OEE %</t>
  </si>
  <si>
    <t>Quality      OEE %</t>
  </si>
  <si>
    <t>Meeting</t>
  </si>
  <si>
    <t>Break</t>
  </si>
  <si>
    <t>Job Change</t>
  </si>
  <si>
    <t>Setup</t>
  </si>
  <si>
    <t>HK</t>
  </si>
  <si>
    <t>*</t>
  </si>
  <si>
    <t>Down Time</t>
  </si>
  <si>
    <t>DownTime Loss</t>
  </si>
  <si>
    <t>Non Conforming   Cases</t>
  </si>
  <si>
    <t>Rework    Cases</t>
  </si>
  <si>
    <t>Non-Bott DT</t>
  </si>
  <si>
    <t>Fill Height/Cap Detector</t>
  </si>
  <si>
    <t>FCS</t>
  </si>
  <si>
    <t>Proc.-Tk Chg</t>
  </si>
  <si>
    <t>Manning/    Supplies</t>
  </si>
  <si>
    <t>Foam</t>
  </si>
  <si>
    <t>Proof Cks     /Lab</t>
  </si>
  <si>
    <t>Vision System</t>
  </si>
  <si>
    <t>QA External</t>
  </si>
  <si>
    <t>QA Internal</t>
  </si>
  <si>
    <t>Pal/Depal</t>
  </si>
  <si>
    <t>Unloader</t>
  </si>
  <si>
    <t>Bulk Unloader</t>
  </si>
  <si>
    <t>Cleaner</t>
  </si>
  <si>
    <t>Filler</t>
  </si>
  <si>
    <t>Capper</t>
  </si>
  <si>
    <t>Checkweigher/Taper</t>
  </si>
  <si>
    <t>Team Performance</t>
  </si>
  <si>
    <t>Bottle Orientor</t>
  </si>
  <si>
    <t>Labeler</t>
  </si>
  <si>
    <t>Wash</t>
  </si>
  <si>
    <t>Case Packer</t>
  </si>
  <si>
    <t>Partitioner</t>
  </si>
  <si>
    <t>Case Erector</t>
  </si>
  <si>
    <t>APM</t>
  </si>
  <si>
    <t>Case Line</t>
  </si>
  <si>
    <t>State Code</t>
  </si>
  <si>
    <t>Case Printer</t>
  </si>
  <si>
    <t>Laser Dater</t>
  </si>
  <si>
    <t>Other</t>
  </si>
  <si>
    <t>1st Hr Cs Count</t>
  </si>
  <si>
    <t>Total Pro Down Time</t>
  </si>
  <si>
    <t>Row Labels</t>
  </si>
  <si>
    <t>Grand Total</t>
  </si>
  <si>
    <t>Sum of Fill Height/Cap Detector</t>
  </si>
  <si>
    <t>Sum of Proc.-Tk Chg</t>
  </si>
  <si>
    <t>Sum of Manning/    Supplies</t>
  </si>
  <si>
    <t>Sum of Vision System</t>
  </si>
  <si>
    <t>Sum of QA External</t>
  </si>
  <si>
    <t>Sum of FCS</t>
  </si>
  <si>
    <t>Sum of Foam</t>
  </si>
  <si>
    <t>Sum of Proof Cks     /Lab</t>
  </si>
  <si>
    <t>Sum of QA Internal</t>
  </si>
  <si>
    <t>Sum of Pal/Depal</t>
  </si>
  <si>
    <t>Sum of Unloader</t>
  </si>
  <si>
    <t>Sum of Bulk Unloader</t>
  </si>
  <si>
    <t>Sum of Cleaner</t>
  </si>
  <si>
    <t>Sum of Filler</t>
  </si>
  <si>
    <t>Sum of Capper</t>
  </si>
  <si>
    <t>Sum of Checkweigher/Taper</t>
  </si>
  <si>
    <t>Sum of Bottle Orientor</t>
  </si>
  <si>
    <t>Sum of Team Performance</t>
  </si>
  <si>
    <t>Sum of Labeler</t>
  </si>
  <si>
    <t>Sum of Case Packer</t>
  </si>
  <si>
    <t>Sum of Wash</t>
  </si>
  <si>
    <t>Sum of Partitioner</t>
  </si>
  <si>
    <t>Sum of Case Erector</t>
  </si>
  <si>
    <t>Sum of APM</t>
  </si>
  <si>
    <t>Sum of Case Line</t>
  </si>
  <si>
    <t>Sum of State Code</t>
  </si>
  <si>
    <t>Sum of Case Printer</t>
  </si>
  <si>
    <t>Sum of Laser Dater</t>
  </si>
  <si>
    <t>Sum of Other</t>
  </si>
  <si>
    <t>Total Cases</t>
  </si>
  <si>
    <t>Exp. Cases</t>
  </si>
  <si>
    <t>Downtime</t>
  </si>
  <si>
    <t>Manning/Supplies</t>
  </si>
  <si>
    <t>Proof Cks/Lab</t>
  </si>
  <si>
    <t xml:space="preserve">        FS14</t>
  </si>
  <si>
    <t>Total Minutes</t>
  </si>
  <si>
    <t>Weekly Minutes</t>
  </si>
  <si>
    <t>Rank</t>
  </si>
  <si>
    <t>Category</t>
  </si>
  <si>
    <t>Top Downtime - Day</t>
  </si>
  <si>
    <t>Top Downtime - Week</t>
  </si>
  <si>
    <t>Total Downtime by Category</t>
  </si>
  <si>
    <t>Key</t>
  </si>
  <si>
    <t>Week</t>
  </si>
  <si>
    <t>Sum of Identifier WD/S/L</t>
  </si>
  <si>
    <t>Days</t>
  </si>
  <si>
    <t>Work Order</t>
  </si>
  <si>
    <t>Component</t>
  </si>
  <si>
    <t>Qty Req</t>
  </si>
  <si>
    <t>Difference</t>
  </si>
  <si>
    <t>WO</t>
  </si>
  <si>
    <t>Correction</t>
  </si>
  <si>
    <t>Downtime - Week</t>
  </si>
  <si>
    <t>Sun</t>
  </si>
  <si>
    <t>Mon</t>
  </si>
  <si>
    <t>Tues</t>
  </si>
  <si>
    <t>Wed</t>
  </si>
  <si>
    <t>Thurs</t>
  </si>
  <si>
    <t>Fri</t>
  </si>
  <si>
    <t>Sat</t>
  </si>
  <si>
    <t>Remaining</t>
  </si>
  <si>
    <t>Completed</t>
  </si>
  <si>
    <t>Month Goal</t>
  </si>
  <si>
    <t>Week1</t>
  </si>
  <si>
    <t>Week2</t>
  </si>
  <si>
    <t>Week3</t>
  </si>
  <si>
    <t>Week4</t>
  </si>
  <si>
    <t>Week5</t>
  </si>
  <si>
    <t>Today</t>
  </si>
  <si>
    <t>ID</t>
  </si>
  <si>
    <t>Sum of Cases</t>
  </si>
  <si>
    <t>Yesterday</t>
  </si>
  <si>
    <r>
      <t xml:space="preserve">Expected Cases </t>
    </r>
    <r>
      <rPr>
        <sz val="8"/>
        <color theme="1"/>
        <rFont val="Calibri"/>
        <family val="2"/>
        <scheme val="minor"/>
      </rPr>
      <t>(Based on line speed)</t>
    </r>
  </si>
  <si>
    <t>Weekly Case Counts</t>
  </si>
  <si>
    <t>Consumed</t>
  </si>
  <si>
    <t>Comments</t>
  </si>
  <si>
    <t>Line using old Bottling Production Log</t>
  </si>
  <si>
    <t>March Monthly Case Counts</t>
  </si>
  <si>
    <t>P9</t>
  </si>
  <si>
    <t>Line using the wrong version of the</t>
  </si>
  <si>
    <t>Daily Production Log.</t>
  </si>
  <si>
    <t>(blank)</t>
  </si>
  <si>
    <t>Put in month's case count</t>
  </si>
  <si>
    <t>Select previous date</t>
  </si>
  <si>
    <r>
      <t xml:space="preserve">Downtime - Previous Day </t>
    </r>
    <r>
      <rPr>
        <i/>
        <sz val="11"/>
        <color theme="1"/>
        <rFont val="Calibri"/>
        <family val="2"/>
        <scheme val="minor"/>
      </rPr>
      <t>(Select day from list)</t>
    </r>
  </si>
  <si>
    <t>Enter planned cases for week</t>
  </si>
  <si>
    <t>Copy/Paste special from OEE table into the appropriate day</t>
  </si>
  <si>
    <t>Bottle Total</t>
  </si>
  <si>
    <t>Exp. Btls</t>
  </si>
  <si>
    <t>3/19/23-3/25/23</t>
  </si>
  <si>
    <t>SEAG GIN 80P 120/50 PT ND US</t>
  </si>
  <si>
    <t>BTL1500814</t>
  </si>
  <si>
    <t>SWILLI03</t>
  </si>
  <si>
    <t>SEAG GIN 80P 12/750 PTTF ND NC</t>
  </si>
  <si>
    <t>SV EXS80 12/375 CP</t>
  </si>
  <si>
    <t>SV APL70 12/375 CP</t>
  </si>
  <si>
    <t>KAH 32 12/1L 20 EX</t>
  </si>
  <si>
    <t>SEAG GIN 80P 6/1.75L ND US</t>
  </si>
  <si>
    <t>JEFF VSB BBN 82.3 6/750 AU</t>
  </si>
  <si>
    <t>SEAG GIN 80P 48/100 FSK ND US</t>
  </si>
  <si>
    <t>BTL190907</t>
  </si>
  <si>
    <t>BTL201988</t>
  </si>
  <si>
    <t>CLO188023</t>
  </si>
  <si>
    <t>CDN481RS</t>
  </si>
  <si>
    <t>DHOWAR01</t>
  </si>
  <si>
    <t>PCLARK01</t>
  </si>
  <si>
    <t>PR048208</t>
  </si>
  <si>
    <t>KAH 32 12/1L 21 MX</t>
  </si>
  <si>
    <t>BCC1500938-AUS</t>
  </si>
  <si>
    <t>SPP1501262</t>
  </si>
  <si>
    <t>CLO203435</t>
  </si>
  <si>
    <t>PR051982</t>
  </si>
  <si>
    <t>PR044664</t>
  </si>
  <si>
    <t>CMCDAN01</t>
  </si>
  <si>
    <t>PR043354</t>
  </si>
  <si>
    <t>FIXED</t>
  </si>
  <si>
    <t>JEFF VSB BBN 82.3 6/750 US</t>
  </si>
  <si>
    <t>HW BLKBDY 70 24/375 NB FSK US</t>
  </si>
  <si>
    <t>KAH ESP 70 12/1L NB AU</t>
  </si>
  <si>
    <t>KAH SALTED CARAMEL40 6/1L AUNZ</t>
  </si>
  <si>
    <t>MALI PNBBR14USA 24/355 6X4CNUS</t>
  </si>
  <si>
    <t>MALI 42 120/50 PT SW 21 US</t>
  </si>
  <si>
    <t>KAH SALTED CARAMEL40 12/750 US</t>
  </si>
  <si>
    <t>B &amp; C</t>
  </si>
  <si>
    <t>BCC1500938</t>
  </si>
  <si>
    <t>CLO1501333</t>
  </si>
  <si>
    <t>CLO198645</t>
  </si>
  <si>
    <t>LBL1501512</t>
  </si>
  <si>
    <t>LBL1502126</t>
  </si>
  <si>
    <t>PTN194560</t>
  </si>
  <si>
    <t>PR053289</t>
  </si>
  <si>
    <t>PR043760</t>
  </si>
  <si>
    <t>PR055469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</si>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</sst>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2"/>
      <name val="Arial Black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4" tint="0.39997558519241921"/>
      </bottom>
      <diagonal/>
    </border>
    <border>
      <left/>
      <right/>
      <top style="thin">
        <color theme="8" tint="0.59999389629810485"/>
      </top>
      <bottom style="thin">
        <color theme="4" tint="0.39997558519241921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4" tint="0.39997558519241921"/>
      </bottom>
      <diagonal/>
    </border>
    <border>
      <left style="thin">
        <color theme="8" tint="0.59999389629810485"/>
      </left>
      <right/>
      <top/>
      <bottom/>
      <diagonal/>
    </border>
    <border>
      <left/>
      <right style="thin">
        <color theme="8" tint="0.59999389629810485"/>
      </right>
      <top/>
      <bottom/>
      <diagonal/>
    </border>
    <border>
      <left style="thin">
        <color theme="8" tint="0.59999389629810485"/>
      </left>
      <right/>
      <top/>
      <bottom style="thin">
        <color theme="8" tint="0.59999389629810485"/>
      </bottom>
      <diagonal/>
    </border>
    <border>
      <left/>
      <right/>
      <top/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/>
      <bottom style="thin">
        <color theme="4" tint="0.39997558519241921"/>
      </bottom>
      <diagonal/>
    </border>
    <border>
      <left/>
      <right style="thin">
        <color theme="8" tint="0.59999389629810485"/>
      </right>
      <top/>
      <bottom style="thin">
        <color theme="4" tint="0.39997558519241921"/>
      </bottom>
      <diagonal/>
    </border>
    <border>
      <left/>
      <right style="thin">
        <color theme="8" tint="0.59999389629810485"/>
      </right>
      <top style="thin">
        <color theme="4" tint="0.39997558519241921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499984740745262"/>
      </top>
      <bottom/>
      <diagonal/>
    </border>
    <border>
      <left/>
      <right style="thin">
        <color theme="0" tint="-0.249977111117893"/>
      </right>
      <top style="thin">
        <color theme="0" tint="-0.499984740745262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1" applyNumberFormat="0" applyFill="0" applyAlignment="0" applyProtection="0"/>
    <xf numFmtId="0" fontId="14" fillId="0" borderId="72" applyNumberFormat="0" applyFill="0" applyAlignment="0" applyProtection="0"/>
    <xf numFmtId="0" fontId="15" fillId="0" borderId="73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74" applyNumberFormat="0" applyAlignment="0" applyProtection="0"/>
    <xf numFmtId="0" fontId="20" fillId="12" borderId="75" applyNumberFormat="0" applyAlignment="0" applyProtection="0"/>
    <xf numFmtId="0" fontId="21" fillId="12" borderId="74" applyNumberFormat="0" applyAlignment="0" applyProtection="0"/>
    <xf numFmtId="0" fontId="22" fillId="0" borderId="76" applyNumberFormat="0" applyFill="0" applyAlignment="0" applyProtection="0"/>
    <xf numFmtId="0" fontId="11" fillId="13" borderId="77" applyNumberFormat="0" applyAlignment="0" applyProtection="0"/>
    <xf numFmtId="0" fontId="23" fillId="0" borderId="0" applyNumberFormat="0" applyFill="0" applyBorder="0" applyAlignment="0" applyProtection="0"/>
    <xf numFmtId="0" fontId="1" fillId="14" borderId="78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79" applyNumberFormat="0" applyFill="0" applyAlignment="0" applyProtection="0"/>
    <xf numFmtId="0" fontId="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19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vertical="center" wrapText="1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2" fillId="5" borderId="2" xfId="0" applyFon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6" borderId="0" xfId="0" applyFill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6" borderId="6" xfId="0" applyFill="1" applyBorder="1" applyAlignment="1">
      <alignment horizontal="left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/>
    <xf numFmtId="0" fontId="0" fillId="6" borderId="0" xfId="0" applyFill="1" applyAlignment="1">
      <alignment horizontal="left"/>
    </xf>
    <xf numFmtId="0" fontId="0" fillId="6" borderId="7" xfId="0" applyFill="1" applyBorder="1"/>
    <xf numFmtId="0" fontId="0" fillId="6" borderId="9" xfId="0" applyFill="1" applyBorder="1" applyAlignment="1">
      <alignment horizontal="left"/>
    </xf>
    <xf numFmtId="0" fontId="0" fillId="6" borderId="9" xfId="0" applyFill="1" applyBorder="1"/>
    <xf numFmtId="0" fontId="0" fillId="6" borderId="10" xfId="0" applyFill="1" applyBorder="1"/>
    <xf numFmtId="0" fontId="0" fillId="6" borderId="6" xfId="0" applyFill="1" applyBorder="1" applyAlignment="1">
      <alignment horizontal="left" indent="1"/>
    </xf>
    <xf numFmtId="0" fontId="0" fillId="6" borderId="8" xfId="0" applyFill="1" applyBorder="1" applyAlignment="1">
      <alignment horizontal="left" indent="1"/>
    </xf>
    <xf numFmtId="165" fontId="2" fillId="5" borderId="14" xfId="0" applyNumberFormat="1" applyFont="1" applyFill="1" applyBorder="1"/>
    <xf numFmtId="43" fontId="0" fillId="6" borderId="0" xfId="1" applyFont="1" applyFill="1" applyBorder="1"/>
    <xf numFmtId="43" fontId="0" fillId="6" borderId="7" xfId="1" applyFont="1" applyFill="1" applyBorder="1"/>
    <xf numFmtId="43" fontId="0" fillId="6" borderId="9" xfId="1" applyFont="1" applyFill="1" applyBorder="1"/>
    <xf numFmtId="43" fontId="0" fillId="6" borderId="10" xfId="1" applyFont="1" applyFill="1" applyBorder="1"/>
    <xf numFmtId="0" fontId="0" fillId="0" borderId="18" xfId="0" pivotButton="1" applyBorder="1"/>
    <xf numFmtId="0" fontId="0" fillId="0" borderId="18" xfId="0" applyBorder="1" applyAlignment="1">
      <alignment horizontal="left"/>
    </xf>
    <xf numFmtId="165" fontId="0" fillId="0" borderId="21" xfId="0" applyNumberFormat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2" fillId="7" borderId="9" xfId="0" applyFont="1" applyFill="1" applyBorder="1"/>
    <xf numFmtId="43" fontId="0" fillId="6" borderId="0" xfId="1" applyFont="1" applyFill="1" applyBorder="1" applyAlignment="1">
      <alignment horizontal="right"/>
    </xf>
    <xf numFmtId="0" fontId="2" fillId="5" borderId="17" xfId="0" applyFont="1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6" borderId="22" xfId="0" applyFill="1" applyBorder="1"/>
    <xf numFmtId="0" fontId="0" fillId="6" borderId="24" xfId="0" applyFill="1" applyBorder="1"/>
    <xf numFmtId="0" fontId="0" fillId="6" borderId="23" xfId="0" applyFill="1" applyBorder="1"/>
    <xf numFmtId="0" fontId="7" fillId="6" borderId="23" xfId="0" applyFont="1" applyFill="1" applyBorder="1"/>
    <xf numFmtId="0" fontId="7" fillId="6" borderId="26" xfId="0" applyFont="1" applyFill="1" applyBorder="1"/>
    <xf numFmtId="0" fontId="0" fillId="6" borderId="26" xfId="0" applyFill="1" applyBorder="1"/>
    <xf numFmtId="9" fontId="6" fillId="6" borderId="0" xfId="2" applyFont="1" applyFill="1"/>
    <xf numFmtId="0" fontId="6" fillId="6" borderId="0" xfId="0" applyFont="1" applyFill="1"/>
    <xf numFmtId="0" fontId="0" fillId="6" borderId="31" xfId="0" applyFill="1" applyBorder="1" applyAlignment="1">
      <alignment horizontal="right"/>
    </xf>
    <xf numFmtId="0" fontId="0" fillId="6" borderId="32" xfId="0" applyFill="1" applyBorder="1" applyAlignment="1">
      <alignment horizontal="right"/>
    </xf>
    <xf numFmtId="14" fontId="7" fillId="6" borderId="34" xfId="0" applyNumberFormat="1" applyFont="1" applyFill="1" applyBorder="1"/>
    <xf numFmtId="14" fontId="7" fillId="6" borderId="35" xfId="0" applyNumberFormat="1" applyFont="1" applyFill="1" applyBorder="1"/>
    <xf numFmtId="0" fontId="7" fillId="6" borderId="34" xfId="0" applyFont="1" applyFill="1" applyBorder="1" applyAlignment="1">
      <alignment horizontal="left"/>
    </xf>
    <xf numFmtId="0" fontId="7" fillId="6" borderId="35" xfId="0" applyFont="1" applyFill="1" applyBorder="1" applyAlignment="1">
      <alignment horizontal="left"/>
    </xf>
    <xf numFmtId="4" fontId="7" fillId="6" borderId="34" xfId="0" applyNumberFormat="1" applyFont="1" applyFill="1" applyBorder="1"/>
    <xf numFmtId="4" fontId="7" fillId="6" borderId="35" xfId="0" applyNumberFormat="1" applyFont="1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165" fontId="0" fillId="6" borderId="31" xfId="1" applyNumberFormat="1" applyFont="1" applyFill="1" applyBorder="1"/>
    <xf numFmtId="165" fontId="0" fillId="6" borderId="32" xfId="1" applyNumberFormat="1" applyFont="1" applyFill="1" applyBorder="1"/>
    <xf numFmtId="0" fontId="0" fillId="6" borderId="32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  <xf numFmtId="0" fontId="2" fillId="6" borderId="39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2" fontId="0" fillId="6" borderId="32" xfId="0" applyNumberFormat="1" applyFill="1" applyBorder="1" applyAlignment="1">
      <alignment horizontal="center"/>
    </xf>
    <xf numFmtId="2" fontId="0" fillId="6" borderId="35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7" fillId="6" borderId="34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right"/>
    </xf>
    <xf numFmtId="2" fontId="0" fillId="0" borderId="0" xfId="0" applyNumberFormat="1"/>
    <xf numFmtId="0" fontId="10" fillId="6" borderId="1" xfId="0" applyFont="1" applyFill="1" applyBorder="1"/>
    <xf numFmtId="9" fontId="10" fillId="6" borderId="1" xfId="2" applyFont="1" applyFill="1" applyBorder="1"/>
    <xf numFmtId="165" fontId="0" fillId="6" borderId="11" xfId="0" applyNumberFormat="1" applyFill="1" applyBorder="1"/>
    <xf numFmtId="0" fontId="2" fillId="5" borderId="18" xfId="0" applyFont="1" applyFill="1" applyBorder="1" applyAlignment="1">
      <alignment horizontal="left"/>
    </xf>
    <xf numFmtId="165" fontId="7" fillId="6" borderId="34" xfId="1" applyNumberFormat="1" applyFont="1" applyFill="1" applyBorder="1"/>
    <xf numFmtId="165" fontId="7" fillId="6" borderId="35" xfId="1" applyNumberFormat="1" applyFont="1" applyFill="1" applyBorder="1"/>
    <xf numFmtId="14" fontId="0" fillId="6" borderId="47" xfId="0" applyNumberFormat="1" applyFill="1" applyBorder="1" applyAlignment="1">
      <alignment horizontal="left"/>
    </xf>
    <xf numFmtId="0" fontId="0" fillId="6" borderId="25" xfId="0" applyFill="1" applyBorder="1"/>
    <xf numFmtId="14" fontId="0" fillId="6" borderId="36" xfId="0" applyNumberFormat="1" applyFill="1" applyBorder="1" applyAlignment="1">
      <alignment horizontal="left"/>
    </xf>
    <xf numFmtId="0" fontId="0" fillId="6" borderId="47" xfId="0" applyFill="1" applyBorder="1"/>
    <xf numFmtId="0" fontId="2" fillId="6" borderId="50" xfId="0" applyFont="1" applyFill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0" fillId="0" borderId="26" xfId="0" applyBorder="1"/>
    <xf numFmtId="0" fontId="0" fillId="0" borderId="23" xfId="0" applyBorder="1"/>
    <xf numFmtId="165" fontId="0" fillId="0" borderId="61" xfId="0" applyNumberFormat="1" applyBorder="1"/>
    <xf numFmtId="0" fontId="0" fillId="0" borderId="62" xfId="0" applyBorder="1"/>
    <xf numFmtId="0" fontId="0" fillId="0" borderId="61" xfId="0" applyBorder="1"/>
    <xf numFmtId="0" fontId="0" fillId="0" borderId="63" xfId="0" applyBorder="1"/>
    <xf numFmtId="0" fontId="0" fillId="0" borderId="64" xfId="0" applyBorder="1"/>
    <xf numFmtId="14" fontId="0" fillId="0" borderId="64" xfId="0" applyNumberFormat="1" applyBorder="1" applyAlignment="1">
      <alignment horizontal="left"/>
    </xf>
    <xf numFmtId="165" fontId="0" fillId="0" borderId="64" xfId="0" applyNumberFormat="1" applyBorder="1"/>
    <xf numFmtId="0" fontId="0" fillId="0" borderId="65" xfId="0" applyBorder="1"/>
    <xf numFmtId="165" fontId="0" fillId="0" borderId="65" xfId="0" applyNumberFormat="1" applyBorder="1"/>
    <xf numFmtId="165" fontId="0" fillId="0" borderId="58" xfId="0" applyNumberFormat="1" applyBorder="1"/>
    <xf numFmtId="165" fontId="0" fillId="0" borderId="60" xfId="0" applyNumberFormat="1" applyBorder="1"/>
    <xf numFmtId="165" fontId="0" fillId="0" borderId="62" xfId="0" applyNumberFormat="1" applyBorder="1"/>
    <xf numFmtId="165" fontId="0" fillId="0" borderId="63" xfId="0" applyNumberFormat="1" applyBorder="1"/>
    <xf numFmtId="0" fontId="0" fillId="0" borderId="66" xfId="0" pivotButton="1" applyBorder="1"/>
    <xf numFmtId="0" fontId="0" fillId="0" borderId="66" xfId="0" applyBorder="1" applyAlignment="1">
      <alignment horizontal="left"/>
    </xf>
    <xf numFmtId="0" fontId="0" fillId="0" borderId="67" xfId="0" applyBorder="1"/>
    <xf numFmtId="0" fontId="0" fillId="0" borderId="68" xfId="0" applyBorder="1"/>
    <xf numFmtId="14" fontId="0" fillId="0" borderId="66" xfId="0" applyNumberFormat="1" applyBorder="1" applyAlignment="1">
      <alignment horizontal="left"/>
    </xf>
    <xf numFmtId="14" fontId="7" fillId="6" borderId="34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6" xfId="0" applyBorder="1" applyAlignment="1">
      <alignment horizontal="left" indent="1"/>
    </xf>
    <xf numFmtId="165" fontId="0" fillId="0" borderId="20" xfId="0" applyNumberFormat="1" applyBorder="1"/>
    <xf numFmtId="165" fontId="7" fillId="6" borderId="47" xfId="1" applyNumberFormat="1" applyFont="1" applyFill="1" applyBorder="1" applyAlignment="1"/>
    <xf numFmtId="165" fontId="7" fillId="6" borderId="36" xfId="1" applyNumberFormat="1" applyFont="1" applyFill="1" applyBorder="1" applyAlignment="1"/>
    <xf numFmtId="165" fontId="7" fillId="6" borderId="48" xfId="1" applyNumberFormat="1" applyFont="1" applyFill="1" applyBorder="1" applyAlignment="1"/>
    <xf numFmtId="165" fontId="7" fillId="6" borderId="37" xfId="1" applyNumberFormat="1" applyFont="1" applyFill="1" applyBorder="1" applyAlignment="1"/>
    <xf numFmtId="165" fontId="7" fillId="6" borderId="45" xfId="1" applyNumberFormat="1" applyFont="1" applyFill="1" applyBorder="1" applyAlignment="1"/>
    <xf numFmtId="165" fontId="7" fillId="6" borderId="46" xfId="1" applyNumberFormat="1" applyFont="1" applyFill="1" applyBorder="1" applyAlignment="1"/>
    <xf numFmtId="0" fontId="2" fillId="6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6" borderId="58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0" fontId="2" fillId="6" borderId="60" xfId="0" applyFont="1" applyFill="1" applyBorder="1" applyAlignment="1">
      <alignment horizontal="center"/>
    </xf>
    <xf numFmtId="0" fontId="2" fillId="5" borderId="66" xfId="0" applyFont="1" applyFill="1" applyBorder="1"/>
    <xf numFmtId="0" fontId="25" fillId="0" borderId="0" xfId="0" applyFont="1"/>
    <xf numFmtId="0" fontId="25" fillId="6" borderId="59" xfId="0" applyFont="1" applyFill="1" applyBorder="1" applyAlignment="1">
      <alignment horizontal="left"/>
    </xf>
    <xf numFmtId="165" fontId="25" fillId="0" borderId="0" xfId="0" applyNumberFormat="1" applyFont="1"/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left" indent="1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0" xfId="0" applyBorder="1" applyAlignment="1">
      <alignment horizontal="left" indent="1"/>
    </xf>
    <xf numFmtId="0" fontId="0" fillId="0" borderId="81" xfId="0" applyBorder="1" applyAlignment="1">
      <alignment horizontal="left" indent="1"/>
    </xf>
    <xf numFmtId="0" fontId="0" fillId="0" borderId="82" xfId="0" applyBorder="1" applyAlignment="1">
      <alignment horizontal="left" indent="1"/>
    </xf>
    <xf numFmtId="0" fontId="0" fillId="0" borderId="62" xfId="0" applyBorder="1" applyAlignment="1">
      <alignment horizontal="left" indent="1"/>
    </xf>
    <xf numFmtId="0" fontId="2" fillId="6" borderId="1" xfId="0" applyFont="1" applyFill="1" applyBorder="1" applyAlignment="1">
      <alignment horizontal="right"/>
    </xf>
    <xf numFmtId="0" fontId="11" fillId="6" borderId="0" xfId="0" applyFont="1" applyFill="1" applyAlignment="1">
      <alignment horizontal="right"/>
    </xf>
    <xf numFmtId="0" fontId="9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11" fillId="6" borderId="69" xfId="0" applyFont="1" applyFill="1" applyBorder="1" applyAlignment="1">
      <alignment horizontal="left" indent="3"/>
    </xf>
    <xf numFmtId="0" fontId="11" fillId="6" borderId="70" xfId="0" applyFont="1" applyFill="1" applyBorder="1" applyAlignment="1">
      <alignment horizontal="left" indent="3"/>
    </xf>
    <xf numFmtId="0" fontId="0" fillId="6" borderId="0" xfId="0" applyFill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2" fillId="6" borderId="55" xfId="0" applyFont="1" applyFill="1" applyBorder="1" applyAlignment="1">
      <alignment horizontal="center"/>
    </xf>
    <xf numFmtId="0" fontId="2" fillId="6" borderId="54" xfId="0" applyFont="1" applyFill="1" applyBorder="1" applyAlignment="1">
      <alignment horizontal="center"/>
    </xf>
    <xf numFmtId="0" fontId="0" fillId="6" borderId="47" xfId="0" applyFill="1" applyBorder="1" applyAlignment="1">
      <alignment horizontal="left"/>
    </xf>
    <xf numFmtId="0" fontId="0" fillId="6" borderId="36" xfId="0" applyFill="1" applyBorder="1" applyAlignment="1">
      <alignment horizontal="left"/>
    </xf>
    <xf numFmtId="0" fontId="0" fillId="6" borderId="47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2" fillId="6" borderId="1" xfId="0" applyFont="1" applyFill="1" applyBorder="1" applyAlignment="1">
      <alignment horizontal="left" indent="3"/>
    </xf>
    <xf numFmtId="0" fontId="2" fillId="6" borderId="52" xfId="0" applyFont="1" applyFill="1" applyBorder="1" applyAlignment="1">
      <alignment horizontal="center"/>
    </xf>
    <xf numFmtId="0" fontId="2" fillId="6" borderId="53" xfId="0" applyFont="1" applyFill="1" applyBorder="1" applyAlignment="1">
      <alignment horizontal="center"/>
    </xf>
    <xf numFmtId="14" fontId="0" fillId="6" borderId="56" xfId="0" applyNumberFormat="1" applyFill="1" applyBorder="1" applyAlignment="1">
      <alignment horizontal="left"/>
    </xf>
    <xf numFmtId="0" fontId="0" fillId="6" borderId="57" xfId="0" applyFill="1" applyBorder="1" applyAlignment="1">
      <alignment horizontal="left"/>
    </xf>
    <xf numFmtId="14" fontId="0" fillId="6" borderId="47" xfId="0" applyNumberFormat="1" applyFill="1" applyBorder="1" applyAlignment="1">
      <alignment horizontal="left"/>
    </xf>
    <xf numFmtId="14" fontId="0" fillId="6" borderId="36" xfId="0" applyNumberFormat="1" applyFill="1" applyBorder="1" applyAlignment="1">
      <alignment horizontal="left"/>
    </xf>
    <xf numFmtId="0" fontId="0" fillId="6" borderId="2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5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/>
    </xf>
    <xf numFmtId="0" fontId="2" fillId="7" borderId="60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0">
    <dxf>
      <alignment horizontal="righ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0" formatCode="General"/>
      <alignment horizontal="left"/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165" formatCode="_(* #,##0_);_(* \(#,##0\);_(* &quot;-&quot;??_);_(@_)"/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5" formatCode="_(* #,##0_);_(* \(#,##0\);_(* &quot;-&quot;??_);_(@_)"/>
    </dxf>
    <dxf>
      <alignment wrapText="1"/>
    </dxf>
    <dxf>
      <alignment wrapText="1"/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5" formatCode="_(* #,##0_);_(* \(#,##0\);_(* &quot;-&quot;??_);_(@_)"/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8"/>
          <c:order val="8"/>
          <c:tx>
            <c:strRef>
              <c:f>Totals!$AG$13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Totals!$AH$4:$AO$4</c15:sqref>
                  </c15:fullRef>
                </c:ext>
              </c:extLst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Totals!$AH$13:$AO$13</c15:sqref>
                  </c15:fullRef>
                </c:ext>
              </c:extLst>
              <c:f>Totals!$AH$13:$AN$13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8-445F-A5DB-1117E5586C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Totals!$AH$5:$AO$5</c15:sqref>
                        </c15:fullRef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1FB8-445F-A5DB-1117E5586C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Totals!$AH$6:$AO$6</c15:sqref>
                        </c15:fullRef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B8-445F-A5DB-1117E5586C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Totals!$AH$7:$AO$7</c15:sqref>
                        </c15:fullRef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FB8-445F-A5DB-1117E5586C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Totals!$AH$8:$AO$8</c15:sqref>
                        </c15:fullRef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FB8-445F-A5DB-1117E5586C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Totals!$AH$9:$AO$9</c15:sqref>
                        </c15:fullRef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FB8-445F-A5DB-1117E5586C5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Totals!$AH$10:$AO$10</c15:sqref>
                        </c15:fullRef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FB8-445F-A5DB-1117E5586C5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7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Totals!$AH$11:$AO$11</c15:sqref>
                        </c15:fullRef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FB8-445F-A5DB-1117E5586C5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Totals!$AH$12:$AO$12</c15:sqref>
                        </c15:fullRef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FB8-445F-A5DB-1117E5586C56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8"/>
          <c:tx>
            <c:strRef>
              <c:f>Totals!$P$13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Totals!$Z$13:$AD$13</c:f>
              <c:numCache>
                <c:formatCode>0.00</c:formatCode>
                <c:ptCount val="5"/>
                <c:pt idx="0">
                  <c:v>34.630773749060332</c:v>
                </c:pt>
                <c:pt idx="1">
                  <c:v>24.8234330441114</c:v>
                </c:pt>
                <c:pt idx="2">
                  <c:v>27.022648127790106</c:v>
                </c:pt>
                <c:pt idx="3">
                  <c:v>31.520910502857973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6C-40F3-913C-B353F37001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6C-40F3-913C-B353F370019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6C-40F3-913C-B353F370019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26C-40F3-913C-B353F370019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6C-40F3-913C-B353F370019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6C-40F3-913C-B353F370019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6C-40F3-913C-B353F370019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6C-40F3-913C-B353F370019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6C-40F3-913C-B353F370019E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8"/>
          <c:order val="8"/>
          <c:tx>
            <c:strRef>
              <c:f>Totals!$P$13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EA0-4BFD-8340-83CCD90D23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Totals!$Q$13:$W$13</c:f>
              <c:numCache>
                <c:formatCode>0.00</c:formatCode>
                <c:ptCount val="7"/>
                <c:pt idx="0" formatCode="_(* #,##0.00_);_(* \(#,##0.00\);_(* &quot;-&quot;??_);_(@_)">
                  <c:v>44.485125858123567</c:v>
                </c:pt>
                <c:pt idx="1">
                  <c:v>38.691955203945341</c:v>
                </c:pt>
                <c:pt idx="2">
                  <c:v>44.169174852569327</c:v>
                </c:pt>
                <c:pt idx="3">
                  <c:v>17.232939429561345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AD5-499C-B648-702D71923C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BAD5-499C-B648-702D71923C47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BAD5-499C-B648-702D71923C47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AD5-499C-B648-702D71923C47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AD5-499C-B648-702D71923C47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AD5-499C-B648-702D71923C47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AD5-499C-B648-702D71923C47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BAD5-499C-B648-702D71923C4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BAD5-499C-B648-702D71923C4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AD5-499C-B648-702D71923C4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BAD5-499C-B648-702D71923C47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BAD5-499C-B648-702D71923C4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AD5-499C-B648-702D71923C4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AD5-499C-B648-702D71923C4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AD5-499C-B648-702D71923C4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AD5-499C-B648-702D71923C4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AD5-499C-B648-702D71923C4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AD5-499C-B648-702D71923C47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Overall!$H$7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Overall!$I$7</c:f>
              <c:numCache>
                <c:formatCode>0%</c:formatCode>
                <c:ptCount val="1"/>
                <c:pt idx="0">
                  <c:v>0.42087533778364572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D-4CBD-AC0A-80E1F6F7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Overall!$H$8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Overall!$I$8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D-4CBD-AC0A-80E1F6F7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Overall!$H$28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Overall!$I$28</c:f>
              <c:numCache>
                <c:formatCode>0%</c:formatCode>
                <c:ptCount val="1"/>
                <c:pt idx="0">
                  <c:v>0.76672482033562173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5-42AD-8B48-09C4798C4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Overall!$H$8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Overall!$I$8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5-42AD-8B48-09C4798C4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Totals!$AG$5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Totals!$AH$5:$AN$5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2F-44B2-87CB-7B57331F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BF2F-44B2-87CB-7B57331FFB4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2F-44B2-87CB-7B57331FFB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2F-44B2-87CB-7B57331FFB4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2F-44B2-87CB-7B57331FFB4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2F-44B2-87CB-7B57331FFB4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F2F-44B2-87CB-7B57331FFB4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F2F-44B2-87CB-7B57331FFB4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Totals!$AG$13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spPr>
                  <a:solidFill>
                    <a:schemeClr val="tx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Totals!$AH$13:$AN$13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F2F-44B2-87CB-7B57331FFB4E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Totals!$P$5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AD-4A69-A69A-E5C18F2D784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2AD-4A69-A69A-E5C18F2D784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EA-442E-AD81-27BB574A94B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EA-442E-AD81-27BB574A94B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EA-442E-AD81-27BB574A94B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EA-442E-AD81-27BB574A94B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EA-442E-AD81-27BB574A94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Totals!$Q$5:$W$5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31.212020033388981</c:v>
                </c:pt>
                <c:pt idx="2">
                  <c:v>18.055335968379445</c:v>
                </c:pt>
                <c:pt idx="3">
                  <c:v>48.837944664031617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D-4A69-A69A-E5C18F2D7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Totals!$P$5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Totals!$Z$5:$AD$5</c:f>
              <c:numCache>
                <c:formatCode>_(* #,##0.00_);_(* \(#,##0.00\);_(* "-"??_);_(@_)</c:formatCode>
                <c:ptCount val="5"/>
                <c:pt idx="0">
                  <c:v>14.4802304268133</c:v>
                </c:pt>
                <c:pt idx="1">
                  <c:v>15.79793775423328</c:v>
                </c:pt>
                <c:pt idx="2">
                  <c:v>20.772643700939106</c:v>
                </c:pt>
                <c:pt idx="3">
                  <c:v>16.520455621466567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2-475F-B225-777E8199B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'1'!$H$7</c:f>
              <c:numCache>
                <c:formatCode>0%</c:formatCode>
                <c:ptCount val="1"/>
                <c:pt idx="0">
                  <c:v>0.32146578156163486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1-49A3-97C1-4B98E53FF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21-49A3-97C1-4B98E53FF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Totals!$AG$6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Totals!$AH$6:$AN$6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13-4230-8A30-830E7D798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B213-4230-8A30-830E7D79882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213-4230-8A30-830E7D79882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213-4230-8A30-830E7D7988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213-4230-8A30-830E7D79882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13-4230-8A30-830E7D79882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213-4230-8A30-830E7D79882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13-4230-8A30-830E7D79882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Totals!$P$6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365-40E6-9D57-3B92331136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2185-497E-8307-C318D4E8A47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22EA-4101-BC00-1314E5707B1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2EA-4101-BC00-1314E5707B1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BE6-4D96-959D-D735131185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Totals!$Q$6:$W$6</c:f>
              <c:numCache>
                <c:formatCode>_(* #,##0.00_);_(* \(#,##0.00\);_(* "-"??_);_(@_)</c:formatCode>
                <c:ptCount val="7"/>
                <c:pt idx="0">
                  <c:v>44.485125858123567</c:v>
                </c:pt>
                <c:pt idx="1">
                  <c:v>39.954233409610985</c:v>
                </c:pt>
                <c:pt idx="2">
                  <c:v>43.04347826086957</c:v>
                </c:pt>
                <c:pt idx="3">
                  <c:v>17.684210526315788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E6-4D96-959D-D73513118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8BE6-4D96-959D-D7351311856C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8BE6-4D96-959D-D7351311856C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8BE6-4D96-959D-D7351311856C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8BE6-4D96-959D-D7351311856C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8BE6-4D96-959D-D7351311856C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8BE6-4D96-959D-D7351311856C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8BE6-4D96-959D-D7351311856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BE6-4D96-959D-D7351311856C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  <a:r>
              <a:rPr lang="en-US" baseline="0"/>
              <a:t> </a:t>
            </a:r>
            <a:r>
              <a:rPr lang="en-US"/>
              <a:t>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Totals!$P$6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Totals!$Z$6:$AD$6</c:f>
              <c:numCache>
                <c:formatCode>_(* #,##0.00_);_(* \(#,##0.00\);_(* "-"??_);_(@_)</c:formatCode>
                <c:ptCount val="5"/>
                <c:pt idx="0">
                  <c:v>33.204649766224854</c:v>
                </c:pt>
                <c:pt idx="1">
                  <c:v>37.45126470114387</c:v>
                </c:pt>
                <c:pt idx="2">
                  <c:v>37.987744435433001</c:v>
                </c:pt>
                <c:pt idx="3">
                  <c:v>33.523835442463827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FD-40DE-8D2B-7AA402CABF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3FD-40DE-8D2B-7AA402CABFA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3FD-40DE-8D2B-7AA402CABFA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FD-40DE-8D2B-7AA402CABFA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FD-40DE-8D2B-7AA402CABFA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FD-40DE-8D2B-7AA402CABFA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FD-40DE-8D2B-7AA402CABFA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FD-40DE-8D2B-7AA402CABFAC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'3'!$H$7</c:f>
              <c:numCache>
                <c:formatCode>0%</c:formatCode>
                <c:ptCount val="1"/>
                <c:pt idx="0">
                  <c:v>0.44870242214532874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7-4D80-BE5E-A7667AC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'3'!$G$8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'3'!$H$8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7-4D80-BE5E-A7667AC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2"/>
          <c:order val="2"/>
          <c:tx>
            <c:strRef>
              <c:f>Totals!$AG$7</c:f>
              <c:strCache>
                <c:ptCount val="1"/>
                <c:pt idx="0">
                  <c:v>        FS04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Totals!$AH$4:$AO$4</c15:sqref>
                  </c15:fullRef>
                </c:ext>
              </c:extLst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Totals!$AH$7:$AO$7</c15:sqref>
                  </c15:fullRef>
                </c:ext>
              </c:extLst>
              <c:f>Totals!$AH$7:$AN$7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337-4B7C-833A-D42B3382A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Totals!$AH$5:$AO$5</c15:sqref>
                        </c15:fullRef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D-F337-4B7C-833A-D42B3382A6A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Totals!$AH$6:$AO$6</c15:sqref>
                        </c15:fullRef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337-4B7C-833A-D42B3382A6A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Totals!$AH$8:$AO$8</c15:sqref>
                        </c15:fullRef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337-4B7C-833A-D42B3382A6A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Totals!$AH$9:$AO$9</c15:sqref>
                        </c15:fullRef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337-4B7C-833A-D42B3382A6A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Totals!$AH$10:$AO$10</c15:sqref>
                        </c15:fullRef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337-4B7C-833A-D42B3382A6A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Totals!$AH$11:$AO$11</c15:sqref>
                        </c15:fullRef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F337-4B7C-833A-D42B3382A6A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Totals!$AH$12:$AO$12</c15:sqref>
                        </c15:fullRef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F337-4B7C-833A-D42B3382A6A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Totals!$P$7</c:f>
              <c:strCache>
                <c:ptCount val="1"/>
                <c:pt idx="0">
                  <c:v>        FS04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Totals!$Z$7:$AD$7</c:f>
              <c:numCache>
                <c:formatCode>_(* #,##0.00_);_(* \(#,##0.00\);_(* "-"??_);_(@_)</c:formatCode>
                <c:ptCount val="5"/>
                <c:pt idx="0">
                  <c:v>29.979160464423938</c:v>
                </c:pt>
                <c:pt idx="1">
                  <c:v>25.446686545084713</c:v>
                </c:pt>
                <c:pt idx="2">
                  <c:v>42.82010151838098</c:v>
                </c:pt>
                <c:pt idx="3">
                  <c:v>39.450302096907947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A782-460A-8CED-82A5D0D968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782-460A-8CED-82A5D0D968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782-460A-8CED-82A5D0D9683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82-460A-8CED-82A5D0D9683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82-460A-8CED-82A5D0D9683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782-460A-8CED-82A5D0D9683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782-460A-8CED-82A5D0D9683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782-460A-8CED-82A5D0D96836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2"/>
          <c:tx>
            <c:strRef>
              <c:f>Totals!$P$7</c:f>
              <c:strCache>
                <c:ptCount val="1"/>
                <c:pt idx="0">
                  <c:v>        FS04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6225-4CB0-A246-A43795EDEF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96F1-480B-AD4C-28373C5D98E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788-4E58-976D-0439A192C1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225-4CB0-A246-A43795EDEF18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788-4E58-976D-0439A192C131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145-4E3C-8117-A89839329995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145-4E3C-8117-A898393299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Totals!$Q$7:$W$7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37.160899216973988</c:v>
                </c:pt>
                <c:pt idx="2">
                  <c:v>20.840612475593463</c:v>
                </c:pt>
                <c:pt idx="3">
                  <c:v>4.8695652173913047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225-4CB0-A246-A43795EDEF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6225-4CB0-A246-A43795EDEF18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6225-4CB0-A246-A43795EDEF18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6225-4CB0-A246-A43795EDEF18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6225-4CB0-A246-A43795EDEF18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6225-4CB0-A246-A43795EDEF18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6225-4CB0-A246-A43795EDEF18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6225-4CB0-A246-A43795EDEF1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6225-4CB0-A246-A43795EDEF1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225-4CB0-A246-A43795EDEF1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225-4CB0-A246-A43795EDEF1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225-4CB0-A246-A43795EDEF1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225-4CB0-A246-A43795EDEF1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225-4CB0-A246-A43795EDEF1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225-4CB0-A246-A43795EDEF18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'4'!$H$7</c:f>
              <c:numCache>
                <c:formatCode>0%</c:formatCode>
                <c:ptCount val="1"/>
                <c:pt idx="0">
                  <c:v>0.38212494300045602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C-4D81-B998-B9E66B5F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'4'!$G$8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'4'!$H$8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C-4D81-B998-B9E66B5F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3"/>
          <c:order val="3"/>
          <c:tx>
            <c:strRef>
              <c:f>Totals!$AG$8</c:f>
              <c:strCache>
                <c:ptCount val="1"/>
                <c:pt idx="0">
                  <c:v>        FS05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Totals!$AH$8:$AN$8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5E-4224-94F5-02CEBA5FC3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215E-4224-94F5-02CEBA5FC3F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15E-4224-94F5-02CEBA5FC3F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15E-4224-94F5-02CEBA5FC3F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15E-4224-94F5-02CEBA5FC3F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15E-4224-94F5-02CEBA5FC3F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15E-4224-94F5-02CEBA5FC3F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15E-4224-94F5-02CEBA5FC3F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Totals!$P$8</c:f>
              <c:strCache>
                <c:ptCount val="1"/>
                <c:pt idx="0">
                  <c:v>        FS05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2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Totals!$Z$8:$AD$8</c:f>
              <c:numCache>
                <c:formatCode>_(* #,##0.00_);_(* \(#,##0.00\);_(* "-"??_);_(@_)</c:formatCode>
                <c:ptCount val="5"/>
                <c:pt idx="0">
                  <c:v>31.381503832979941</c:v>
                </c:pt>
                <c:pt idx="1">
                  <c:v>22.352662561743013</c:v>
                </c:pt>
                <c:pt idx="2">
                  <c:v>27.519403532359593</c:v>
                </c:pt>
                <c:pt idx="3">
                  <c:v>34.44797414033328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BDFA-4594-9C5F-7AD3BFBC87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DFA-4594-9C5F-7AD3BFBC875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DFA-4594-9C5F-7AD3BFBC875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DFA-4594-9C5F-7AD3BFBC875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FA-4594-9C5F-7AD3BFBC875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DFA-4594-9C5F-7AD3BFBC875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DFA-4594-9C5F-7AD3BFBC875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DFA-4594-9C5F-7AD3BFBC875B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3"/>
          <c:order val="3"/>
          <c:tx>
            <c:strRef>
              <c:f>Totals!$P$8</c:f>
              <c:strCache>
                <c:ptCount val="1"/>
                <c:pt idx="0">
                  <c:v>        FS05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2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9E4A-4FFB-9FBC-11F7F05C88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3CB-4397-8531-AE0D9B1C094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E4A-4FFB-9FBC-11F7F05C88C5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7CA-40CC-9DD0-773DE30ACEC2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7CA-40CC-9DD0-773DE30ACE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Totals!$Q$8:$W$8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32.756869565217386</c:v>
                </c:pt>
                <c:pt idx="2">
                  <c:v>46.968358208955223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5-9E4A-4FFB-9FBC-11F7F05C88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9E4A-4FFB-9FBC-11F7F05C88C5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9E4A-4FFB-9FBC-11F7F05C88C5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9E4A-4FFB-9FBC-11F7F05C88C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9E4A-4FFB-9FBC-11F7F05C88C5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9E4A-4FFB-9FBC-11F7F05C88C5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9E4A-4FFB-9FBC-11F7F05C88C5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9E4A-4FFB-9FBC-11F7F05C88C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9E4A-4FFB-9FBC-11F7F05C88C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E4A-4FFB-9FBC-11F7F05C88C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9E4A-4FFB-9FBC-11F7F05C88C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9E4A-4FFB-9FBC-11F7F05C88C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E4A-4FFB-9FBC-11F7F05C88C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E4A-4FFB-9FBC-11F7F05C88C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E4A-4FFB-9FBC-11F7F05C88C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E4A-4FFB-9FBC-11F7F05C88C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E4A-4FFB-9FBC-11F7F05C88C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'5'!$H$7</c:f>
              <c:numCache>
                <c:formatCode>0%</c:formatCode>
                <c:ptCount val="1"/>
                <c:pt idx="0">
                  <c:v>0.72777777777777775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A-4B77-92CB-27303B3D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'5'!$G$8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'5'!$H$8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A-4B77-92CB-27303B3D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4"/>
          <c:order val="4"/>
          <c:tx>
            <c:strRef>
              <c:f>Totals!$AG$9</c:f>
              <c:strCache>
                <c:ptCount val="1"/>
                <c:pt idx="0">
                  <c:v>        FS09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Totals!$AH$9:$AN$9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C53-445D-A13F-CB5B2B5DB8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7C53-445D-A13F-CB5B2B5DB8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7C53-445D-A13F-CB5B2B5DB8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C53-445D-A13F-CB5B2B5DB8F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C53-445D-A13F-CB5B2B5DB8F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C53-445D-A13F-CB5B2B5DB8F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7C53-445D-A13F-CB5B2B5DB8F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7C53-445D-A13F-CB5B2B5DB8F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Totals!$P$9</c:f>
              <c:strCache>
                <c:ptCount val="1"/>
                <c:pt idx="0">
                  <c:v>        FS09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Totals!$Z$9:$AD$9</c:f>
              <c:numCache>
                <c:formatCode>_(* #,##0.00_);_(* \(#,##0.00\);_(* "-"??_);_(@_)</c:formatCode>
                <c:ptCount val="5"/>
                <c:pt idx="0">
                  <c:v>22.902199074074073</c:v>
                </c:pt>
                <c:pt idx="1">
                  <c:v>16.064189189189189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4415-41A9-864A-D9FDB62754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415-41A9-864A-D9FDB62754A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5-41A9-864A-D9FDB62754A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415-41A9-864A-D9FDB62754A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5-41A9-864A-D9FDB62754A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5-41A9-864A-D9FDB62754A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415-41A9-864A-D9FDB62754A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5-41A9-864A-D9FDB62754A0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4"/>
          <c:order val="4"/>
          <c:tx>
            <c:strRef>
              <c:f>Totals!$P$9</c:f>
              <c:strCache>
                <c:ptCount val="1"/>
                <c:pt idx="0">
                  <c:v>        FS09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510-4AA1-B9D8-F17E8B3C1B7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C03-46B9-AEE0-BA45F1469A70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136-4CD3-AA12-C852E7DF81B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5CC1-468C-BF6F-F53356671D4E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6B14-411A-8DC4-CDF497BEF72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7F1-4616-8D89-3E34FC36B8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Totals!$Q$9:$W$9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6-0510-4AA1-B9D8-F17E8B3C1B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0510-4AA1-B9D8-F17E8B3C1B79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0510-4AA1-B9D8-F17E8B3C1B79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0510-4AA1-B9D8-F17E8B3C1B79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0510-4AA1-B9D8-F17E8B3C1B79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0510-4AA1-B9D8-F17E8B3C1B79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0510-4AA1-B9D8-F17E8B3C1B79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0510-4AA1-B9D8-F17E8B3C1B7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0510-4AA1-B9D8-F17E8B3C1B7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510-4AA1-B9D8-F17E8B3C1B7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0510-4AA1-B9D8-F17E8B3C1B79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0510-4AA1-B9D8-F17E8B3C1B7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510-4AA1-B9D8-F17E8B3C1B7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510-4AA1-B9D8-F17E8B3C1B7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510-4AA1-B9D8-F17E8B3C1B7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510-4AA1-B9D8-F17E8B3C1B7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510-4AA1-B9D8-F17E8B3C1B79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'9'!$H$7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4F4D-A4E2-73576708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'9'!$G$8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'9'!$H$8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2-4F4D-A4E2-73576708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Totals!$AG$10</c:f>
              <c:strCache>
                <c:ptCount val="1"/>
                <c:pt idx="0">
                  <c:v>        FS10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Totals!$AH$10:$AN$10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47-4CB7-AAEF-4FF4CEE0D9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5047-4CB7-AAEF-4FF4CEE0D99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047-4CB7-AAEF-4FF4CEE0D99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5047-4CB7-AAEF-4FF4CEE0D99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5047-4CB7-AAEF-4FF4CEE0D99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5047-4CB7-AAEF-4FF4CEE0D99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5047-4CB7-AAEF-4FF4CEE0D99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5047-4CB7-AAEF-4FF4CEE0D99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Totals!$P$10</c:f>
              <c:strCache>
                <c:ptCount val="1"/>
                <c:pt idx="0">
                  <c:v>        FS10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F049-4F84-9D31-2E293048C0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69F1-4FD1-8BBD-37CBB665EC5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3-4E4B-9484-0350EE4BAF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Totals!$Q$10:$W$10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44.677696335078529</c:v>
                </c:pt>
                <c:pt idx="2">
                  <c:v>53.375172413793102</c:v>
                </c:pt>
                <c:pt idx="3">
                  <c:v>6.729712987817468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7-F049-4F84-9D31-2E293048C0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F049-4F84-9D31-2E293048C08D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F049-4F84-9D31-2E293048C08D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F049-4F84-9D31-2E293048C08D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F049-4F84-9D31-2E293048C08D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F049-4F84-9D31-2E293048C08D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F049-4F84-9D31-2E293048C08D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F049-4F84-9D31-2E293048C08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F049-4F84-9D31-2E293048C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049-4F84-9D31-2E293048C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F049-4F84-9D31-2E293048C08D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F049-4F84-9D31-2E293048C08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49-4F84-9D31-2E293048C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049-4F84-9D31-2E293048C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049-4F84-9D31-2E293048C08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049-4F84-9D31-2E293048C08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049-4F84-9D31-2E293048C08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Totals!$P$10</c:f>
              <c:strCache>
                <c:ptCount val="1"/>
                <c:pt idx="0">
                  <c:v>        FS10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Totals!$Z$10:$AD$10</c:f>
              <c:numCache>
                <c:formatCode>_(* #,##0.00_);_(* \(#,##0.00\);_(* "-"??_);_(@_)</c:formatCode>
                <c:ptCount val="5"/>
                <c:pt idx="0">
                  <c:v>36.346468588694449</c:v>
                </c:pt>
                <c:pt idx="1">
                  <c:v>20.093620674295618</c:v>
                </c:pt>
                <c:pt idx="2">
                  <c:v>25.109947643979059</c:v>
                </c:pt>
                <c:pt idx="3">
                  <c:v>28.38668056175872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C632-47D1-B3D9-A5D5DDDC4D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632-47D1-B3D9-A5D5DDDC4DB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632-47D1-B3D9-A5D5DDDC4DB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632-47D1-B3D9-A5D5DDDC4DB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32-47D1-B3D9-A5D5DDDC4DB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32-47D1-B3D9-A5D5DDDC4DB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632-47D1-B3D9-A5D5DDDC4DB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632-47D1-B3D9-A5D5DDDC4DB2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'10'!$H$7</c:f>
              <c:numCache>
                <c:formatCode>0%</c:formatCode>
                <c:ptCount val="1"/>
                <c:pt idx="0">
                  <c:v>0.50068747135536018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B-42ED-9F79-9093FC95A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'10'!$G$8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'10'!$H$8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B-42ED-9F79-9093FC95A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6"/>
          <c:order val="6"/>
          <c:tx>
            <c:strRef>
              <c:f>Totals!$AG$11</c:f>
              <c:strCache>
                <c:ptCount val="1"/>
                <c:pt idx="0">
                  <c:v>        FS12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Totals!$AH$11:$AN$11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36-421C-961D-D017CCC77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7436-421C-961D-D017CCC7779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436-421C-961D-D017CCC7779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436-421C-961D-D017CCC7779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436-421C-961D-D017CCC7779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436-421C-961D-D017CCC7779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436-421C-961D-D017CCC7779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436-421C-961D-D017CCC7779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6"/>
          <c:order val="6"/>
          <c:tx>
            <c:strRef>
              <c:f>Totals!$P$11</c:f>
              <c:strCache>
                <c:ptCount val="1"/>
                <c:pt idx="0">
                  <c:v>        FS12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014-4E62-A31B-46E2D2BE2EB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2369-4EAE-9884-A687DF2F3EB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369-4EAE-9884-A687DF2F3EB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7827-4669-8F0C-2D21F53E68F2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CA-4035-8DC8-725DF7A595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Totals!$Q$11:$W$11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35.265508684863519</c:v>
                </c:pt>
                <c:pt idx="2">
                  <c:v>51.46153846153846</c:v>
                </c:pt>
                <c:pt idx="3">
                  <c:v>68.34319526627219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8-B014-4E62-A31B-46E2D2BE2E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B014-4E62-A31B-46E2D2BE2EB5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B014-4E62-A31B-46E2D2BE2EB5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014-4E62-A31B-46E2D2BE2EB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014-4E62-A31B-46E2D2BE2EB5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014-4E62-A31B-46E2D2BE2EB5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014-4E62-A31B-46E2D2BE2EB5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B014-4E62-A31B-46E2D2BE2E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B014-4E62-A31B-46E2D2BE2EB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014-4E62-A31B-46E2D2BE2EB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B014-4E62-A31B-46E2D2BE2EB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B014-4E62-A31B-46E2D2BE2E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14-4E62-A31B-46E2D2BE2EB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014-4E62-A31B-46E2D2BE2EB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014-4E62-A31B-46E2D2BE2EB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014-4E62-A31B-46E2D2BE2EB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014-4E62-A31B-46E2D2BE2EB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Totals!$P$11</c:f>
              <c:strCache>
                <c:ptCount val="1"/>
                <c:pt idx="0">
                  <c:v>        FS12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Totals!$Z$11:$AD$11</c:f>
              <c:numCache>
                <c:formatCode>_(* #,##0.00_);_(* \(#,##0.00\);_(* "-"??_);_(@_)</c:formatCode>
                <c:ptCount val="5"/>
                <c:pt idx="0">
                  <c:v>43.222923749392912</c:v>
                </c:pt>
                <c:pt idx="1">
                  <c:v>37.242756503892167</c:v>
                </c:pt>
                <c:pt idx="2">
                  <c:v>25.259246456965091</c:v>
                </c:pt>
                <c:pt idx="3">
                  <c:v>43.466552069904026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6-CCC1-4AF2-B076-F3CD688C02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CC1-4AF2-B076-F3CD688C021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C1-4AF2-B076-F3CD688C021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CC1-4AF2-B076-F3CD688C021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C1-4AF2-B076-F3CD688C021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C1-4AF2-B076-F3CD688C021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C1-4AF2-B076-F3CD688C021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CC1-4AF2-B076-F3CD688C0217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'12'!$G$7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'12'!$H$7</c:f>
              <c:numCache>
                <c:formatCode>0%</c:formatCode>
                <c:ptCount val="1"/>
                <c:pt idx="0">
                  <c:v>0.38101078534439126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5-4C2F-8163-E5F277D1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'12'!$G$8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'12'!$H$8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5-4C2F-8163-E5F277D1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7"/>
          <c:order val="7"/>
          <c:tx>
            <c:strRef>
              <c:f>Totals!$AG$12</c:f>
              <c:strCache>
                <c:ptCount val="1"/>
                <c:pt idx="0">
                  <c:v>        FS14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Totals!$AH$12:$AN$12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ED-4A58-B826-CCF79CE5E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9DED-4A58-B826-CCF79CE5E6A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DED-4A58-B826-CCF79CE5E6A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DED-4A58-B826-CCF79CE5E6A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DED-4A58-B826-CCF79CE5E6A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DED-4A58-B826-CCF79CE5E6A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DED-4A58-B826-CCF79CE5E6A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DED-4A58-B826-CCF79CE5E6A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7"/>
          <c:order val="7"/>
          <c:tx>
            <c:strRef>
              <c:f>Totals!$P$12</c:f>
              <c:strCache>
                <c:ptCount val="1"/>
                <c:pt idx="0">
                  <c:v>        FS14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14C-4856-B17C-E26FB250346E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42A0-4828-BBBF-7B0BB50AFB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E14C-4856-B17C-E26FB250346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999-43DB-AA18-E2EB08FF163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999-43DB-AA18-E2EB08FF16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Totals!$Q$12:$W$12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14.228893058161351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9-E14C-4856-B17C-E26FB25034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E14C-4856-B17C-E26FB250346E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E14C-4856-B17C-E26FB250346E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E14C-4856-B17C-E26FB250346E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E14C-4856-B17C-E26FB250346E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E14C-4856-B17C-E26FB250346E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E14C-4856-B17C-E26FB250346E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E14C-4856-B17C-E26FB250346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E14C-4856-B17C-E26FB250346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14C-4856-B17C-E26FB25034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E14C-4856-B17C-E26FB250346E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E14C-4856-B17C-E26FB250346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4C-4856-B17C-E26FB25034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14C-4856-B17C-E26FB25034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14C-4856-B17C-E26FB25034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14C-4856-B17C-E26FB250346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14C-4856-B17C-E26FB250346E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Totals!$P$12</c:f>
              <c:strCache>
                <c:ptCount val="1"/>
                <c:pt idx="0">
                  <c:v>        FS14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Totals!$Z$12:$AD$12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7-8AFF-4FFF-9D48-83AE8E7815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AFF-4FFF-9D48-83AE8E7815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AFF-4FFF-9D48-83AE8E78153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AFF-4FFF-9D48-83AE8E78153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AFF-4FFF-9D48-83AE8E78153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AFF-4FFF-9D48-83AE8E78153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AFF-4FFF-9D48-83AE8E78153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AFF-4FFF-9D48-83AE8E781536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'14'!$G$7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'14'!$H$7</c:f>
              <c:numCache>
                <c:formatCode>0%</c:formatCode>
                <c:ptCount val="1"/>
                <c:pt idx="0">
                  <c:v>0.60566666666666669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0-46A6-B740-83C28D2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'14'!$G$8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'14'!$H$8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0-46A6-B740-83C28D2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640772</xdr:colOff>
      <xdr:row>18</xdr:row>
      <xdr:rowOff>103909</xdr:rowOff>
    </xdr:from>
    <xdr:to>
      <xdr:col>9</xdr:col>
      <xdr:colOff>597477</xdr:colOff>
      <xdr:row>18</xdr:row>
      <xdr:rowOff>103909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6648840-6AC4-426B-94A7-4B0E781F3BA6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8659</xdr:colOff>
      <xdr:row>9</xdr:row>
      <xdr:rowOff>112568</xdr:rowOff>
    </xdr:from>
    <xdr:to>
      <xdr:col>4</xdr:col>
      <xdr:colOff>372340</xdr:colOff>
      <xdr:row>19</xdr:row>
      <xdr:rowOff>106853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20D2C-9228-4C53-ADA6-BCECF04C0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9</xdr:row>
      <xdr:rowOff>114300</xdr:rowOff>
    </xdr:from>
    <xdr:to>
      <xdr:col>10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967E2-34A5-4784-AAAA-A94947996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8659</xdr:colOff>
      <xdr:row>9</xdr:row>
      <xdr:rowOff>114300</xdr:rowOff>
    </xdr:from>
    <xdr:to>
      <xdr:col>4</xdr:col>
      <xdr:colOff>372340</xdr:colOff>
      <xdr:row>19</xdr:row>
      <xdr:rowOff>108585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FC185C-E136-4A4B-99FD-1641C7B23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454343</xdr:colOff>
      <xdr:row>0</xdr:row>
      <xdr:rowOff>0</xdr:rowOff>
    </xdr:from>
    <xdr:to>
      <xdr:col>10</xdr:col>
      <xdr:colOff>790575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37704-E528-4CFB-98D6-07B35B530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572366</xdr:colOff>
      <xdr:row>21</xdr:row>
      <xdr:rowOff>183573</xdr:rowOff>
    </xdr:from>
    <xdr:to>
      <xdr:col>10</xdr:col>
      <xdr:colOff>908598</xdr:colOff>
      <xdr:row>30</xdr:row>
      <xdr:rowOff>72131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6BC699-6BE8-46E9-919F-9107C6B2E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649432</xdr:colOff>
      <xdr:row>18</xdr:row>
      <xdr:rowOff>103909</xdr:rowOff>
    </xdr:from>
    <xdr:to>
      <xdr:col>8</xdr:col>
      <xdr:colOff>606137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0C82AC-B259-475D-A448-1F4CCBBD62CE}"/>
            </a:ext>
          </a:extLst>
        </xdr:cNvPr>
        <xdr:cNvCxnSpPr/>
      </xdr:nvCxnSpPr>
      <xdr:spPr>
        <a:xfrm>
          <a:off x="389659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FCAB9-F106-4EEE-B0EF-E50868F1A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752475</xdr:colOff>
      <xdr:row>19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055FCC-11D7-4792-945A-3819C829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506729</xdr:colOff>
      <xdr:row>9</xdr:row>
      <xdr:rowOff>114301</xdr:rowOff>
    </xdr:from>
    <xdr:to>
      <xdr:col>9</xdr:col>
      <xdr:colOff>15240</xdr:colOff>
      <xdr:row>19</xdr:row>
      <xdr:rowOff>93347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56758A-B8D5-4C30-A408-3739D747F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D2D53F-55F2-4C9C-903D-2AF57E014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D1F2D4E-AA61-4530-A51D-0B07B1299B73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CD1D26-9BD5-4C61-ABA7-8D4CA5904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752475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475BD-FBBF-43E0-A6E2-E88C906BF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506729</xdr:colOff>
      <xdr:row>9</xdr:row>
      <xdr:rowOff>114301</xdr:rowOff>
    </xdr:from>
    <xdr:to>
      <xdr:col>9</xdr:col>
      <xdr:colOff>15240</xdr:colOff>
      <xdr:row>19</xdr:row>
      <xdr:rowOff>93347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B0075E-46D9-41C6-9762-3A719A019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543365-B004-4038-BECF-2856F230A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640772</xdr:colOff>
      <xdr:row>18</xdr:row>
      <xdr:rowOff>103909</xdr:rowOff>
    </xdr:from>
    <xdr:to>
      <xdr:col>8</xdr:col>
      <xdr:colOff>597477</xdr:colOff>
      <xdr:row>18</xdr:row>
      <xdr:rowOff>103909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AF5DA19-0B86-64CB-F644-940224EF49CD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1278A2-362C-4BDE-9E54-E5EF95E46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DC6AAB-B244-4070-A744-32E83B628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742950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DF9F1-F81D-4D4B-B5AE-06286311E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D7BA7-8FA8-451E-9B87-A27E955DE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F0D5D4-B221-42E7-A6B8-4CB82322C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4DF205-8878-48F6-A5E8-D22397044C70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4EDE44-0326-4626-8734-8F0DAE0BB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531B24-8574-46A7-8170-2C86352DD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FF2B2-FDC7-45C7-9F86-7C727EDAB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10D09-0D0D-40ED-87D7-BE2E34A9B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649431</xdr:colOff>
      <xdr:row>18</xdr:row>
      <xdr:rowOff>103909</xdr:rowOff>
    </xdr:from>
    <xdr:to>
      <xdr:col>8</xdr:col>
      <xdr:colOff>606136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BFCB1D-44BB-4945-A63A-8935324D7D1F}"/>
            </a:ext>
          </a:extLst>
        </xdr:cNvPr>
        <xdr:cNvCxnSpPr/>
      </xdr:nvCxnSpPr>
      <xdr:spPr>
        <a:xfrm>
          <a:off x="3896590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9</xdr:row>
      <xdr:rowOff>114300</xdr:rowOff>
    </xdr:from>
    <xdr:to>
      <xdr:col>9</xdr:col>
      <xdr:colOff>22861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4F511-2098-4971-AC95-431DA3720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AAC300-9B91-4E80-ABFB-BD4AF2937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8C8B08-5EA9-40FB-B402-7DD291E1C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ED4DB-A4A0-4831-9838-1B6C8FEAA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640772</xdr:colOff>
      <xdr:row>18</xdr:row>
      <xdr:rowOff>103909</xdr:rowOff>
    </xdr:from>
    <xdr:to>
      <xdr:col>8</xdr:col>
      <xdr:colOff>597477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12E8B1-740A-40A6-B43E-5C1B02287CF9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F31AE5-08A0-44BC-8051-11A21BC4F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E15BCA-AA9D-4E52-98AC-828DC8284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8B7A16-76E1-4517-B156-CC504E506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5F388-8A5B-4599-91D3-42D676CE7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AC19CD1-78BA-48D0-A8AC-907204794AF2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57172E-F8FF-447E-8FC4-D67346465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6A151-9FEA-4915-B4A6-DCBA98276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A7C52-4AF0-41D1-9FE7-6789026C9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EA68C-7AAC-45A8-A678-0C089549E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649432</xdr:colOff>
      <xdr:row>18</xdr:row>
      <xdr:rowOff>112567</xdr:rowOff>
    </xdr:from>
    <xdr:to>
      <xdr:col>8</xdr:col>
      <xdr:colOff>606137</xdr:colOff>
      <xdr:row>18</xdr:row>
      <xdr:rowOff>112567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E9A5D9-A9F2-4983-B2F9-D68E2D3017DC}"/>
            </a:ext>
          </a:extLst>
        </xdr:cNvPr>
        <xdr:cNvCxnSpPr/>
      </xdr:nvCxnSpPr>
      <xdr:spPr>
        <a:xfrm>
          <a:off x="3896591" y="3541567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4BB296-6EB9-477D-A460-ADB1DC635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9</xdr:row>
      <xdr:rowOff>123825</xdr:rowOff>
    </xdr:from>
    <xdr:to>
      <xdr:col>9</xdr:col>
      <xdr:colOff>22861</xdr:colOff>
      <xdr:row>19</xdr:row>
      <xdr:rowOff>102871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59064B-6706-46FC-B16F-49D1BE58D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2AEB0E-9391-4CCD-B672-15F3225BA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Winters\Daily%20Reports\DEMETER\Demeter%20Report%20by%20month%20FY22%20and%20FY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ths"/>
      <sheetName val="WO's FY22 and FY23"/>
      <sheetName val="Production Downtime"/>
      <sheetName val="DT date range"/>
      <sheetName val="Current Month Summary"/>
      <sheetName val="OEE by Month-Day"/>
      <sheetName val="OEE vs Cases"/>
      <sheetName val="Top Six SKU's"/>
      <sheetName val="B Shift"/>
      <sheetName val="C Shift"/>
      <sheetName val="Item Desc"/>
      <sheetName val="labor  rates"/>
    </sheetNames>
    <sheetDataSet>
      <sheetData sheetId="0">
        <row r="4">
          <cell r="A4" t="str">
            <v>Code</v>
          </cell>
        </row>
      </sheetData>
      <sheetData sheetId="1"/>
      <sheetData sheetId="2"/>
      <sheetData sheetId="3">
        <row r="15">
          <cell r="A15">
            <v>44470</v>
          </cell>
        </row>
        <row r="17">
          <cell r="A17">
            <v>45015</v>
          </cell>
        </row>
        <row r="19">
          <cell r="A19" t="str">
            <v>Both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20000054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2939818" createdVersion="8" refreshedVersion="8" minRefreshableVersion="3" recordCount="97" xr:uid="{883E4EBE-CF0D-47D1-A869-495D000891DE}">
  <cacheSource type="worksheet">
    <worksheetSource ref="G80:H201" sheet="Totals"/>
  </cacheSource>
  <cacheFields count="2">
    <cacheField name="Line" numFmtId="0">
      <sharedItems containsBlank="1" count="9">
        <s v="        FS01"/>
        <s v="        FS03"/>
        <s v="        FS04"/>
        <s v="        FS05"/>
        <s v="        FS09"/>
        <s v="        FS10"/>
        <s v="        FS12"/>
        <s v="        FS14"/>
        <m/>
      </sharedItems>
    </cacheField>
    <cacheField name="Cases" numFmtId="0">
      <sharedItems containsString="0" containsBlank="1" containsNumber="1" containsInteger="1" minValue="152" maxValue="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3287034" createdVersion="8" refreshedVersion="8" minRefreshableVersion="3" recordCount="67" xr:uid="{FD68413B-FA31-4685-9BBD-A94BEFD36426}">
  <cacheSource type="worksheet">
    <worksheetSource ref="A1:BZ100" sheet="Data"/>
  </cacheSource>
  <cacheFields count="83">
    <cacheField name="Fiscal Year" numFmtId="0">
      <sharedItems containsBlank="1"/>
    </cacheField>
    <cacheField name="Period" numFmtId="0">
      <sharedItems containsBlank="1"/>
    </cacheField>
    <cacheField name="Month" numFmtId="0">
      <sharedItems containsBlank="1"/>
    </cacheField>
    <cacheField name="Identifier Y/M/S" numFmtId="0">
      <sharedItems containsBlank="1"/>
    </cacheField>
    <cacheField name="Identifier Y/M/I" numFmtId="0">
      <sharedItems containsBlank="1"/>
    </cacheField>
    <cacheField name="Identifier WD" numFmtId="0">
      <sharedItems containsString="0" containsBlank="1" containsNumber="1" containsInteger="1" minValue="0" maxValue="1"/>
    </cacheField>
    <cacheField name="Identifier WD/S" numFmtId="0">
      <sharedItems containsString="0" containsBlank="1" containsNumber="1" containsInteger="1" minValue="0" maxValue="1"/>
    </cacheField>
    <cacheField name="Identifier WD/S/L" numFmtId="0">
      <sharedItems containsString="0" containsBlank="1" containsNumber="1" containsInteger="1" minValue="0" maxValue="1"/>
    </cacheField>
    <cacheField name="Identifier D/S" numFmtId="0">
      <sharedItems containsBlank="1"/>
    </cacheField>
    <cacheField name="Identifier D/S/L" numFmtId="0">
      <sharedItems containsBlank="1"/>
    </cacheField>
    <cacheField name="Identifier Y/M/L/S" numFmtId="0">
      <sharedItems containsBlank="1"/>
    </cacheField>
    <cacheField name="Identifier Y/L" numFmtId="0">
      <sharedItems containsBlank="1"/>
    </cacheField>
    <cacheField name="Indentfier range/L" numFmtId="0">
      <sharedItems containsBlank="1"/>
    </cacheField>
    <cacheField name="Identifier Y/M/L" numFmtId="0">
      <sharedItems containsBlank="1"/>
    </cacheField>
    <cacheField name="Non Bot DT $" numFmtId="0">
      <sharedItems containsString="0" containsBlank="1" containsNumber="1" minValue="16.617500000000003" maxValue="1614.7384615384615"/>
    </cacheField>
    <cacheField name="Prod DT $" numFmtId="0">
      <sharedItems containsString="0" containsBlank="1" containsNumber="1" minValue="0" maxValue="3777.3704347826088"/>
    </cacheField>
    <cacheField name="Act labor " numFmtId="0">
      <sharedItems containsString="0" containsBlank="1" containsNumber="1" minValue="286.81805000000008" maxValue="5553"/>
    </cacheField>
    <cacheField name="Stnd labor " numFmtId="0">
      <sharedItems containsString="0" containsBlank="1" containsNumber="1" minValue="0" maxValue="5208.2723999999998"/>
    </cacheField>
    <cacheField name="Dir Labor Var Fav/(unfav)" numFmtId="0">
      <sharedItems containsString="0" containsBlank="1" containsNumber="1" minValue="-4632.4040000000005" maxValue="902.5665176470593"/>
    </cacheField>
    <cacheField name="Date" numFmtId="0">
      <sharedItems containsNonDate="0" containsDate="1" containsString="0" containsBlank="1" minDate="2023-03-26T00:00:00" maxDate="2023-03-30T00:00:00"/>
    </cacheField>
    <cacheField name="Shift" numFmtId="0">
      <sharedItems containsBlank="1" count="3">
        <s v="B"/>
        <s v="C"/>
        <m/>
      </sharedItems>
    </cacheField>
    <cacheField name="Line" numFmtId="0">
      <sharedItems containsBlank="1" count="9">
        <s v="        FS03"/>
        <s v="        FS01"/>
        <s v="        FS04"/>
        <s v="        FS10"/>
        <s v="        FS12"/>
        <s v="        FS05"/>
        <s v="        FS14"/>
        <m/>
        <s v="        FS09" u="1"/>
      </sharedItems>
    </cacheField>
    <cacheField name="WO #" numFmtId="0">
      <sharedItems containsString="0" containsBlank="1" containsNumber="1" containsInteger="1" minValue="409124" maxValue="428113"/>
    </cacheField>
    <cacheField name="Item #" numFmtId="0">
      <sharedItems containsString="0" containsBlank="1" containsNumber="1" containsInteger="1" minValue="20000054" maxValue="96705002"/>
    </cacheField>
    <cacheField name="Description" numFmtId="0">
      <sharedItems containsBlank="1"/>
    </cacheField>
    <cacheField name="Actual         Man Hours" numFmtId="0">
      <sharedItems containsString="0" containsBlank="1" containsNumber="1" minValue="8.6300000000000008" maxValue="180"/>
    </cacheField>
    <cacheField name="Cases" numFmtId="0">
      <sharedItems containsString="0" containsBlank="1" containsNumber="1" containsInteger="1" minValue="113" maxValue="6690"/>
    </cacheField>
    <cacheField name="Pack Size" numFmtId="0">
      <sharedItems containsString="0" containsBlank="1" containsNumber="1" containsInteger="1" minValue="6" maxValue="120"/>
    </cacheField>
    <cacheField name="Bottles" numFmtId="0">
      <sharedItems containsString="0" containsBlank="1" containsNumber="1" containsInteger="1" minValue="678" maxValue="116640"/>
    </cacheField>
    <cacheField name="Budgeted   FillerSpeed" numFmtId="0">
      <sharedItems containsString="0" containsBlank="1" containsNumber="1" containsInteger="1" minValue="55" maxValue="533"/>
    </cacheField>
    <cacheField name="Actual    FillerSpeed" numFmtId="0">
      <sharedItems containsString="0" containsBlank="1" containsNumber="1" containsInteger="1" minValue="55" maxValue="533"/>
    </cacheField>
    <cacheField name="Avail. Min" numFmtId="0">
      <sharedItems containsString="0" containsBlank="1" containsNumber="1" containsInteger="1" minValue="74" maxValue="720"/>
    </cacheField>
    <cacheField name="Lunch" numFmtId="0">
      <sharedItems containsString="0" containsBlank="1" containsNumber="1" containsInteger="1" minValue="30" maxValue="30"/>
    </cacheField>
    <cacheField name="OEE Mins" numFmtId="0">
      <sharedItems containsString="0" containsBlank="1" containsNumber="1" containsInteger="1" minValue="74" maxValue="690"/>
    </cacheField>
    <cacheField name="Expected   Bottles" numFmtId="0">
      <sharedItems containsString="0" containsBlank="1" containsNumber="1" containsInteger="1" minValue="6600" maxValue="306475"/>
    </cacheField>
    <cacheField name="Expected    Cases" numFmtId="0">
      <sharedItems containsString="0" containsBlank="1" containsNumber="1" containsInteger="1" minValue="1068" maxValue="13000"/>
    </cacheField>
    <cacheField name="Btls" numFmtId="0">
      <sharedItems containsString="0" containsBlank="1" containsNumber="1" containsInteger="1" minValue="0" maxValue="116640"/>
    </cacheField>
    <cacheField name="OEE %" numFmtId="0">
      <sharedItems containsString="0" containsBlank="1" containsNumber="1" minValue="0" maxValue="71.11"/>
    </cacheField>
    <cacheField name="Availability      OEE %" numFmtId="0">
      <sharedItems containsString="0" containsBlank="1" containsNumber="1" minValue="-51.52" maxValue="90"/>
    </cacheField>
    <cacheField name="Performance     OEE %" numFmtId="0">
      <sharedItems containsString="0" containsBlank="1" containsNumber="1" minValue="-493.63" maxValue="113.89"/>
    </cacheField>
    <cacheField name="Quality      OEE %" numFmtId="0">
      <sharedItems containsString="0" containsBlank="1" containsNumber="1" containsInteger="1" minValue="0" maxValue="100"/>
    </cacheField>
    <cacheField name="Meeting" numFmtId="0">
      <sharedItems containsString="0" containsBlank="1" containsNumber="1" containsInteger="1" minValue="5" maxValue="15"/>
    </cacheField>
    <cacheField name="Break" numFmtId="0">
      <sharedItems containsString="0" containsBlank="1" containsNumber="1" containsInteger="1" minValue="15" maxValue="60"/>
    </cacheField>
    <cacheField name="Job Change" numFmtId="0">
      <sharedItems containsString="0" containsBlank="1" containsNumber="1" containsInteger="1" minValue="10" maxValue="20"/>
    </cacheField>
    <cacheField name="Setup" numFmtId="0">
      <sharedItems containsString="0" containsBlank="1" containsNumber="1" containsInteger="1" minValue="18" maxValue="360"/>
    </cacheField>
    <cacheField name="HK" numFmtId="0">
      <sharedItems containsString="0" containsBlank="1" containsNumber="1" containsInteger="1" minValue="6" maxValue="30"/>
    </cacheField>
    <cacheField name="*" numFmtId="0">
      <sharedItems containsNonDate="0" containsString="0" containsBlank="1"/>
    </cacheField>
    <cacheField name="Down Time" numFmtId="0">
      <sharedItems containsString="0" containsBlank="1" containsNumber="1" containsInteger="1" minValue="10" maxValue="682"/>
    </cacheField>
    <cacheField name="DownTime Loss" numFmtId="0">
      <sharedItems containsString="0" containsBlank="1" containsNumber="1" containsInteger="1" minValue="15" maxValue="747"/>
    </cacheField>
    <cacheField name="Non Conforming   Cases" numFmtId="0">
      <sharedItems containsNonDate="0" containsString="0" containsBlank="1"/>
    </cacheField>
    <cacheField name="Rework    Cases" numFmtId="0">
      <sharedItems containsNonDate="0" containsString="0" containsBlank="1"/>
    </cacheField>
    <cacheField name="Non-Bott DT" numFmtId="0">
      <sharedItems containsString="0" containsBlank="1" containsNumber="1" containsInteger="1" minValue="5" maxValue="420"/>
    </cacheField>
    <cacheField name="Fill Height/Cap Detector" numFmtId="0">
      <sharedItems containsString="0" containsBlank="1" containsNumber="1" containsInteger="1" minValue="10" maxValue="50"/>
    </cacheField>
    <cacheField name="FCS" numFmtId="0">
      <sharedItems containsString="0" containsBlank="1" containsNumber="1" containsInteger="1" minValue="15" maxValue="35"/>
    </cacheField>
    <cacheField name="Proc.-Tk Chg" numFmtId="0">
      <sharedItems containsString="0" containsBlank="1" containsNumber="1" containsInteger="1" minValue="5" maxValue="45"/>
    </cacheField>
    <cacheField name="Manning/    Supplies" numFmtId="0">
      <sharedItems containsString="0" containsBlank="1" containsNumber="1" containsInteger="1" minValue="7" maxValue="310"/>
    </cacheField>
    <cacheField name="Foam" numFmtId="0">
      <sharedItems containsNonDate="0" containsString="0" containsBlank="1"/>
    </cacheField>
    <cacheField name="Proof Cks     /Lab" numFmtId="0">
      <sharedItems containsString="0" containsBlank="1" containsNumber="1" containsInteger="1" minValue="5" maxValue="165"/>
    </cacheField>
    <cacheField name="Vision System" numFmtId="0">
      <sharedItems containsString="0" containsBlank="1" containsNumber="1" containsInteger="1" minValue="15" maxValue="25"/>
    </cacheField>
    <cacheField name="QA External" numFmtId="0">
      <sharedItems containsString="0" containsBlank="1" containsNumber="1" containsInteger="1" minValue="3" maxValue="420"/>
    </cacheField>
    <cacheField name="QA Internal" numFmtId="0">
      <sharedItems containsString="0" containsBlank="1" containsNumber="1" containsInteger="1" minValue="10" maxValue="101"/>
    </cacheField>
    <cacheField name="Pal/Depal" numFmtId="0">
      <sharedItems containsString="0" containsBlank="1" containsNumber="1" containsInteger="1" minValue="3" maxValue="42"/>
    </cacheField>
    <cacheField name="Unloader" numFmtId="0">
      <sharedItems containsString="0" containsBlank="1" containsNumber="1" containsInteger="1" minValue="6" maxValue="80"/>
    </cacheField>
    <cacheField name="Bulk Unloader" numFmtId="0">
      <sharedItems containsString="0" containsBlank="1" containsNumber="1" containsInteger="1" minValue="16" maxValue="131"/>
    </cacheField>
    <cacheField name="Cleaner" numFmtId="0">
      <sharedItems containsString="0" containsBlank="1" containsNumber="1" containsInteger="1" minValue="3" maxValue="90"/>
    </cacheField>
    <cacheField name="Filler" numFmtId="0">
      <sharedItems containsString="0" containsBlank="1" containsNumber="1" containsInteger="1" minValue="4" maxValue="117"/>
    </cacheField>
    <cacheField name="Capper" numFmtId="0">
      <sharedItems containsString="0" containsBlank="1" containsNumber="1" containsInteger="1" minValue="3" maxValue="237"/>
    </cacheField>
    <cacheField name="Checkweigher/Taper" numFmtId="0">
      <sharedItems containsString="0" containsBlank="1" containsNumber="1" containsInteger="1" minValue="6" maxValue="25"/>
    </cacheField>
    <cacheField name="Team Performance" numFmtId="0">
      <sharedItems containsNonDate="0" containsString="0" containsBlank="1"/>
    </cacheField>
    <cacheField name="Bottle Orientor" numFmtId="0">
      <sharedItems containsString="0" containsBlank="1" containsNumber="1" containsInteger="1" minValue="3" maxValue="34"/>
    </cacheField>
    <cacheField name="Labeler" numFmtId="0">
      <sharedItems containsString="0" containsBlank="1" containsNumber="1" containsInteger="1" minValue="3" maxValue="151"/>
    </cacheField>
    <cacheField name="Wash" numFmtId="0">
      <sharedItems containsString="0" containsBlank="1" containsNumber="1" containsInteger="1" minValue="16" maxValue="104"/>
    </cacheField>
    <cacheField name="Case Packer" numFmtId="0">
      <sharedItems containsString="0" containsBlank="1" containsNumber="1" containsInteger="1" minValue="2" maxValue="115"/>
    </cacheField>
    <cacheField name="Partitioner" numFmtId="0">
      <sharedItems containsString="0" containsBlank="1" containsNumber="1" containsInteger="1" minValue="10" maxValue="40"/>
    </cacheField>
    <cacheField name="Case Erector" numFmtId="0">
      <sharedItems containsString="0" containsBlank="1" containsNumber="1" containsInteger="1" minValue="5" maxValue="68"/>
    </cacheField>
    <cacheField name="APM" numFmtId="0">
      <sharedItems containsString="0" containsBlank="1" containsNumber="1" containsInteger="1" minValue="7" maxValue="127"/>
    </cacheField>
    <cacheField name="Case Line" numFmtId="0">
      <sharedItems containsString="0" containsBlank="1" containsNumber="1" containsInteger="1" minValue="7" maxValue="70"/>
    </cacheField>
    <cacheField name="State Code" numFmtId="0">
      <sharedItems containsString="0" containsBlank="1" containsNumber="1" containsInteger="1" minValue="5" maxValue="28"/>
    </cacheField>
    <cacheField name="Case Printer" numFmtId="0">
      <sharedItems containsNonDate="0" containsString="0" containsBlank="1"/>
    </cacheField>
    <cacheField name="Laser Dater" numFmtId="0">
      <sharedItems containsNonDate="0" containsString="0" containsBlank="1"/>
    </cacheField>
    <cacheField name="Other" numFmtId="0">
      <sharedItems containsString="0" containsBlank="1" containsNumber="1" containsInteger="1" minValue="5" maxValue="135"/>
    </cacheField>
    <cacheField name="1st Hr Cs Count" numFmtId="0">
      <sharedItems containsString="0" containsBlank="1" containsNumber="1" containsInteger="1" minValue="1" maxValue="883"/>
    </cacheField>
    <cacheField name="Total Pro Down Time" numFmtId="0">
      <sharedItems containsString="0" containsBlank="1" containsNumber="1" containsInteger="1" minValue="22" maxValue="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3634257" createdVersion="8" refreshedVersion="8" minRefreshableVersion="3" recordCount="67" xr:uid="{E7CB8C98-ECFF-47FD-8A11-D1FEC4DB47D0}">
  <cacheSource type="worksheet">
    <worksheetSource ref="A1:BZ145" sheet="Data"/>
  </cacheSource>
  <cacheFields count="83">
    <cacheField name="Fiscal Year" numFmtId="0">
      <sharedItems containsBlank="1"/>
    </cacheField>
    <cacheField name="Period" numFmtId="0">
      <sharedItems containsBlank="1"/>
    </cacheField>
    <cacheField name="Month" numFmtId="0">
      <sharedItems containsBlank="1"/>
    </cacheField>
    <cacheField name="Identifier Y/M/S" numFmtId="0">
      <sharedItems containsBlank="1"/>
    </cacheField>
    <cacheField name="Identifier Y/M/I" numFmtId="0">
      <sharedItems containsBlank="1"/>
    </cacheField>
    <cacheField name="Identifier WD" numFmtId="0">
      <sharedItems containsString="0" containsBlank="1" containsNumber="1" containsInteger="1" minValue="0" maxValue="1"/>
    </cacheField>
    <cacheField name="Identifier WD/S" numFmtId="0">
      <sharedItems containsString="0" containsBlank="1" containsNumber="1" containsInteger="1" minValue="0" maxValue="1"/>
    </cacheField>
    <cacheField name="Identifier WD/S/L" numFmtId="0">
      <sharedItems containsString="0" containsBlank="1" containsNumber="1" containsInteger="1" minValue="0" maxValue="1"/>
    </cacheField>
    <cacheField name="Identifier D/S" numFmtId="0">
      <sharedItems containsBlank="1"/>
    </cacheField>
    <cacheField name="Identifier D/S/L" numFmtId="0">
      <sharedItems containsBlank="1"/>
    </cacheField>
    <cacheField name="Identifier Y/M/L/S" numFmtId="0">
      <sharedItems containsBlank="1"/>
    </cacheField>
    <cacheField name="Identifier Y/L" numFmtId="0">
      <sharedItems containsBlank="1"/>
    </cacheField>
    <cacheField name="Indentfier range/L" numFmtId="0">
      <sharedItems containsBlank="1"/>
    </cacheField>
    <cacheField name="Identifier Y/M/L" numFmtId="0">
      <sharedItems containsBlank="1"/>
    </cacheField>
    <cacheField name="Non Bot DT $" numFmtId="0">
      <sharedItems containsString="0" containsBlank="1" containsNumber="1" minValue="16.617500000000003" maxValue="1614.7384615384615"/>
    </cacheField>
    <cacheField name="Prod DT $" numFmtId="0">
      <sharedItems containsString="0" containsBlank="1" containsNumber="1" minValue="0" maxValue="3777.3704347826088"/>
    </cacheField>
    <cacheField name="Act labor " numFmtId="0">
      <sharedItems containsString="0" containsBlank="1" containsNumber="1" minValue="286.81805000000008" maxValue="5553"/>
    </cacheField>
    <cacheField name="Stnd labor " numFmtId="0">
      <sharedItems containsString="0" containsBlank="1" containsNumber="1" minValue="0" maxValue="5208.2723999999998"/>
    </cacheField>
    <cacheField name="Dir Labor Var Fav/(unfav)" numFmtId="0">
      <sharedItems containsString="0" containsBlank="1" containsNumber="1" minValue="-4632.4040000000005" maxValue="902.5665176470593"/>
    </cacheField>
    <cacheField name="Date" numFmtId="0">
      <sharedItems containsNonDate="0" containsDate="1" containsString="0" containsBlank="1" minDate="2023-02-19T00:00:00" maxDate="2023-03-30T00:00:00" count="29">
        <d v="2023-03-26T00:00:00"/>
        <d v="2023-03-27T00:00:00"/>
        <d v="2023-03-28T00:00:00"/>
        <d v="2023-03-29T00:00:00"/>
        <m/>
        <d v="2023-03-09T00:00:00" u="1"/>
        <d v="2023-02-23T00:00:00" u="1"/>
        <d v="2023-03-02T00:00:00" u="1"/>
        <d v="2023-03-21T00:00:00" u="1"/>
        <d v="2023-03-14T00:00:00" u="1"/>
        <d v="2023-02-28T00:00:00" u="1"/>
        <d v="2023-03-07T00:00:00" u="1"/>
        <d v="2023-02-21T00:00:00" u="1"/>
        <d v="2023-03-12T00:00:00" u="1"/>
        <d v="2023-02-26T00:00:00" u="1"/>
        <d v="2023-03-05T00:00:00" u="1"/>
        <d v="2023-02-19T00:00:00" u="1"/>
        <d v="2023-03-24T00:00:00" u="1"/>
        <d v="2023-03-22T00:00:00" u="1"/>
        <d v="2023-03-15T00:00:00" u="1"/>
        <d v="2023-03-08T00:00:00" u="1"/>
        <d v="2023-02-22T00:00:00" u="1"/>
        <d v="2023-03-01T00:00:00" u="1"/>
        <d v="2023-03-20T00:00:00" u="1"/>
        <d v="2023-03-13T00:00:00" u="1"/>
        <d v="2023-02-27T00:00:00" u="1"/>
        <d v="2023-03-06T00:00:00" u="1"/>
        <d v="2023-03-25T00:00:00" u="1"/>
        <d v="2023-03-23T00:00:00" u="1"/>
      </sharedItems>
    </cacheField>
    <cacheField name="Shift" numFmtId="0">
      <sharedItems containsBlank="1"/>
    </cacheField>
    <cacheField name="Line" numFmtId="0">
      <sharedItems containsBlank="1" count="9">
        <s v="        FS03"/>
        <s v="        FS01"/>
        <s v="        FS04"/>
        <s v="        FS10"/>
        <s v="        FS12"/>
        <s v="        FS05"/>
        <s v="        FS14"/>
        <m/>
        <s v="        FS09" u="1"/>
      </sharedItems>
    </cacheField>
    <cacheField name="WO #" numFmtId="0">
      <sharedItems containsString="0" containsBlank="1" containsNumber="1" containsInteger="1" minValue="409124" maxValue="428113"/>
    </cacheField>
    <cacheField name="Item #" numFmtId="0">
      <sharedItems containsString="0" containsBlank="1" containsNumber="1" containsInteger="1" minValue="20000054" maxValue="96705002"/>
    </cacheField>
    <cacheField name="Description" numFmtId="0">
      <sharedItems containsBlank="1"/>
    </cacheField>
    <cacheField name="Actual         Man Hours" numFmtId="0">
      <sharedItems containsString="0" containsBlank="1" containsNumber="1" minValue="8.6300000000000008" maxValue="180"/>
    </cacheField>
    <cacheField name="Cases" numFmtId="0">
      <sharedItems containsString="0" containsBlank="1" containsNumber="1" containsInteger="1" minValue="113" maxValue="6690"/>
    </cacheField>
    <cacheField name="Pack Size" numFmtId="0">
      <sharedItems containsString="0" containsBlank="1" containsNumber="1" containsInteger="1" minValue="6" maxValue="120"/>
    </cacheField>
    <cacheField name="Bottles" numFmtId="0">
      <sharedItems containsString="0" containsBlank="1" containsNumber="1" containsInteger="1" minValue="678" maxValue="116640"/>
    </cacheField>
    <cacheField name="Budgeted   FillerSpeed" numFmtId="0">
      <sharedItems containsString="0" containsBlank="1" containsNumber="1" containsInteger="1" minValue="55" maxValue="533"/>
    </cacheField>
    <cacheField name="Actual    FillerSpeed" numFmtId="0">
      <sharedItems containsString="0" containsBlank="1" containsNumber="1" containsInteger="1" minValue="55" maxValue="533"/>
    </cacheField>
    <cacheField name="Avail. Min" numFmtId="0">
      <sharedItems containsString="0" containsBlank="1" containsNumber="1" containsInteger="1" minValue="74" maxValue="720"/>
    </cacheField>
    <cacheField name="Lunch" numFmtId="0">
      <sharedItems containsString="0" containsBlank="1" containsNumber="1" containsInteger="1" minValue="30" maxValue="30"/>
    </cacheField>
    <cacheField name="OEE Mins" numFmtId="0">
      <sharedItems containsString="0" containsBlank="1" containsNumber="1" containsInteger="1" minValue="74" maxValue="690"/>
    </cacheField>
    <cacheField name="Expected   Bottles" numFmtId="0">
      <sharedItems containsString="0" containsBlank="1" containsNumber="1" containsInteger="1" minValue="6600" maxValue="306475"/>
    </cacheField>
    <cacheField name="Expected    Cases" numFmtId="0">
      <sharedItems containsString="0" containsBlank="1" containsNumber="1" containsInteger="1" minValue="1068" maxValue="13000"/>
    </cacheField>
    <cacheField name="Btls" numFmtId="0">
      <sharedItems containsString="0" containsBlank="1" containsNumber="1" containsInteger="1" minValue="0" maxValue="116640"/>
    </cacheField>
    <cacheField name="OEE %" numFmtId="0">
      <sharedItems containsString="0" containsBlank="1" containsNumber="1" minValue="0" maxValue="71.11"/>
    </cacheField>
    <cacheField name="Availability      OEE %" numFmtId="0">
      <sharedItems containsString="0" containsBlank="1" containsNumber="1" minValue="-51.52" maxValue="90"/>
    </cacheField>
    <cacheField name="Performance     OEE %" numFmtId="0">
      <sharedItems containsString="0" containsBlank="1" containsNumber="1" minValue="-493.63" maxValue="113.89"/>
    </cacheField>
    <cacheField name="Quality      OEE %" numFmtId="0">
      <sharedItems containsString="0" containsBlank="1" containsNumber="1" containsInteger="1" minValue="0" maxValue="100"/>
    </cacheField>
    <cacheField name="Meeting" numFmtId="0">
      <sharedItems containsString="0" containsBlank="1" containsNumber="1" containsInteger="1" minValue="5" maxValue="15"/>
    </cacheField>
    <cacheField name="Break" numFmtId="0">
      <sharedItems containsString="0" containsBlank="1" containsNumber="1" containsInteger="1" minValue="15" maxValue="60"/>
    </cacheField>
    <cacheField name="Job Change" numFmtId="0">
      <sharedItems containsString="0" containsBlank="1" containsNumber="1" containsInteger="1" minValue="10" maxValue="20"/>
    </cacheField>
    <cacheField name="Setup" numFmtId="0">
      <sharedItems containsString="0" containsBlank="1" containsNumber="1" containsInteger="1" minValue="18" maxValue="360"/>
    </cacheField>
    <cacheField name="HK" numFmtId="0">
      <sharedItems containsString="0" containsBlank="1" containsNumber="1" containsInteger="1" minValue="6" maxValue="30"/>
    </cacheField>
    <cacheField name="*" numFmtId="0">
      <sharedItems containsNonDate="0" containsString="0" containsBlank="1"/>
    </cacheField>
    <cacheField name="Down Time" numFmtId="0">
      <sharedItems containsString="0" containsBlank="1" containsNumber="1" containsInteger="1" minValue="10" maxValue="682"/>
    </cacheField>
    <cacheField name="DownTime Loss" numFmtId="0">
      <sharedItems containsString="0" containsBlank="1" containsNumber="1" containsInteger="1" minValue="15" maxValue="747"/>
    </cacheField>
    <cacheField name="Non Conforming   Cases" numFmtId="0">
      <sharedItems containsNonDate="0" containsString="0" containsBlank="1"/>
    </cacheField>
    <cacheField name="Rework    Cases" numFmtId="0">
      <sharedItems containsNonDate="0" containsString="0" containsBlank="1"/>
    </cacheField>
    <cacheField name="Non-Bott DT" numFmtId="0">
      <sharedItems containsString="0" containsBlank="1" containsNumber="1" containsInteger="1" minValue="5" maxValue="420"/>
    </cacheField>
    <cacheField name="Fill Height/Cap Detector" numFmtId="0">
      <sharedItems containsString="0" containsBlank="1" containsNumber="1" containsInteger="1" minValue="10" maxValue="50"/>
    </cacheField>
    <cacheField name="FCS" numFmtId="0">
      <sharedItems containsString="0" containsBlank="1" containsNumber="1" containsInteger="1" minValue="15" maxValue="35"/>
    </cacheField>
    <cacheField name="Proc.-Tk Chg" numFmtId="0">
      <sharedItems containsString="0" containsBlank="1" containsNumber="1" containsInteger="1" minValue="5" maxValue="45"/>
    </cacheField>
    <cacheField name="Manning/    Supplies" numFmtId="0">
      <sharedItems containsString="0" containsBlank="1" containsNumber="1" containsInteger="1" minValue="7" maxValue="310"/>
    </cacheField>
    <cacheField name="Foam" numFmtId="0">
      <sharedItems containsNonDate="0" containsString="0" containsBlank="1"/>
    </cacheField>
    <cacheField name="Proof Cks     /Lab" numFmtId="0">
      <sharedItems containsString="0" containsBlank="1" containsNumber="1" containsInteger="1" minValue="5" maxValue="165"/>
    </cacheField>
    <cacheField name="Vision System" numFmtId="0">
      <sharedItems containsString="0" containsBlank="1" containsNumber="1" containsInteger="1" minValue="15" maxValue="25"/>
    </cacheField>
    <cacheField name="QA External" numFmtId="0">
      <sharedItems containsString="0" containsBlank="1" containsNumber="1" containsInteger="1" minValue="3" maxValue="420"/>
    </cacheField>
    <cacheField name="QA Internal" numFmtId="0">
      <sharedItems containsString="0" containsBlank="1" containsNumber="1" containsInteger="1" minValue="10" maxValue="101"/>
    </cacheField>
    <cacheField name="Pal/Depal" numFmtId="0">
      <sharedItems containsString="0" containsBlank="1" containsNumber="1" containsInteger="1" minValue="3" maxValue="42"/>
    </cacheField>
    <cacheField name="Unloader" numFmtId="0">
      <sharedItems containsString="0" containsBlank="1" containsNumber="1" containsInteger="1" minValue="6" maxValue="80"/>
    </cacheField>
    <cacheField name="Bulk Unloader" numFmtId="0">
      <sharedItems containsString="0" containsBlank="1" containsNumber="1" containsInteger="1" minValue="16" maxValue="131"/>
    </cacheField>
    <cacheField name="Cleaner" numFmtId="0">
      <sharedItems containsString="0" containsBlank="1" containsNumber="1" containsInteger="1" minValue="3" maxValue="90"/>
    </cacheField>
    <cacheField name="Filler" numFmtId="0">
      <sharedItems containsString="0" containsBlank="1" containsNumber="1" containsInteger="1" minValue="4" maxValue="117"/>
    </cacheField>
    <cacheField name="Capper" numFmtId="0">
      <sharedItems containsString="0" containsBlank="1" containsNumber="1" containsInteger="1" minValue="3" maxValue="237"/>
    </cacheField>
    <cacheField name="Checkweigher/Taper" numFmtId="0">
      <sharedItems containsString="0" containsBlank="1" containsNumber="1" containsInteger="1" minValue="6" maxValue="25"/>
    </cacheField>
    <cacheField name="Team Performance" numFmtId="0">
      <sharedItems containsNonDate="0" containsString="0" containsBlank="1"/>
    </cacheField>
    <cacheField name="Bottle Orientor" numFmtId="0">
      <sharedItems containsString="0" containsBlank="1" containsNumber="1" containsInteger="1" minValue="3" maxValue="34"/>
    </cacheField>
    <cacheField name="Labeler" numFmtId="0">
      <sharedItems containsString="0" containsBlank="1" containsNumber="1" containsInteger="1" minValue="3" maxValue="151"/>
    </cacheField>
    <cacheField name="Wash" numFmtId="0">
      <sharedItems containsString="0" containsBlank="1" containsNumber="1" containsInteger="1" minValue="16" maxValue="104"/>
    </cacheField>
    <cacheField name="Case Packer" numFmtId="0">
      <sharedItems containsString="0" containsBlank="1" containsNumber="1" containsInteger="1" minValue="2" maxValue="115"/>
    </cacheField>
    <cacheField name="Partitioner" numFmtId="0">
      <sharedItems containsString="0" containsBlank="1" containsNumber="1" containsInteger="1" minValue="10" maxValue="40"/>
    </cacheField>
    <cacheField name="Case Erector" numFmtId="0">
      <sharedItems containsString="0" containsBlank="1" containsNumber="1" containsInteger="1" minValue="5" maxValue="68"/>
    </cacheField>
    <cacheField name="APM" numFmtId="0">
      <sharedItems containsString="0" containsBlank="1" containsNumber="1" containsInteger="1" minValue="7" maxValue="127"/>
    </cacheField>
    <cacheField name="Case Line" numFmtId="0">
      <sharedItems containsString="0" containsBlank="1" containsNumber="1" containsInteger="1" minValue="7" maxValue="70"/>
    </cacheField>
    <cacheField name="State Code" numFmtId="0">
      <sharedItems containsString="0" containsBlank="1" containsNumber="1" containsInteger="1" minValue="5" maxValue="28"/>
    </cacheField>
    <cacheField name="Case Printer" numFmtId="0">
      <sharedItems containsNonDate="0" containsString="0" containsBlank="1"/>
    </cacheField>
    <cacheField name="Laser Dater" numFmtId="0">
      <sharedItems containsNonDate="0" containsString="0" containsBlank="1"/>
    </cacheField>
    <cacheField name="Other" numFmtId="0">
      <sharedItems containsString="0" containsBlank="1" containsNumber="1" containsInteger="1" minValue="5" maxValue="135"/>
    </cacheField>
    <cacheField name="1st Hr Cs Count" numFmtId="0">
      <sharedItems containsString="0" containsBlank="1" containsNumber="1" containsInteger="1" minValue="1" maxValue="883"/>
    </cacheField>
    <cacheField name="Total Pro Down Time" numFmtId="0">
      <sharedItems containsString="0" containsBlank="1" containsNumber="1" containsInteger="1" minValue="22" maxValue="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n v="2000"/>
  </r>
  <r>
    <x v="0"/>
    <n v="2000"/>
  </r>
  <r>
    <x v="0"/>
    <n v="3500"/>
  </r>
  <r>
    <x v="0"/>
    <n v="3400"/>
  </r>
  <r>
    <x v="0"/>
    <n v="3499"/>
  </r>
  <r>
    <x v="0"/>
    <n v="3499"/>
  </r>
  <r>
    <x v="0"/>
    <n v="3499"/>
  </r>
  <r>
    <x v="0"/>
    <n v="3500"/>
  </r>
  <r>
    <x v="0"/>
    <n v="3296"/>
  </r>
  <r>
    <x v="0"/>
    <n v="3500"/>
  </r>
  <r>
    <x v="0"/>
    <n v="1900"/>
  </r>
  <r>
    <x v="0"/>
    <m/>
  </r>
  <r>
    <x v="0"/>
    <m/>
  </r>
  <r>
    <x v="0"/>
    <m/>
  </r>
  <r>
    <x v="0"/>
    <m/>
  </r>
  <r>
    <x v="1"/>
    <n v="800"/>
  </r>
  <r>
    <x v="1"/>
    <n v="800"/>
  </r>
  <r>
    <x v="1"/>
    <n v="800"/>
  </r>
  <r>
    <x v="1"/>
    <n v="800"/>
  </r>
  <r>
    <x v="1"/>
    <n v="900"/>
  </r>
  <r>
    <x v="1"/>
    <n v="800"/>
  </r>
  <r>
    <x v="1"/>
    <n v="208"/>
  </r>
  <r>
    <x v="1"/>
    <n v="900"/>
  </r>
  <r>
    <x v="1"/>
    <n v="152"/>
  </r>
  <r>
    <x v="1"/>
    <n v="900"/>
  </r>
  <r>
    <x v="1"/>
    <n v="900"/>
  </r>
  <r>
    <x v="1"/>
    <n v="900"/>
  </r>
  <r>
    <x v="1"/>
    <n v="900"/>
  </r>
  <r>
    <x v="1"/>
    <n v="900"/>
  </r>
  <r>
    <x v="1"/>
    <n v="900"/>
  </r>
  <r>
    <x v="2"/>
    <n v="2465"/>
  </r>
  <r>
    <x v="2"/>
    <n v="1876"/>
  </r>
  <r>
    <x v="2"/>
    <n v="821"/>
  </r>
  <r>
    <x v="2"/>
    <n v="303"/>
  </r>
  <r>
    <x v="2"/>
    <n v="2000"/>
  </r>
  <r>
    <x v="2"/>
    <n v="3500"/>
  </r>
  <r>
    <x v="2"/>
    <m/>
  </r>
  <r>
    <x v="2"/>
    <m/>
  </r>
  <r>
    <x v="3"/>
    <n v="1200"/>
  </r>
  <r>
    <x v="3"/>
    <n v="1200"/>
  </r>
  <r>
    <x v="3"/>
    <n v="1200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4"/>
    <m/>
  </r>
  <r>
    <x v="4"/>
    <m/>
  </r>
  <r>
    <x v="4"/>
    <m/>
  </r>
  <r>
    <x v="4"/>
    <m/>
  </r>
  <r>
    <x v="4"/>
    <m/>
  </r>
  <r>
    <x v="4"/>
    <m/>
  </r>
  <r>
    <x v="5"/>
    <n v="5000"/>
  </r>
  <r>
    <x v="5"/>
    <n v="3908"/>
  </r>
  <r>
    <x v="5"/>
    <n v="5751"/>
  </r>
  <r>
    <x v="5"/>
    <n v="7574"/>
  </r>
  <r>
    <x v="5"/>
    <n v="2000"/>
  </r>
  <r>
    <x v="5"/>
    <n v="4269"/>
  </r>
  <r>
    <x v="5"/>
    <n v="500"/>
  </r>
  <r>
    <x v="5"/>
    <n v="2000"/>
  </r>
  <r>
    <x v="5"/>
    <n v="3000"/>
  </r>
  <r>
    <x v="5"/>
    <n v="14000"/>
  </r>
  <r>
    <x v="5"/>
    <m/>
  </r>
  <r>
    <x v="6"/>
    <n v="5987"/>
  </r>
  <r>
    <x v="6"/>
    <n v="700"/>
  </r>
  <r>
    <x v="6"/>
    <n v="2136"/>
  </r>
  <r>
    <x v="6"/>
    <n v="4952"/>
  </r>
  <r>
    <x v="6"/>
    <n v="727"/>
  </r>
  <r>
    <x v="6"/>
    <n v="4864"/>
  </r>
  <r>
    <x v="6"/>
    <n v="7000"/>
  </r>
  <r>
    <x v="6"/>
    <n v="7000"/>
  </r>
  <r>
    <x v="6"/>
    <n v="7000"/>
  </r>
  <r>
    <x v="6"/>
    <n v="7000"/>
  </r>
  <r>
    <x v="6"/>
    <n v="4000"/>
  </r>
  <r>
    <x v="6"/>
    <m/>
  </r>
  <r>
    <x v="7"/>
    <n v="3000"/>
  </r>
  <r>
    <x v="7"/>
    <m/>
  </r>
  <r>
    <x v="7"/>
    <m/>
  </r>
  <r>
    <x v="7"/>
    <m/>
  </r>
  <r>
    <x v="7"/>
    <m/>
  </r>
  <r>
    <x v="7"/>
    <m/>
  </r>
  <r>
    <x v="7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FY23"/>
    <s v="P9"/>
    <s v="March"/>
    <s v="FY23P9B"/>
    <s v="FY23P930000034"/>
    <n v="1"/>
    <n v="1"/>
    <n v="1"/>
    <s v="45011B"/>
    <s v="45011B        FS03"/>
    <s v="FY23P9        FS03B"/>
    <s v="FY23        FS03"/>
    <s v="in        FS03"/>
    <s v="FY23P9        FS03"/>
    <n v="255.80750000000003"/>
    <n v="1068.3725000000002"/>
    <n v="2166.84"/>
    <n v="2186.6111999999998"/>
    <n v="19.771199999999681"/>
    <d v="2023-03-26T00:00:00"/>
    <x v="0"/>
    <x v="0"/>
    <n v="419160"/>
    <n v="30000034"/>
    <s v="SEAG GIN 80P 120/50 PT ND US"/>
    <n v="60"/>
    <n v="972"/>
    <n v="120"/>
    <n v="116640"/>
    <n v="380"/>
    <n v="380"/>
    <n v="720"/>
    <n v="30"/>
    <n v="690"/>
    <n v="262200"/>
    <n v="2185"/>
    <n v="116640"/>
    <n v="44.49"/>
    <n v="41.45"/>
    <n v="107.32"/>
    <n v="100"/>
    <n v="15"/>
    <n v="15"/>
    <m/>
    <m/>
    <n v="25"/>
    <m/>
    <n v="349"/>
    <n v="404"/>
    <m/>
    <m/>
    <n v="85"/>
    <n v="50"/>
    <m/>
    <m/>
    <m/>
    <m/>
    <m/>
    <m/>
    <m/>
    <m/>
    <m/>
    <n v="35"/>
    <m/>
    <n v="6"/>
    <n v="61"/>
    <n v="100"/>
    <m/>
    <m/>
    <m/>
    <m/>
    <m/>
    <m/>
    <m/>
    <n v="68"/>
    <n v="15"/>
    <m/>
    <m/>
    <m/>
    <m/>
    <n v="20"/>
    <n v="100"/>
    <n v="355"/>
  </r>
  <r>
    <s v="FY23"/>
    <s v="P9"/>
    <s v="March"/>
    <s v="FY23P9B"/>
    <s v="FY23P930008167"/>
    <n v="1"/>
    <n v="1"/>
    <n v="1"/>
    <s v="45012B"/>
    <s v="45012B        FS01"/>
    <s v="FY23P9        FS01B"/>
    <s v="FY23        FS01"/>
    <s v="in        FS01"/>
    <s v="FY23P9        FS01"/>
    <n v="553.21000000000015"/>
    <n v="592.72500000000014"/>
    <n v="3200.7150000000006"/>
    <n v="2272.5"/>
    <n v="-928.2150000000006"/>
    <d v="2023-03-27T00:00:00"/>
    <x v="0"/>
    <x v="1"/>
    <n v="417488"/>
    <n v="30008167"/>
    <s v="SEAG GIN 80P 12/750 PTTF ND NC"/>
    <n v="108"/>
    <n v="1875"/>
    <n v="12"/>
    <n v="22500"/>
    <n v="70"/>
    <n v="70"/>
    <n v="720"/>
    <n v="30"/>
    <n v="690"/>
    <n v="48300"/>
    <n v="4025"/>
    <n v="22500"/>
    <n v="46.58"/>
    <n v="63.04"/>
    <n v="73.89"/>
    <n v="100"/>
    <n v="10"/>
    <n v="60"/>
    <n v="20"/>
    <m/>
    <n v="20"/>
    <m/>
    <n v="145"/>
    <n v="255"/>
    <m/>
    <m/>
    <n v="140"/>
    <m/>
    <m/>
    <m/>
    <n v="25"/>
    <m/>
    <n v="10"/>
    <m/>
    <m/>
    <m/>
    <m/>
    <m/>
    <m/>
    <n v="5"/>
    <n v="44"/>
    <n v="42"/>
    <m/>
    <m/>
    <m/>
    <n v="14"/>
    <m/>
    <m/>
    <m/>
    <m/>
    <m/>
    <m/>
    <m/>
    <m/>
    <m/>
    <n v="10"/>
    <n v="120"/>
    <n v="150"/>
  </r>
  <r>
    <s v="FY23"/>
    <s v="P9"/>
    <s v="March"/>
    <s v="FY23P9B"/>
    <s v="FY23P930000034"/>
    <n v="0"/>
    <n v="0"/>
    <n v="1"/>
    <s v="45012B"/>
    <s v="45012B        FS03"/>
    <s v="FY23P9        FS03B"/>
    <s v="FY23        FS03"/>
    <s v="in        FS03"/>
    <s v="FY23P9        FS03"/>
    <n v="285.90250000000003"/>
    <n v="1026.2395000000001"/>
    <n v="2166.84"/>
    <n v="2004.3935999999997"/>
    <n v="-162.44640000000049"/>
    <d v="2023-03-27T00:00:00"/>
    <x v="0"/>
    <x v="0"/>
    <n v="419153"/>
    <n v="30000034"/>
    <s v="SEAG GIN 80P 120/50 PT ND US"/>
    <n v="60"/>
    <n v="891"/>
    <n v="120"/>
    <n v="106920"/>
    <n v="380"/>
    <n v="380"/>
    <n v="720"/>
    <n v="30"/>
    <n v="690"/>
    <n v="262200"/>
    <n v="2185"/>
    <n v="106920"/>
    <n v="40.78"/>
    <n v="-8.26"/>
    <n v="-493.63"/>
    <n v="100"/>
    <n v="15"/>
    <n v="30"/>
    <m/>
    <m/>
    <n v="20"/>
    <m/>
    <n v="682"/>
    <n v="747"/>
    <m/>
    <m/>
    <n v="95"/>
    <n v="35"/>
    <m/>
    <n v="12"/>
    <m/>
    <m/>
    <n v="10"/>
    <m/>
    <m/>
    <m/>
    <m/>
    <n v="50"/>
    <m/>
    <n v="25"/>
    <n v="56"/>
    <n v="19"/>
    <m/>
    <m/>
    <m/>
    <m/>
    <m/>
    <m/>
    <m/>
    <n v="50"/>
    <n v="46"/>
    <m/>
    <n v="28"/>
    <m/>
    <m/>
    <n v="10"/>
    <n v="90"/>
    <n v="341"/>
  </r>
  <r>
    <s v="FY23"/>
    <s v="P9"/>
    <s v="March"/>
    <s v="FY23P9B"/>
    <s v="FY23P996705002"/>
    <n v="0"/>
    <n v="0"/>
    <n v="1"/>
    <s v="45012B"/>
    <s v="45012B        FS04"/>
    <s v="FY23P9        FS04B"/>
    <s v="FY23        FS04"/>
    <s v="in        FS04"/>
    <s v="FY23P9        FS04"/>
    <n v="66.470000000000013"/>
    <n v="229.32150000000004"/>
    <n v="504.83965000000006"/>
    <n v="488.38650000000001"/>
    <n v="-16.453150000000051"/>
    <d v="2023-03-27T00:00:00"/>
    <x v="0"/>
    <x v="2"/>
    <n v="417505"/>
    <n v="96705002"/>
    <s v="SV EXS80 12/375 CP"/>
    <n v="15.19"/>
    <n v="965"/>
    <n v="12"/>
    <n v="11580"/>
    <n v="185"/>
    <n v="185"/>
    <n v="152"/>
    <m/>
    <n v="152"/>
    <n v="28120"/>
    <n v="2343"/>
    <n v="11580"/>
    <n v="41.18"/>
    <n v="50.66"/>
    <n v="81.290000000000006"/>
    <n v="100"/>
    <n v="5"/>
    <n v="15"/>
    <m/>
    <m/>
    <m/>
    <m/>
    <n v="55"/>
    <n v="75"/>
    <m/>
    <m/>
    <n v="20"/>
    <m/>
    <m/>
    <n v="6"/>
    <n v="12"/>
    <m/>
    <m/>
    <m/>
    <m/>
    <m/>
    <n v="18"/>
    <m/>
    <m/>
    <m/>
    <m/>
    <n v="3"/>
    <m/>
    <m/>
    <m/>
    <m/>
    <m/>
    <n v="25"/>
    <m/>
    <m/>
    <m/>
    <m/>
    <n v="5"/>
    <m/>
    <m/>
    <m/>
    <n v="418"/>
    <n v="69"/>
  </r>
  <r>
    <s v="FY23"/>
    <s v="P9"/>
    <s v="March"/>
    <s v="FY23P9B"/>
    <s v="FY23P996705001"/>
    <n v="0"/>
    <n v="0"/>
    <n v="0"/>
    <s v="45012B"/>
    <s v="45012B        FS04"/>
    <s v="FY23P9        FS04B"/>
    <s v="FY23        FS04"/>
    <s v="in        FS04"/>
    <s v="FY23P9        FS04"/>
    <n v="309.08550000000002"/>
    <n v="677.99400000000014"/>
    <n v="1372.2731500000002"/>
    <n v="1142.19"/>
    <n v="-230.08315000000016"/>
    <d v="2023-03-27T00:00:00"/>
    <x v="0"/>
    <x v="2"/>
    <n v="417630"/>
    <n v="96705001"/>
    <s v="SV APL70 12/375 CP"/>
    <n v="41.29"/>
    <n v="2100"/>
    <n v="12"/>
    <n v="25200"/>
    <n v="185"/>
    <n v="185"/>
    <n v="413"/>
    <n v="30"/>
    <n v="383"/>
    <n v="70855"/>
    <n v="5905"/>
    <n v="25200"/>
    <n v="35.57"/>
    <n v="34.99"/>
    <n v="101.65"/>
    <n v="100"/>
    <m/>
    <n v="30"/>
    <m/>
    <n v="18"/>
    <n v="15"/>
    <m/>
    <n v="186"/>
    <n v="249"/>
    <m/>
    <m/>
    <n v="93"/>
    <m/>
    <m/>
    <m/>
    <m/>
    <m/>
    <n v="16"/>
    <m/>
    <m/>
    <m/>
    <n v="42"/>
    <n v="54"/>
    <m/>
    <n v="6"/>
    <m/>
    <n v="8"/>
    <n v="20"/>
    <m/>
    <m/>
    <n v="4"/>
    <m/>
    <n v="41"/>
    <m/>
    <m/>
    <m/>
    <m/>
    <n v="13"/>
    <m/>
    <m/>
    <m/>
    <n v="548"/>
    <n v="204"/>
  </r>
  <r>
    <s v="FY23"/>
    <s v="P9"/>
    <s v="March"/>
    <s v="FY23P9B"/>
    <s v="FY23P963009850"/>
    <n v="0"/>
    <n v="0"/>
    <n v="1"/>
    <s v="45012B"/>
    <s v="45012B        FS10"/>
    <s v="FY23P9        FS10B"/>
    <s v="FY23        FS10"/>
    <s v="in        FS10"/>
    <s v="FY23P9        FS10"/>
    <n v="394.42416666666668"/>
    <n v="726.57083333333333"/>
    <n v="2419.9257142857145"/>
    <n v="1042.6644000000001"/>
    <n v="-1377.2613142857144"/>
    <d v="2023-03-27T00:00:00"/>
    <x v="0"/>
    <x v="3"/>
    <n v="421248"/>
    <n v="63009850"/>
    <s v="KAH 32 12/1L 20 EX"/>
    <n v="68"/>
    <n v="2524"/>
    <n v="12"/>
    <n v="30288"/>
    <n v="250"/>
    <n v="250"/>
    <n v="510"/>
    <n v="30"/>
    <n v="480"/>
    <n v="120000"/>
    <n v="10000"/>
    <n v="30288"/>
    <n v="25.24"/>
    <n v="51.04"/>
    <n v="49.45"/>
    <n v="100"/>
    <n v="10"/>
    <n v="45"/>
    <m/>
    <m/>
    <n v="10"/>
    <m/>
    <n v="170"/>
    <n v="235"/>
    <m/>
    <m/>
    <n v="95"/>
    <m/>
    <m/>
    <m/>
    <m/>
    <m/>
    <m/>
    <m/>
    <m/>
    <m/>
    <m/>
    <m/>
    <m/>
    <n v="5"/>
    <m/>
    <m/>
    <m/>
    <m/>
    <m/>
    <n v="130"/>
    <n v="40"/>
    <m/>
    <m/>
    <m/>
    <m/>
    <m/>
    <m/>
    <m/>
    <m/>
    <m/>
    <n v="1"/>
    <n v="175"/>
  </r>
  <r>
    <s v="FY23"/>
    <s v="P9"/>
    <s v="March"/>
    <s v="FY23P9B"/>
    <s v="FY23P930012034"/>
    <n v="0"/>
    <n v="0"/>
    <n v="1"/>
    <s v="45012B"/>
    <s v="45012B        FS12"/>
    <s v="FY23P9        FS12B"/>
    <s v="FY23        FS12"/>
    <s v="in        FS12"/>
    <s v="FY23P9        FS12"/>
    <n v="285.90250000000003"/>
    <n v="1351.2655000000002"/>
    <n v="866.7360000000001"/>
    <n v="380.952"/>
    <n v="-485.78400000000011"/>
    <d v="2023-03-27T00:00:00"/>
    <x v="0"/>
    <x v="4"/>
    <n v="417588"/>
    <n v="30012034"/>
    <s v="SEAG GIN 80P 6/1.75L ND US"/>
    <n v="24"/>
    <n v="1716"/>
    <n v="6"/>
    <n v="10296"/>
    <n v="130"/>
    <n v="130"/>
    <n v="360"/>
    <n v="30"/>
    <n v="330"/>
    <n v="42900"/>
    <n v="7150"/>
    <n v="10296"/>
    <n v="24"/>
    <n v="-51.52"/>
    <n v="-46.59"/>
    <n v="100"/>
    <n v="5"/>
    <n v="45"/>
    <m/>
    <m/>
    <n v="15"/>
    <m/>
    <n v="435"/>
    <n v="500"/>
    <m/>
    <m/>
    <n v="95"/>
    <m/>
    <n v="15"/>
    <m/>
    <n v="310"/>
    <m/>
    <m/>
    <m/>
    <m/>
    <m/>
    <m/>
    <m/>
    <m/>
    <n v="5"/>
    <m/>
    <m/>
    <m/>
    <m/>
    <m/>
    <n v="9"/>
    <m/>
    <n v="110"/>
    <m/>
    <m/>
    <m/>
    <m/>
    <m/>
    <m/>
    <m/>
    <m/>
    <n v="120"/>
    <n v="449"/>
  </r>
  <r>
    <s v="FY23"/>
    <s v="P9"/>
    <s v="March"/>
    <s v="FY23P9C"/>
    <s v="FY23P930008167"/>
    <n v="0"/>
    <n v="1"/>
    <n v="1"/>
    <s v="45012C"/>
    <s v="45012C        FS01"/>
    <s v="FY23P9        FS01C"/>
    <s v="FY23        FS01"/>
    <s v="in        FS01"/>
    <s v="FY23P9        FS01"/>
    <n v="79.030000000000015"/>
    <n v="533.4525000000001"/>
    <n v="1066.9050000000002"/>
    <n v="559.94399999999996"/>
    <n v="-506.96100000000024"/>
    <d v="2023-03-27T00:00:00"/>
    <x v="1"/>
    <x v="1"/>
    <n v="417488"/>
    <n v="30008167"/>
    <s v="SEAG GIN 80P 12/750 PTTF ND NC"/>
    <n v="36"/>
    <n v="462"/>
    <n v="12"/>
    <n v="5544"/>
    <n v="70"/>
    <n v="70"/>
    <n v="240"/>
    <m/>
    <n v="240"/>
    <n v="16800"/>
    <n v="1400"/>
    <n v="5544"/>
    <n v="33"/>
    <n v="39.58"/>
    <n v="83.37"/>
    <n v="100"/>
    <n v="5"/>
    <n v="15"/>
    <m/>
    <m/>
    <m/>
    <m/>
    <n v="125"/>
    <n v="145"/>
    <m/>
    <m/>
    <n v="20"/>
    <m/>
    <m/>
    <n v="45"/>
    <m/>
    <m/>
    <m/>
    <m/>
    <m/>
    <m/>
    <m/>
    <n v="6"/>
    <m/>
    <m/>
    <m/>
    <m/>
    <n v="10"/>
    <m/>
    <m/>
    <n v="4"/>
    <n v="70"/>
    <m/>
    <m/>
    <m/>
    <m/>
    <m/>
    <m/>
    <m/>
    <m/>
    <m/>
    <n v="225"/>
    <n v="135"/>
  </r>
  <r>
    <s v="FY23"/>
    <s v="P9"/>
    <s v="March"/>
    <s v="FY23P9C"/>
    <s v="FY23P971608004"/>
    <n v="0"/>
    <n v="0"/>
    <n v="0"/>
    <s v="45012C"/>
    <s v="45012C        FS01"/>
    <s v="FY23P9        FS01C"/>
    <s v="FY23        FS01"/>
    <s v="in        FS01"/>
    <s v="FY23P9        FS01"/>
    <n v="367.2"/>
    <n v="0"/>
    <n v="2221.2000000000003"/>
    <n v="0"/>
    <n v="-2221.2000000000003"/>
    <d v="2023-03-27T00:00:00"/>
    <x v="1"/>
    <x v="1"/>
    <n v="424499"/>
    <n v="71608004"/>
    <s v="JEFF VSB BBN 82.3 6/750 AU"/>
    <n v="72"/>
    <m/>
    <n v="6"/>
    <m/>
    <n v="55"/>
    <n v="55"/>
    <n v="480"/>
    <n v="30"/>
    <n v="450"/>
    <n v="24750"/>
    <n v="4125"/>
    <n v="0"/>
    <n v="0"/>
    <n v="90"/>
    <n v="0"/>
    <n v="0"/>
    <m/>
    <n v="45"/>
    <m/>
    <m/>
    <m/>
    <m/>
    <m/>
    <n v="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s v="FY23"/>
    <s v="P9"/>
    <s v="March"/>
    <s v="FY23P9C"/>
    <s v="FY23P930000034"/>
    <n v="0"/>
    <n v="0"/>
    <n v="1"/>
    <s v="45012C"/>
    <s v="45012C        FS03"/>
    <s v="FY23P9        FS03C"/>
    <s v="FY23        FS03"/>
    <s v="in        FS03"/>
    <s v="FY23P9        FS03"/>
    <n v="361.14000000000004"/>
    <n v="947.99250000000018"/>
    <n v="2166.84"/>
    <n v="1923.4079999999997"/>
    <n v="-243.43200000000047"/>
    <d v="2023-03-27T00:00:00"/>
    <x v="1"/>
    <x v="0"/>
    <n v="419154"/>
    <n v="30000034"/>
    <s v="SEAG GIN 80P 120/50 PT ND US"/>
    <n v="60"/>
    <n v="855"/>
    <n v="120"/>
    <n v="102600"/>
    <n v="380"/>
    <n v="380"/>
    <n v="720"/>
    <n v="30"/>
    <n v="690"/>
    <n v="262200"/>
    <n v="2185"/>
    <n v="102600"/>
    <n v="39.130000000000003"/>
    <n v="44.78"/>
    <n v="87.38"/>
    <n v="100"/>
    <n v="10"/>
    <n v="60"/>
    <m/>
    <m/>
    <n v="20"/>
    <m/>
    <n v="291"/>
    <n v="381"/>
    <m/>
    <m/>
    <n v="120"/>
    <n v="12"/>
    <m/>
    <n v="22"/>
    <m/>
    <m/>
    <m/>
    <m/>
    <m/>
    <m/>
    <n v="7"/>
    <m/>
    <n v="16"/>
    <n v="9"/>
    <n v="92"/>
    <n v="29"/>
    <m/>
    <m/>
    <n v="34"/>
    <n v="17"/>
    <m/>
    <n v="46"/>
    <m/>
    <m/>
    <n v="23"/>
    <m/>
    <m/>
    <m/>
    <m/>
    <n v="8"/>
    <n v="81"/>
    <n v="315"/>
  </r>
  <r>
    <s v="FY23"/>
    <s v="P9"/>
    <s v="March"/>
    <s v="FY23P9C"/>
    <s v="FY23P930001034"/>
    <n v="0"/>
    <n v="0"/>
    <n v="1"/>
    <s v="45012C"/>
    <s v="45012C        FS05"/>
    <s v="FY23P9        FS05C"/>
    <s v="FY23        FS05"/>
    <s v="in        FS05"/>
    <s v="FY23P9        FS05"/>
    <n v="49.852500000000006"/>
    <n v="372.23200000000008"/>
    <n v="681.31750000000011"/>
    <n v="489.24359999999996"/>
    <n v="-192.07390000000015"/>
    <d v="2023-03-27T00:00:00"/>
    <x v="1"/>
    <x v="5"/>
    <n v="417589"/>
    <n v="30001034"/>
    <s v="SEAG GIN 80P 48/100 FSK ND US"/>
    <n v="20.5"/>
    <n v="333"/>
    <n v="48"/>
    <n v="15984"/>
    <n v="250"/>
    <n v="250"/>
    <n v="205"/>
    <m/>
    <n v="205"/>
    <n v="51250"/>
    <n v="1068"/>
    <n v="15984"/>
    <n v="31.19"/>
    <n v="41.46"/>
    <n v="75.22"/>
    <n v="100"/>
    <m/>
    <n v="15"/>
    <m/>
    <m/>
    <m/>
    <m/>
    <n v="105"/>
    <n v="120"/>
    <m/>
    <m/>
    <n v="15"/>
    <m/>
    <m/>
    <m/>
    <m/>
    <m/>
    <m/>
    <m/>
    <m/>
    <m/>
    <n v="30"/>
    <n v="55"/>
    <m/>
    <m/>
    <m/>
    <m/>
    <m/>
    <m/>
    <n v="4"/>
    <n v="3"/>
    <m/>
    <n v="20"/>
    <m/>
    <m/>
    <m/>
    <m/>
    <m/>
    <m/>
    <m/>
    <m/>
    <n v="57"/>
    <n v="112"/>
  </r>
  <r>
    <s v="FY23"/>
    <s v="P9"/>
    <s v="March"/>
    <s v="FY23P9C"/>
    <s v="FY23P930001034"/>
    <n v="0"/>
    <n v="0"/>
    <n v="0"/>
    <s v="45012C"/>
    <s v="45012C        FS05"/>
    <s v="FY23P9        FS05C"/>
    <s v="FY23        FS05"/>
    <s v="in        FS05"/>
    <s v="FY23P9        FS05"/>
    <n v="166.17500000000004"/>
    <n v="545.05400000000009"/>
    <n v="1434.7549500000002"/>
    <n v="952.0415999999999"/>
    <n v="-482.71335000000033"/>
    <d v="2023-03-27T00:00:00"/>
    <x v="1"/>
    <x v="5"/>
    <n v="417594"/>
    <n v="30001034"/>
    <s v="SEAG GIN 80P 48/100 FSK ND US"/>
    <n v="43.17"/>
    <n v="648"/>
    <n v="48"/>
    <n v="31104"/>
    <n v="250"/>
    <n v="250"/>
    <n v="370"/>
    <m/>
    <n v="370"/>
    <n v="92500"/>
    <n v="1927"/>
    <n v="31104"/>
    <n v="33.630000000000003"/>
    <n v="43.24"/>
    <n v="77.760000000000005"/>
    <n v="100"/>
    <m/>
    <n v="30"/>
    <m/>
    <m/>
    <n v="20"/>
    <m/>
    <n v="160"/>
    <n v="210"/>
    <m/>
    <m/>
    <n v="50"/>
    <m/>
    <m/>
    <n v="13"/>
    <m/>
    <m/>
    <m/>
    <m/>
    <m/>
    <m/>
    <n v="11"/>
    <n v="80"/>
    <m/>
    <m/>
    <m/>
    <n v="38"/>
    <m/>
    <m/>
    <n v="4"/>
    <n v="18"/>
    <m/>
    <m/>
    <m/>
    <m/>
    <m/>
    <m/>
    <m/>
    <m/>
    <m/>
    <m/>
    <n v="168"/>
    <n v="164"/>
  </r>
  <r>
    <s v="FY23"/>
    <s v="P9"/>
    <s v="March"/>
    <s v="FY23P9C"/>
    <s v="FY23P963009850"/>
    <n v="0"/>
    <n v="0"/>
    <n v="1"/>
    <s v="45012C"/>
    <s v="45012C        FS10"/>
    <s v="FY23P9        FS10C"/>
    <s v="FY23        FS10"/>
    <s v="in        FS10"/>
    <s v="FY23P9        FS10"/>
    <n v="41.518333333333331"/>
    <n v="323.84300000000002"/>
    <n v="1120.9950000000001"/>
    <n v="1051.3395"/>
    <n v="-69.655500000000075"/>
    <d v="2023-03-27T00:00:00"/>
    <x v="1"/>
    <x v="3"/>
    <n v="421248"/>
    <n v="63009850"/>
    <s v="KAH 32 12/1L 20 EX"/>
    <n v="31.5"/>
    <n v="2545"/>
    <n v="12"/>
    <n v="30540"/>
    <n v="250"/>
    <n v="250"/>
    <n v="210"/>
    <m/>
    <n v="210"/>
    <n v="52500"/>
    <n v="4375"/>
    <n v="30540"/>
    <n v="58.17"/>
    <n v="58.1"/>
    <n v="100.13"/>
    <n v="100"/>
    <n v="10"/>
    <m/>
    <m/>
    <m/>
    <m/>
    <m/>
    <n v="78"/>
    <n v="88"/>
    <m/>
    <m/>
    <n v="10"/>
    <n v="10"/>
    <m/>
    <n v="15"/>
    <m/>
    <m/>
    <m/>
    <m/>
    <m/>
    <m/>
    <m/>
    <n v="23"/>
    <m/>
    <m/>
    <m/>
    <m/>
    <m/>
    <m/>
    <m/>
    <n v="30"/>
    <m/>
    <m/>
    <m/>
    <m/>
    <m/>
    <m/>
    <m/>
    <m/>
    <m/>
    <m/>
    <n v="783"/>
    <n v="78"/>
  </r>
  <r>
    <s v="FY23"/>
    <s v="P9"/>
    <s v="March"/>
    <s v="FY23P9C"/>
    <s v="FY23P963009850"/>
    <n v="0"/>
    <n v="0"/>
    <n v="0"/>
    <s v="45012C"/>
    <s v="45012C        FS10"/>
    <s v="FY23P9        FS10C"/>
    <s v="FY23        FS10"/>
    <s v="in        FS10"/>
    <s v="FY23P9        FS10"/>
    <n v="166.07333333333332"/>
    <n v="423.48699999999997"/>
    <n v="1574.7310714285716"/>
    <n v="1578.0420000000001"/>
    <n v="3.3109285714285761"/>
    <d v="2023-03-27T00:00:00"/>
    <x v="1"/>
    <x v="3"/>
    <n v="425872"/>
    <n v="63009850"/>
    <s v="KAH 32 12/1L 20 EX"/>
    <n v="44.25"/>
    <n v="3820"/>
    <n v="12"/>
    <n v="45840"/>
    <n v="250"/>
    <n v="250"/>
    <n v="295"/>
    <n v="30"/>
    <n v="265"/>
    <n v="66250"/>
    <n v="5521"/>
    <n v="45840"/>
    <n v="69.19"/>
    <n v="60.75"/>
    <n v="113.89"/>
    <n v="100"/>
    <m/>
    <m/>
    <n v="10"/>
    <m/>
    <m/>
    <m/>
    <n v="94"/>
    <n v="104"/>
    <m/>
    <m/>
    <n v="40"/>
    <m/>
    <m/>
    <m/>
    <m/>
    <m/>
    <m/>
    <m/>
    <m/>
    <m/>
    <n v="23"/>
    <m/>
    <m/>
    <n v="8"/>
    <m/>
    <m/>
    <n v="10"/>
    <m/>
    <m/>
    <n v="35"/>
    <m/>
    <m/>
    <n v="26"/>
    <m/>
    <m/>
    <m/>
    <m/>
    <m/>
    <m/>
    <m/>
    <n v="234"/>
    <n v="102"/>
  </r>
  <r>
    <s v="FY23"/>
    <s v="P9"/>
    <s v="March"/>
    <s v="FY23P9C"/>
    <s v="FY23P930012034"/>
    <n v="0"/>
    <n v="0"/>
    <n v="1"/>
    <s v="45012C"/>
    <s v="45012C        FS12"/>
    <s v="FY23P9        FS12C"/>
    <s v="FY23        FS12"/>
    <s v="in        FS12"/>
    <s v="FY23P9        FS12"/>
    <n v="90.285000000000011"/>
    <n v="279.88350000000003"/>
    <n v="650.05200000000013"/>
    <n v="262.404"/>
    <n v="-387.64800000000014"/>
    <d v="2023-03-27T00:00:00"/>
    <x v="1"/>
    <x v="4"/>
    <n v="417600"/>
    <n v="30012034"/>
    <s v="SEAG GIN 80P 6/1.75L ND US"/>
    <n v="18"/>
    <n v="1182"/>
    <n v="6"/>
    <n v="7092"/>
    <n v="130"/>
    <n v="130"/>
    <n v="180"/>
    <m/>
    <n v="180"/>
    <n v="23400"/>
    <n v="3900"/>
    <n v="7092"/>
    <n v="30.31"/>
    <n v="41.11"/>
    <n v="73.72"/>
    <n v="100"/>
    <m/>
    <m/>
    <m/>
    <m/>
    <n v="30"/>
    <m/>
    <n v="76"/>
    <n v="106"/>
    <m/>
    <m/>
    <n v="30"/>
    <m/>
    <m/>
    <n v="10"/>
    <m/>
    <m/>
    <m/>
    <m/>
    <n v="43"/>
    <m/>
    <n v="10"/>
    <m/>
    <m/>
    <n v="9"/>
    <m/>
    <n v="13"/>
    <m/>
    <m/>
    <m/>
    <n v="8"/>
    <m/>
    <m/>
    <m/>
    <m/>
    <m/>
    <m/>
    <m/>
    <m/>
    <m/>
    <m/>
    <n v="462"/>
    <n v="93"/>
  </r>
  <r>
    <s v="FY23"/>
    <s v="P9"/>
    <s v="March"/>
    <s v="FY23P9C"/>
    <s v="FY23P930012034"/>
    <n v="0"/>
    <n v="0"/>
    <n v="0"/>
    <s v="45012C"/>
    <s v="45012C        FS12"/>
    <s v="FY23P9        FS12C"/>
    <s v="FY23        FS12"/>
    <s v="in        FS12"/>
    <s v="FY23P9        FS12"/>
    <n v="120.38000000000002"/>
    <n v="625.97600000000011"/>
    <n v="1625.13"/>
    <n v="934.17600000000004"/>
    <n v="-690.95400000000006"/>
    <d v="2023-03-27T00:00:00"/>
    <x v="1"/>
    <x v="4"/>
    <n v="417588"/>
    <n v="30012034"/>
    <s v="SEAG GIN 80P 6/1.75L ND US"/>
    <n v="45"/>
    <n v="4208"/>
    <n v="6"/>
    <n v="25248"/>
    <n v="130"/>
    <n v="130"/>
    <n v="450"/>
    <n v="30"/>
    <n v="420"/>
    <n v="54600"/>
    <n v="9100"/>
    <n v="25248"/>
    <n v="46.24"/>
    <n v="50"/>
    <n v="92.48"/>
    <n v="100"/>
    <n v="10"/>
    <m/>
    <m/>
    <m/>
    <m/>
    <m/>
    <n v="200"/>
    <n v="210"/>
    <m/>
    <m/>
    <n v="40"/>
    <m/>
    <m/>
    <m/>
    <n v="8"/>
    <m/>
    <m/>
    <m/>
    <n v="115"/>
    <m/>
    <m/>
    <n v="17"/>
    <m/>
    <m/>
    <m/>
    <n v="25"/>
    <m/>
    <m/>
    <m/>
    <n v="23"/>
    <m/>
    <n v="20"/>
    <m/>
    <m/>
    <m/>
    <m/>
    <m/>
    <m/>
    <m/>
    <m/>
    <n v="657"/>
    <n v="208"/>
  </r>
  <r>
    <s v="FY23"/>
    <s v="P9"/>
    <s v="March"/>
    <s v="FY23P9B"/>
    <s v="FY23P971608004"/>
    <n v="1"/>
    <n v="1"/>
    <n v="1"/>
    <s v="45013B"/>
    <s v="45013B        FS01"/>
    <s v="FY23P9        FS01B"/>
    <s v="FY23        FS01"/>
    <s v="in        FS01"/>
    <s v="FY23P9        FS01"/>
    <n v="899.3739130434783"/>
    <n v="3777.3704347826088"/>
    <n v="4812.6000000000004"/>
    <n v="180.196"/>
    <n v="-4632.4040000000005"/>
    <d v="2023-03-28T00:00:00"/>
    <x v="0"/>
    <x v="1"/>
    <n v="424499"/>
    <n v="71608004"/>
    <s v="JEFF VSB BBN 82.3 6/750 AU"/>
    <n v="156"/>
    <n v="190"/>
    <n v="6"/>
    <n v="1140"/>
    <n v="55"/>
    <n v="55"/>
    <n v="720"/>
    <n v="30"/>
    <n v="690"/>
    <n v="37950"/>
    <n v="6325"/>
    <n v="1140"/>
    <n v="3"/>
    <n v="7.39"/>
    <n v="40.64"/>
    <n v="100"/>
    <n v="10"/>
    <n v="60"/>
    <n v="10"/>
    <m/>
    <n v="20"/>
    <m/>
    <n v="539"/>
    <n v="639"/>
    <m/>
    <m/>
    <n v="130"/>
    <m/>
    <m/>
    <m/>
    <m/>
    <m/>
    <m/>
    <n v="25"/>
    <n v="420"/>
    <n v="10"/>
    <n v="12"/>
    <m/>
    <m/>
    <m/>
    <n v="7"/>
    <n v="10"/>
    <m/>
    <m/>
    <m/>
    <n v="62"/>
    <m/>
    <m/>
    <m/>
    <m/>
    <m/>
    <m/>
    <m/>
    <m/>
    <m/>
    <m/>
    <m/>
    <n v="546"/>
  </r>
  <r>
    <s v="FY23"/>
    <s v="P9"/>
    <s v="March"/>
    <s v="FY23P9B"/>
    <s v="FY23P930000034"/>
    <n v="0"/>
    <n v="0"/>
    <n v="1"/>
    <s v="45013B"/>
    <s v="45013B        FS03"/>
    <s v="FY23P9        FS03B"/>
    <s v="FY23        FS03"/>
    <s v="in        FS03"/>
    <s v="FY23P9        FS03"/>
    <n v="195.61750000000004"/>
    <n v="1083.42"/>
    <n v="2166.84"/>
    <n v="2085.3791999999999"/>
    <n v="-81.46080000000029"/>
    <d v="2023-03-28T00:00:00"/>
    <x v="0"/>
    <x v="0"/>
    <n v="419155"/>
    <n v="30000034"/>
    <s v="SEAG GIN 80P 120/50 PT ND US"/>
    <n v="60"/>
    <n v="927"/>
    <n v="120"/>
    <n v="111240"/>
    <n v="380"/>
    <n v="380"/>
    <n v="720"/>
    <n v="30"/>
    <n v="690"/>
    <n v="262200"/>
    <n v="2185"/>
    <n v="111240"/>
    <n v="42.43"/>
    <n v="43.77"/>
    <n v="96.93"/>
    <n v="100"/>
    <m/>
    <n v="15"/>
    <m/>
    <m/>
    <n v="20"/>
    <m/>
    <n v="353"/>
    <n v="388"/>
    <m/>
    <m/>
    <n v="65"/>
    <n v="25"/>
    <m/>
    <n v="15"/>
    <n v="30"/>
    <m/>
    <m/>
    <m/>
    <m/>
    <m/>
    <m/>
    <n v="80"/>
    <m/>
    <n v="15"/>
    <n v="70"/>
    <n v="23"/>
    <m/>
    <m/>
    <m/>
    <m/>
    <m/>
    <m/>
    <m/>
    <n v="25"/>
    <n v="7"/>
    <n v="70"/>
    <m/>
    <m/>
    <m/>
    <m/>
    <n v="120"/>
    <n v="360"/>
  </r>
  <r>
    <s v="FY23"/>
    <s v="P9"/>
    <s v="March"/>
    <s v="FY23P9B"/>
    <s v="FY23P996705001"/>
    <n v="0"/>
    <n v="0"/>
    <n v="1"/>
    <s v="45013B"/>
    <s v="45013B        FS04"/>
    <s v="FY23P9        FS04B"/>
    <s v="FY23        FS04"/>
    <s v="in        FS04"/>
    <s v="FY23P9        FS04"/>
    <n v="16.617500000000003"/>
    <n v="106.35200000000002"/>
    <n v="286.81805000000008"/>
    <n v="312.74250000000001"/>
    <n v="25.924449999999922"/>
    <d v="2023-03-28T00:00:00"/>
    <x v="0"/>
    <x v="2"/>
    <n v="417639"/>
    <n v="96705001"/>
    <s v="SV APL70 12/375 CP"/>
    <n v="8.6300000000000008"/>
    <n v="575"/>
    <n v="12"/>
    <n v="6900"/>
    <n v="185"/>
    <n v="185"/>
    <n v="74"/>
    <m/>
    <n v="74"/>
    <n v="13690"/>
    <n v="1141"/>
    <n v="6900"/>
    <n v="50.4"/>
    <n v="79.73"/>
    <n v="63.22"/>
    <n v="100"/>
    <n v="5"/>
    <m/>
    <m/>
    <m/>
    <m/>
    <m/>
    <n v="10"/>
    <n v="15"/>
    <m/>
    <m/>
    <n v="5"/>
    <m/>
    <m/>
    <m/>
    <m/>
    <m/>
    <m/>
    <m/>
    <n v="6"/>
    <m/>
    <n v="6"/>
    <m/>
    <m/>
    <m/>
    <m/>
    <n v="4"/>
    <n v="6"/>
    <m/>
    <m/>
    <m/>
    <m/>
    <n v="10"/>
    <m/>
    <m/>
    <m/>
    <m/>
    <m/>
    <m/>
    <m/>
    <m/>
    <n v="497"/>
    <n v="32"/>
  </r>
  <r>
    <s v="FY23"/>
    <s v="P9"/>
    <s v="March"/>
    <s v="FY23P9B"/>
    <s v="FY23P996705001"/>
    <n v="0"/>
    <n v="0"/>
    <n v="0"/>
    <s v="45013B"/>
    <s v="45013B        FS04"/>
    <s v="FY23P9        FS04B"/>
    <s v="FY23        FS04"/>
    <s v="in        FS04"/>
    <s v="FY23P9        FS04"/>
    <n v="49.852500000000006"/>
    <n v="501.84850000000006"/>
    <n v="732.83175000000017"/>
    <n v="146.85300000000001"/>
    <n v="-585.97875000000022"/>
    <d v="2023-03-28T00:00:00"/>
    <x v="0"/>
    <x v="2"/>
    <n v="428113"/>
    <n v="96705001"/>
    <s v="SV APL70 12/375 CP"/>
    <n v="22.05"/>
    <n v="270"/>
    <n v="12"/>
    <n v="3240"/>
    <n v="185"/>
    <n v="185"/>
    <n v="189"/>
    <m/>
    <n v="189"/>
    <n v="34965"/>
    <n v="2914"/>
    <n v="3240"/>
    <n v="9.27"/>
    <n v="15.34"/>
    <n v="60.39"/>
    <n v="100"/>
    <m/>
    <n v="15"/>
    <m/>
    <m/>
    <m/>
    <m/>
    <n v="145"/>
    <n v="160"/>
    <m/>
    <m/>
    <n v="15"/>
    <m/>
    <m/>
    <m/>
    <n v="25"/>
    <m/>
    <m/>
    <m/>
    <m/>
    <m/>
    <n v="16"/>
    <m/>
    <m/>
    <m/>
    <m/>
    <m/>
    <m/>
    <m/>
    <m/>
    <m/>
    <n v="104"/>
    <n v="6"/>
    <m/>
    <m/>
    <m/>
    <m/>
    <m/>
    <m/>
    <m/>
    <m/>
    <n v="270"/>
    <n v="151"/>
  </r>
  <r>
    <s v="FY23"/>
    <s v="P9"/>
    <s v="March"/>
    <s v="FY23P9B"/>
    <s v="FY23P930001034"/>
    <n v="0"/>
    <n v="0"/>
    <n v="1"/>
    <s v="45013B"/>
    <s v="45013B        FS05"/>
    <s v="FY23P9        FS05B"/>
    <s v="FY23        FS05"/>
    <s v="in        FS05"/>
    <s v="FY23P9        FS05"/>
    <n v="66.470000000000013"/>
    <n v="239.29200000000003"/>
    <n v="567.98615000000007"/>
    <n v="793.36799999999994"/>
    <n v="225.38184999999987"/>
    <d v="2023-03-28T00:00:00"/>
    <x v="0"/>
    <x v="5"/>
    <n v="417594"/>
    <n v="30001034"/>
    <s v="SEAG GIN 80P 48/100 FSK ND US"/>
    <n v="17.09"/>
    <n v="540"/>
    <n v="48"/>
    <n v="25920"/>
    <n v="250"/>
    <n v="250"/>
    <n v="205"/>
    <m/>
    <n v="205"/>
    <n v="51250"/>
    <n v="1068"/>
    <n v="25920"/>
    <n v="50.58"/>
    <n v="70.73"/>
    <n v="71.5"/>
    <n v="100"/>
    <n v="5"/>
    <n v="15"/>
    <m/>
    <m/>
    <m/>
    <m/>
    <n v="40"/>
    <n v="60"/>
    <m/>
    <m/>
    <n v="20"/>
    <m/>
    <n v="15"/>
    <n v="5"/>
    <m/>
    <m/>
    <n v="5"/>
    <m/>
    <n v="3"/>
    <m/>
    <n v="6"/>
    <m/>
    <m/>
    <m/>
    <m/>
    <n v="6"/>
    <m/>
    <m/>
    <n v="5"/>
    <n v="25"/>
    <m/>
    <n v="2"/>
    <m/>
    <m/>
    <m/>
    <m/>
    <m/>
    <m/>
    <m/>
    <m/>
    <n v="190"/>
    <n v="72"/>
  </r>
  <r>
    <s v="FY23"/>
    <s v="P9"/>
    <s v="March"/>
    <s v="FY23P9B"/>
    <s v="FY23P930001034"/>
    <n v="0"/>
    <n v="0"/>
    <n v="0"/>
    <s v="45013B"/>
    <s v="45013B        FS05"/>
    <s v="FY23P9        FS05B"/>
    <s v="FY23        FS05"/>
    <s v="in        FS05"/>
    <s v="FY23P9        FS05"/>
    <n v="249.26250000000005"/>
    <n v="481.90750000000008"/>
    <n v="1370.9437500000004"/>
    <n v="1614.6507999999999"/>
    <n v="243.70704999999953"/>
    <d v="2023-03-28T00:00:00"/>
    <x v="0"/>
    <x v="5"/>
    <n v="417601"/>
    <n v="30001034"/>
    <s v="SEAG GIN 80P 48/100 FSK ND US"/>
    <n v="41.25"/>
    <n v="1099"/>
    <n v="48"/>
    <n v="52752"/>
    <n v="250"/>
    <n v="250"/>
    <n v="495"/>
    <n v="30"/>
    <n v="465"/>
    <n v="116250"/>
    <n v="2422"/>
    <n v="52752"/>
    <n v="45.38"/>
    <n v="66.67"/>
    <n v="68.069999999999993"/>
    <n v="100"/>
    <m/>
    <n v="15"/>
    <m/>
    <m/>
    <n v="30"/>
    <m/>
    <n v="110"/>
    <n v="155"/>
    <m/>
    <m/>
    <n v="75"/>
    <m/>
    <m/>
    <n v="8"/>
    <n v="15"/>
    <m/>
    <n v="5"/>
    <m/>
    <n v="10"/>
    <m/>
    <n v="3"/>
    <n v="40"/>
    <m/>
    <n v="4"/>
    <n v="9"/>
    <n v="24"/>
    <m/>
    <m/>
    <m/>
    <n v="21"/>
    <m/>
    <n v="6"/>
    <m/>
    <m/>
    <m/>
    <m/>
    <m/>
    <m/>
    <m/>
    <m/>
    <m/>
    <n v="145"/>
  </r>
  <r>
    <s v="FY23"/>
    <s v="P9"/>
    <s v="March"/>
    <s v="FY23P9B"/>
    <s v="FY23P963009851"/>
    <n v="0"/>
    <n v="0"/>
    <n v="1"/>
    <s v="45013B"/>
    <s v="45013B        FS10"/>
    <s v="FY23P9        FS10B"/>
    <s v="FY23        FS10"/>
    <s v="in        FS10"/>
    <s v="FY23P9        FS10"/>
    <n v="290.62833333333333"/>
    <n v="1282.9165"/>
    <n v="2241.9900000000002"/>
    <n v="2077.8338000000003"/>
    <n v="-164.1561999999999"/>
    <d v="2023-03-28T00:00:00"/>
    <x v="0"/>
    <x v="3"/>
    <n v="417509"/>
    <n v="63009851"/>
    <s v="KAH 32 12/1L 21 MX"/>
    <n v="63"/>
    <n v="5222"/>
    <n v="12"/>
    <n v="62664"/>
    <n v="250"/>
    <n v="250"/>
    <n v="630"/>
    <n v="30"/>
    <n v="600"/>
    <n v="150000"/>
    <n v="12500"/>
    <n v="62664"/>
    <n v="41.78"/>
    <n v="42.83"/>
    <n v="97.53"/>
    <n v="100"/>
    <n v="5"/>
    <n v="15"/>
    <m/>
    <m/>
    <n v="20"/>
    <m/>
    <n v="303"/>
    <n v="343"/>
    <m/>
    <m/>
    <n v="70"/>
    <m/>
    <n v="35"/>
    <m/>
    <n v="22"/>
    <m/>
    <m/>
    <m/>
    <n v="12"/>
    <m/>
    <m/>
    <n v="45"/>
    <m/>
    <n v="25"/>
    <m/>
    <m/>
    <m/>
    <m/>
    <m/>
    <n v="22"/>
    <m/>
    <n v="44"/>
    <n v="40"/>
    <n v="58"/>
    <m/>
    <m/>
    <m/>
    <m/>
    <m/>
    <n v="6"/>
    <n v="750"/>
    <n v="309"/>
  </r>
  <r>
    <s v="FY23"/>
    <s v="P9"/>
    <s v="March"/>
    <s v="FY23P9B"/>
    <s v="FY23P930012034"/>
    <n v="0"/>
    <n v="0"/>
    <n v="1"/>
    <s v="45013B"/>
    <s v="45013B        FS12"/>
    <s v="FY23P9        FS12B"/>
    <s v="FY23        FS12"/>
    <s v="in        FS12"/>
    <s v="FY23P9        FS12"/>
    <n v="315.99750000000006"/>
    <n v="331.04500000000007"/>
    <n v="2275.1820000000002"/>
    <n v="1485.18"/>
    <n v="-790.00200000000018"/>
    <d v="2023-03-28T00:00:00"/>
    <x v="0"/>
    <x v="4"/>
    <n v="417600"/>
    <n v="30012034"/>
    <s v="SEAG GIN 80P 6/1.75L ND US"/>
    <n v="63"/>
    <n v="6690"/>
    <n v="6"/>
    <n v="40140"/>
    <n v="130"/>
    <n v="130"/>
    <n v="630"/>
    <n v="30"/>
    <n v="600"/>
    <n v="78000"/>
    <n v="13000"/>
    <n v="40140"/>
    <n v="51.46"/>
    <n v="72"/>
    <n v="71.47"/>
    <n v="100"/>
    <n v="10"/>
    <n v="45"/>
    <m/>
    <m/>
    <n v="20"/>
    <m/>
    <n v="93"/>
    <n v="168"/>
    <m/>
    <m/>
    <n v="105"/>
    <m/>
    <m/>
    <n v="34"/>
    <n v="7"/>
    <m/>
    <m/>
    <m/>
    <m/>
    <m/>
    <m/>
    <n v="25"/>
    <m/>
    <n v="5"/>
    <m/>
    <n v="5"/>
    <m/>
    <m/>
    <m/>
    <n v="21"/>
    <m/>
    <n v="13"/>
    <m/>
    <m/>
    <m/>
    <m/>
    <m/>
    <m/>
    <m/>
    <m/>
    <n v="880"/>
    <n v="110"/>
  </r>
  <r>
    <s v="FY23"/>
    <s v="P9"/>
    <s v="March"/>
    <s v="FY23P9C"/>
    <s v="FY23P971608004"/>
    <n v="0"/>
    <n v="1"/>
    <n v="1"/>
    <s v="45013C"/>
    <s v="45013C        FS01"/>
    <s v="FY23P9        FS01C"/>
    <s v="FY23        FS01"/>
    <s v="in        FS01"/>
    <s v="FY23P9        FS01"/>
    <n v="1352.8421052631577"/>
    <n v="2135.5578947368417"/>
    <n v="5553"/>
    <n v="1878.7804000000001"/>
    <n v="-3674.2195999999999"/>
    <d v="2023-03-28T00:00:00"/>
    <x v="1"/>
    <x v="1"/>
    <n v="415762"/>
    <n v="71608004"/>
    <s v="JEFF VSB BBN 82.3 6/750 AU"/>
    <n v="180"/>
    <n v="1981"/>
    <n v="6"/>
    <n v="11886"/>
    <n v="55"/>
    <n v="55"/>
    <n v="600"/>
    <n v="30"/>
    <n v="570"/>
    <n v="31350"/>
    <n v="5225"/>
    <n v="11886"/>
    <n v="37.909999999999997"/>
    <n v="43.33"/>
    <n v="87.49"/>
    <n v="100"/>
    <m/>
    <n v="60"/>
    <n v="20"/>
    <m/>
    <n v="30"/>
    <m/>
    <n v="213"/>
    <n v="323"/>
    <m/>
    <m/>
    <n v="140"/>
    <m/>
    <m/>
    <m/>
    <n v="15"/>
    <m/>
    <m/>
    <n v="15"/>
    <m/>
    <m/>
    <m/>
    <n v="43"/>
    <m/>
    <m/>
    <n v="21"/>
    <m/>
    <n v="8"/>
    <m/>
    <m/>
    <n v="77"/>
    <m/>
    <n v="32"/>
    <m/>
    <m/>
    <m/>
    <m/>
    <m/>
    <m/>
    <m/>
    <n v="10"/>
    <m/>
    <n v="221"/>
  </r>
  <r>
    <s v="FY23"/>
    <s v="P9"/>
    <s v="March"/>
    <s v="FY23P9C"/>
    <s v="FY23P971608004"/>
    <n v="0"/>
    <n v="0"/>
    <n v="0"/>
    <s v="45013C"/>
    <s v="45013C        FS01"/>
    <s v="FY23P9        FS01C"/>
    <s v="FY23        FS01"/>
    <s v="in        FS01"/>
    <s v="FY23P9        FS01"/>
    <n v="33.15"/>
    <n v="669.63"/>
    <n v="802.1"/>
    <n v="107.1692"/>
    <n v="-694.93079999999998"/>
    <d v="2023-03-28T00:00:00"/>
    <x v="1"/>
    <x v="1"/>
    <n v="424499"/>
    <n v="71608004"/>
    <s v="JEFF VSB BBN 82.3 6/750 AU"/>
    <n v="26"/>
    <n v="113"/>
    <n v="6"/>
    <n v="678"/>
    <n v="55"/>
    <n v="55"/>
    <n v="120"/>
    <m/>
    <n v="120"/>
    <n v="6600"/>
    <n v="1100"/>
    <n v="678"/>
    <n v="10.27"/>
    <n v="11.67"/>
    <n v="88.05"/>
    <n v="100"/>
    <n v="5"/>
    <m/>
    <m/>
    <m/>
    <m/>
    <m/>
    <n v="101"/>
    <n v="106"/>
    <m/>
    <m/>
    <n v="5"/>
    <m/>
    <m/>
    <m/>
    <m/>
    <m/>
    <m/>
    <m/>
    <m/>
    <n v="101"/>
    <m/>
    <m/>
    <m/>
    <m/>
    <m/>
    <m/>
    <m/>
    <m/>
    <m/>
    <m/>
    <m/>
    <m/>
    <m/>
    <m/>
    <m/>
    <m/>
    <m/>
    <m/>
    <m/>
    <m/>
    <n v="20"/>
    <n v="101"/>
  </r>
  <r>
    <s v="FY23"/>
    <s v="P9"/>
    <s v="March"/>
    <s v="FY23P9C"/>
    <s v="FY23P930000034"/>
    <n v="0"/>
    <n v="0"/>
    <n v="1"/>
    <s v="45013C"/>
    <s v="45013C        FS03"/>
    <s v="FY23P9        FS03C"/>
    <s v="FY23        FS03"/>
    <s v="in        FS03"/>
    <s v="FY23P9        FS03"/>
    <n v="361.14000000000004"/>
    <n v="821.59350000000018"/>
    <n v="2166.84"/>
    <n v="2146.1183999999998"/>
    <n v="-20.721600000000308"/>
    <d v="2023-03-28T00:00:00"/>
    <x v="1"/>
    <x v="0"/>
    <n v="419156"/>
    <n v="30000034"/>
    <s v="SEAG GIN 80P 120/50 PT ND US"/>
    <n v="60"/>
    <n v="954"/>
    <n v="120"/>
    <n v="114480"/>
    <n v="380"/>
    <n v="380"/>
    <n v="720"/>
    <n v="30"/>
    <n v="690"/>
    <n v="262200"/>
    <n v="2185"/>
    <n v="114480"/>
    <n v="10.27"/>
    <n v="49.13"/>
    <n v="88.87"/>
    <n v="100"/>
    <n v="10"/>
    <n v="60"/>
    <m/>
    <m/>
    <n v="20"/>
    <m/>
    <n v="261"/>
    <n v="351"/>
    <m/>
    <m/>
    <n v="120"/>
    <m/>
    <m/>
    <n v="28"/>
    <m/>
    <m/>
    <m/>
    <m/>
    <m/>
    <m/>
    <m/>
    <m/>
    <n v="44"/>
    <n v="8"/>
    <n v="117"/>
    <n v="21"/>
    <m/>
    <m/>
    <n v="14"/>
    <n v="4"/>
    <m/>
    <n v="11"/>
    <m/>
    <m/>
    <n v="26"/>
    <m/>
    <m/>
    <m/>
    <m/>
    <m/>
    <n v="97"/>
    <n v="273"/>
  </r>
  <r>
    <s v="FY23"/>
    <s v="P9"/>
    <s v="March"/>
    <s v="FY23P9C"/>
    <s v="FY23P963009851"/>
    <n v="0"/>
    <n v="0"/>
    <n v="1"/>
    <s v="45013C"/>
    <s v="45013C        FS10"/>
    <s v="FY23P9        FS10C"/>
    <s v="FY23        FS10"/>
    <s v="in        FS10"/>
    <s v="FY23P9        FS10"/>
    <n v="166.07333333333332"/>
    <n v="373.66500000000002"/>
    <n v="2277.5771428571429"/>
    <n v="2652.7993000000001"/>
    <n v="375.22215714285721"/>
    <d v="2023-03-28T00:00:00"/>
    <x v="1"/>
    <x v="3"/>
    <n v="417516"/>
    <n v="63009851"/>
    <s v="KAH 32 12/1L 21 MX"/>
    <n v="64"/>
    <n v="6667"/>
    <n v="12"/>
    <n v="80004"/>
    <n v="250"/>
    <n v="250"/>
    <n v="480"/>
    <n v="30"/>
    <n v="450"/>
    <n v="112500"/>
    <n v="9375"/>
    <n v="80004"/>
    <n v="71.11"/>
    <n v="78.89"/>
    <n v="90.15"/>
    <n v="100"/>
    <n v="10"/>
    <m/>
    <m/>
    <m/>
    <m/>
    <m/>
    <n v="85"/>
    <n v="95"/>
    <m/>
    <m/>
    <n v="40"/>
    <m/>
    <m/>
    <n v="20"/>
    <m/>
    <m/>
    <m/>
    <m/>
    <m/>
    <m/>
    <n v="20"/>
    <m/>
    <m/>
    <m/>
    <m/>
    <m/>
    <n v="12"/>
    <m/>
    <m/>
    <n v="12"/>
    <m/>
    <n v="11"/>
    <n v="10"/>
    <n v="5"/>
    <m/>
    <m/>
    <m/>
    <m/>
    <m/>
    <m/>
    <n v="883"/>
    <n v="90"/>
  </r>
  <r>
    <s v="FY23"/>
    <s v="P9"/>
    <s v="March"/>
    <s v="FY23P9C"/>
    <s v="FY23P963009851"/>
    <n v="0"/>
    <n v="0"/>
    <n v="0"/>
    <s v="45013C"/>
    <s v="45013C        FS10"/>
    <s v="FY23P9        FS10C"/>
    <s v="FY23        FS10"/>
    <s v="in        FS10"/>
    <s v="FY23P9        FS10"/>
    <n v="166.07333333333332"/>
    <n v="91.340333333333334"/>
    <n v="587.18785714285718"/>
    <n v="401.87900000000002"/>
    <n v="-185.30885714285716"/>
    <d v="2023-03-28T00:00:00"/>
    <x v="1"/>
    <x v="3"/>
    <n v="417509"/>
    <n v="63009851"/>
    <s v="KAH 32 12/1L 21 MX"/>
    <n v="16.5"/>
    <n v="1010"/>
    <n v="12"/>
    <n v="12120"/>
    <n v="250"/>
    <n v="250"/>
    <n v="110"/>
    <m/>
    <n v="110"/>
    <n v="27500"/>
    <n v="2292"/>
    <n v="12120"/>
    <n v="44.07"/>
    <n v="43.64"/>
    <n v="101"/>
    <n v="100"/>
    <m/>
    <m/>
    <n v="10"/>
    <m/>
    <n v="30"/>
    <m/>
    <n v="22"/>
    <n v="62"/>
    <m/>
    <m/>
    <n v="40"/>
    <m/>
    <m/>
    <m/>
    <m/>
    <m/>
    <m/>
    <m/>
    <m/>
    <m/>
    <m/>
    <m/>
    <m/>
    <m/>
    <m/>
    <m/>
    <m/>
    <m/>
    <m/>
    <n v="22"/>
    <m/>
    <m/>
    <m/>
    <m/>
    <m/>
    <m/>
    <m/>
    <m/>
    <m/>
    <m/>
    <n v="820"/>
    <n v="22"/>
  </r>
  <r>
    <s v="FY23"/>
    <s v="P9"/>
    <s v="March"/>
    <s v="FY23P9B"/>
    <s v="FY23P971608004"/>
    <n v="1"/>
    <n v="1"/>
    <n v="1"/>
    <s v="45014B"/>
    <s v="45014B        FS01"/>
    <s v="FY23P9        FS01B"/>
    <s v="FY23        FS01"/>
    <s v="in        FS01"/>
    <s v="FY23P9        FS01"/>
    <n v="232.04999999999998"/>
    <n v="331.5"/>
    <n v="1403.675"/>
    <n v="777.68799999999999"/>
    <n v="-625.98699999999997"/>
    <d v="2023-03-29T00:00:00"/>
    <x v="0"/>
    <x v="1"/>
    <n v="415762"/>
    <n v="71608004"/>
    <s v="JEFF VSB BBN 82.3 6/750 AU"/>
    <n v="45.5"/>
    <n v="820"/>
    <n v="6"/>
    <n v="4920"/>
    <n v="55"/>
    <n v="55"/>
    <n v="210"/>
    <m/>
    <n v="210"/>
    <n v="11550"/>
    <n v="1925"/>
    <n v="4920"/>
    <n v="42.6"/>
    <n v="60.95"/>
    <n v="69.89"/>
    <n v="100"/>
    <n v="10"/>
    <n v="15"/>
    <n v="10"/>
    <m/>
    <m/>
    <m/>
    <n v="47"/>
    <n v="82"/>
    <m/>
    <m/>
    <n v="35"/>
    <m/>
    <m/>
    <m/>
    <n v="15"/>
    <m/>
    <m/>
    <m/>
    <m/>
    <m/>
    <m/>
    <n v="16"/>
    <m/>
    <m/>
    <m/>
    <m/>
    <m/>
    <m/>
    <n v="3"/>
    <m/>
    <n v="16"/>
    <m/>
    <m/>
    <m/>
    <m/>
    <m/>
    <m/>
    <m/>
    <m/>
    <m/>
    <n v="235"/>
    <n v="50"/>
  </r>
  <r>
    <s v="FY23"/>
    <s v="P9"/>
    <s v="March"/>
    <s v="FY23P9B"/>
    <s v="FY23P971608001"/>
    <n v="0"/>
    <n v="0"/>
    <n v="0"/>
    <s v="45014B"/>
    <s v="45014B        FS01"/>
    <s v="FY23P9        FS01B"/>
    <s v="FY23        FS01"/>
    <s v="in        FS01"/>
    <s v="FY23P9        FS01"/>
    <n v="542.20000000000005"/>
    <n v="589.64250000000004"/>
    <n v="2643.2249999999999"/>
    <n v="3232.7207999999996"/>
    <n v="589.49579999999969"/>
    <d v="2023-03-29T00:00:00"/>
    <x v="0"/>
    <x v="1"/>
    <n v="413422"/>
    <n v="71608001"/>
    <s v="JEFF VSB BBN 82.3 6/750 US"/>
    <n v="110.5"/>
    <n v="2052"/>
    <n v="6"/>
    <n v="12312"/>
    <n v="55"/>
    <n v="55"/>
    <n v="510"/>
    <n v="30"/>
    <n v="480"/>
    <n v="26400"/>
    <n v="4400"/>
    <n v="12312"/>
    <n v="46.64"/>
    <n v="75.42"/>
    <n v="61.84"/>
    <n v="100"/>
    <m/>
    <n v="30"/>
    <m/>
    <m/>
    <n v="20"/>
    <m/>
    <n v="68"/>
    <n v="118"/>
    <m/>
    <m/>
    <n v="80"/>
    <m/>
    <m/>
    <m/>
    <n v="21"/>
    <m/>
    <m/>
    <n v="16"/>
    <m/>
    <m/>
    <m/>
    <n v="11"/>
    <m/>
    <m/>
    <n v="4"/>
    <m/>
    <m/>
    <m/>
    <m/>
    <n v="4"/>
    <m/>
    <n v="4"/>
    <m/>
    <m/>
    <m/>
    <n v="7"/>
    <m/>
    <m/>
    <m/>
    <n v="20"/>
    <m/>
    <n v="87"/>
  </r>
  <r>
    <s v="FY23"/>
    <s v="P9"/>
    <s v="March"/>
    <s v="FY23P9B"/>
    <s v="FY23P930000034"/>
    <n v="0"/>
    <n v="0"/>
    <n v="1"/>
    <s v="45014B"/>
    <s v="45014B        FS03"/>
    <s v="FY23P9        FS03B"/>
    <s v="FY23        FS03"/>
    <s v="in        FS03"/>
    <s v="FY23P9        FS03"/>
    <n v="225.71250000000003"/>
    <n v="511.61500000000007"/>
    <n v="1083.42"/>
    <n v="818.85439999999983"/>
    <n v="-264.56560000000025"/>
    <d v="2023-03-29T00:00:00"/>
    <x v="0"/>
    <x v="0"/>
    <n v="419157"/>
    <n v="30000034"/>
    <s v="SEAG GIN 80P 120/50 PT ND US"/>
    <n v="30"/>
    <n v="364"/>
    <n v="120"/>
    <n v="43680"/>
    <n v="380"/>
    <n v="380"/>
    <n v="360"/>
    <m/>
    <n v="360"/>
    <n v="136800"/>
    <n v="1140"/>
    <n v="43680"/>
    <n v="31.93"/>
    <n v="39.44"/>
    <n v="80.95"/>
    <n v="100"/>
    <n v="15"/>
    <n v="45"/>
    <n v="15"/>
    <m/>
    <m/>
    <m/>
    <n v="143"/>
    <n v="218"/>
    <m/>
    <m/>
    <n v="75"/>
    <m/>
    <m/>
    <n v="10"/>
    <n v="20"/>
    <m/>
    <m/>
    <m/>
    <m/>
    <m/>
    <m/>
    <n v="12"/>
    <m/>
    <m/>
    <n v="101"/>
    <n v="9"/>
    <m/>
    <m/>
    <n v="8"/>
    <m/>
    <m/>
    <m/>
    <m/>
    <n v="5"/>
    <m/>
    <m/>
    <m/>
    <m/>
    <m/>
    <n v="5"/>
    <n v="100"/>
    <n v="170"/>
  </r>
  <r>
    <s v="FY23"/>
    <s v="P9"/>
    <s v="March"/>
    <s v="FY23P9B"/>
    <s v="FY23P961005002"/>
    <n v="0"/>
    <n v="0"/>
    <n v="1"/>
    <s v="45014B"/>
    <s v="45014B        FS04"/>
    <s v="FY23P9        FS04B"/>
    <s v="FY23        FS04"/>
    <s v="in        FS04"/>
    <s v="FY23P9        FS04"/>
    <n v="315.73250000000007"/>
    <n v="1638.4855000000002"/>
    <n v="2093.8050000000003"/>
    <n v="281.93200000000002"/>
    <n v="-1811.8730000000003"/>
    <d v="2023-03-29T00:00:00"/>
    <x v="0"/>
    <x v="2"/>
    <n v="421250"/>
    <n v="61005002"/>
    <s v="HW BLKBDY 70 24/375 NB FSK US"/>
    <n v="63"/>
    <n v="280"/>
    <n v="24"/>
    <n v="6720"/>
    <n v="230"/>
    <n v="230"/>
    <n v="630"/>
    <n v="30"/>
    <n v="600"/>
    <n v="138000"/>
    <n v="5750"/>
    <n v="6720"/>
    <n v="4.87"/>
    <n v="9"/>
    <n v="54.11"/>
    <n v="100"/>
    <n v="5"/>
    <n v="30"/>
    <m/>
    <m/>
    <n v="30"/>
    <m/>
    <n v="481"/>
    <n v="546"/>
    <m/>
    <m/>
    <n v="95"/>
    <m/>
    <m/>
    <m/>
    <m/>
    <m/>
    <n v="74"/>
    <m/>
    <m/>
    <m/>
    <n v="4"/>
    <m/>
    <m/>
    <n v="3"/>
    <m/>
    <n v="237"/>
    <m/>
    <m/>
    <m/>
    <n v="151"/>
    <m/>
    <n v="19"/>
    <m/>
    <m/>
    <m/>
    <m/>
    <n v="5"/>
    <m/>
    <m/>
    <m/>
    <n v="24"/>
    <n v="493"/>
  </r>
  <r>
    <s v="FY23"/>
    <s v="P9"/>
    <s v="March"/>
    <s v="FY23P9B"/>
    <s v="FY23P963109031"/>
    <n v="0"/>
    <n v="0"/>
    <n v="1"/>
    <s v="45014B"/>
    <s v="45014B        FS10"/>
    <s v="FY23P9        FS10B"/>
    <s v="FY23        FS10"/>
    <s v="in        FS10"/>
    <s v="FY23P9        FS10"/>
    <n v="39.25951401869159"/>
    <n v="424.71656074766355"/>
    <n v="385.00800000000004"/>
    <n v="243.50700000000001"/>
    <n v="-141.50100000000003"/>
    <d v="2023-03-29T00:00:00"/>
    <x v="0"/>
    <x v="3"/>
    <n v="425332"/>
    <n v="63109031"/>
    <s v="KAH ESP 70 12/1L NB AU"/>
    <n v="12.48"/>
    <n v="470"/>
    <n v="12"/>
    <n v="5640"/>
    <n v="250"/>
    <n v="250"/>
    <n v="107"/>
    <m/>
    <n v="107"/>
    <n v="26750"/>
    <n v="2229"/>
    <n v="5640"/>
    <n v="21.08"/>
    <n v="-14.95"/>
    <n v="-141"/>
    <n v="100"/>
    <n v="5"/>
    <m/>
    <m/>
    <m/>
    <n v="6"/>
    <m/>
    <n v="112"/>
    <n v="123"/>
    <m/>
    <m/>
    <n v="11"/>
    <m/>
    <m/>
    <m/>
    <m/>
    <m/>
    <m/>
    <m/>
    <m/>
    <m/>
    <m/>
    <m/>
    <m/>
    <m/>
    <n v="21"/>
    <m/>
    <m/>
    <m/>
    <m/>
    <n v="45"/>
    <n v="46"/>
    <m/>
    <m/>
    <m/>
    <m/>
    <m/>
    <m/>
    <m/>
    <m/>
    <n v="7"/>
    <n v="275"/>
    <n v="119"/>
  </r>
  <r>
    <s v="FY23"/>
    <s v="P9"/>
    <s v="March"/>
    <s v="FY23P9B"/>
    <s v="FY23P964509017"/>
    <n v="0"/>
    <n v="0"/>
    <n v="0"/>
    <s v="45014B"/>
    <s v="45014B        FS10"/>
    <s v="FY23P9        FS10B"/>
    <s v="FY23        FS10"/>
    <s v="in        FS10"/>
    <s v="FY23P9        FS10"/>
    <n v="1614.7384615384615"/>
    <n v="0"/>
    <n v="1511.65"/>
    <n v="0"/>
    <n v="-1511.65"/>
    <d v="2023-03-29T00:00:00"/>
    <x v="0"/>
    <x v="3"/>
    <n v="412452"/>
    <n v="64509017"/>
    <s v="KAH SALTED CARAMEL40 6/1L AUNZ"/>
    <n v="49"/>
    <m/>
    <n v="6"/>
    <m/>
    <n v="180"/>
    <n v="180"/>
    <n v="420"/>
    <n v="30"/>
    <n v="390"/>
    <n v="70200"/>
    <n v="11700"/>
    <n v="0"/>
    <n v="0"/>
    <n v="0"/>
    <n v="0"/>
    <n v="0"/>
    <m/>
    <n v="30"/>
    <m/>
    <n v="360"/>
    <m/>
    <m/>
    <m/>
    <n v="390"/>
    <m/>
    <m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Y23"/>
    <s v="P9"/>
    <s v="March"/>
    <s v="FY23P9B"/>
    <s v="FY23P930012034"/>
    <n v="0"/>
    <n v="0"/>
    <n v="1"/>
    <s v="45014B"/>
    <s v="45014B        FS12"/>
    <s v="FY23P9        FS12B"/>
    <s v="FY23        FS12"/>
    <s v="in        FS12"/>
    <s v="FY23P9        FS12"/>
    <n v="270.85500000000002"/>
    <n v="78.247000000000014"/>
    <n v="1263.9900000000002"/>
    <n v="1282.05"/>
    <n v="18.059999999999718"/>
    <d v="2023-03-29T00:00:00"/>
    <x v="0"/>
    <x v="4"/>
    <n v="417611"/>
    <n v="30012034"/>
    <s v="SEAG GIN 80P 6/1.75L ND US"/>
    <n v="35"/>
    <n v="5775"/>
    <n v="6"/>
    <n v="34650"/>
    <n v="130"/>
    <n v="130"/>
    <n v="420"/>
    <n v="30"/>
    <n v="390"/>
    <n v="50700"/>
    <n v="8450"/>
    <n v="34650"/>
    <n v="68.34"/>
    <n v="78.97"/>
    <n v="86.54"/>
    <n v="100"/>
    <n v="10"/>
    <n v="30"/>
    <m/>
    <m/>
    <n v="20"/>
    <m/>
    <n v="22"/>
    <n v="82"/>
    <m/>
    <m/>
    <n v="90"/>
    <m/>
    <m/>
    <m/>
    <m/>
    <m/>
    <m/>
    <m/>
    <m/>
    <m/>
    <m/>
    <m/>
    <m/>
    <m/>
    <m/>
    <n v="4"/>
    <m/>
    <m/>
    <m/>
    <n v="11"/>
    <m/>
    <n v="11"/>
    <m/>
    <m/>
    <m/>
    <m/>
    <m/>
    <m/>
    <m/>
    <m/>
    <n v="767"/>
    <n v="26"/>
  </r>
  <r>
    <s v="FY23"/>
    <s v="P9"/>
    <s v="March"/>
    <s v="FY23P9B"/>
    <s v="FY23P981719001"/>
    <n v="0"/>
    <n v="0"/>
    <n v="1"/>
    <s v="45014B"/>
    <s v="45014B        FS14"/>
    <s v="FY23P9        FS14B"/>
    <s v="FY23        FS14"/>
    <s v="in        FS14"/>
    <s v="FY23P9        FS14"/>
    <n v="209.27739130434782"/>
    <n v="1432.7452173913043"/>
    <n v="1866.4250000000002"/>
    <n v="483.86709999999999"/>
    <n v="-1382.5579000000002"/>
    <d v="2023-03-29T00:00:00"/>
    <x v="0"/>
    <x v="6"/>
    <n v="409124"/>
    <n v="81719001"/>
    <s v="MALI PNBBR14USA 24/355 6X4CNUS"/>
    <n v="60.5"/>
    <n v="1817"/>
    <n v="24"/>
    <n v="43608"/>
    <n v="533"/>
    <n v="533"/>
    <n v="605"/>
    <n v="30"/>
    <n v="575"/>
    <n v="306475"/>
    <n v="12770"/>
    <n v="43608"/>
    <n v="14.23"/>
    <n v="16.52"/>
    <n v="86.12"/>
    <n v="100"/>
    <n v="5"/>
    <n v="30"/>
    <m/>
    <m/>
    <m/>
    <m/>
    <n v="445"/>
    <n v="480"/>
    <m/>
    <m/>
    <n v="65"/>
    <m/>
    <m/>
    <m/>
    <n v="20"/>
    <m/>
    <n v="165"/>
    <m/>
    <m/>
    <n v="90"/>
    <m/>
    <m/>
    <m/>
    <m/>
    <m/>
    <m/>
    <m/>
    <m/>
    <m/>
    <m/>
    <m/>
    <n v="35"/>
    <m/>
    <m/>
    <m/>
    <m/>
    <m/>
    <m/>
    <m/>
    <n v="135"/>
    <m/>
    <n v="445"/>
  </r>
  <r>
    <s v="FY23"/>
    <s v="P9"/>
    <s v="March"/>
    <s v="FY23P9C"/>
    <s v="FY23P971608001"/>
    <n v="0"/>
    <n v="1"/>
    <n v="1"/>
    <s v="45014C"/>
    <s v="45014C        FS01"/>
    <s v="FY23P9        FS01C"/>
    <s v="FY23        FS01"/>
    <s v="in        FS01"/>
    <s v="FY23P9        FS01"/>
    <n v="813.3"/>
    <n v="1186.0625"/>
    <n v="4305.7058823529405"/>
    <n v="5208.2723999999998"/>
    <n v="902.5665176470593"/>
    <d v="2023-03-29T00:00:00"/>
    <x v="1"/>
    <x v="1"/>
    <n v="413422"/>
    <n v="71608001"/>
    <s v="JEFF VSB BBN 82.3 6/750 US"/>
    <n v="180"/>
    <n v="3306"/>
    <n v="6"/>
    <n v="19836"/>
    <n v="55"/>
    <n v="55"/>
    <n v="720"/>
    <n v="30"/>
    <n v="690"/>
    <n v="37950"/>
    <n v="6325"/>
    <n v="19836"/>
    <n v="52.27"/>
    <n v="61.59"/>
    <n v="84.86"/>
    <n v="100"/>
    <n v="10"/>
    <n v="60"/>
    <m/>
    <m/>
    <n v="20"/>
    <m/>
    <n v="175"/>
    <n v="265"/>
    <m/>
    <m/>
    <n v="120"/>
    <m/>
    <m/>
    <m/>
    <m/>
    <m/>
    <m/>
    <m/>
    <m/>
    <m/>
    <m/>
    <n v="15"/>
    <m/>
    <n v="15"/>
    <m/>
    <m/>
    <m/>
    <m/>
    <m/>
    <n v="30"/>
    <m/>
    <n v="115"/>
    <m/>
    <m/>
    <m/>
    <m/>
    <m/>
    <m/>
    <m/>
    <m/>
    <n v="233"/>
    <n v="175"/>
  </r>
  <r>
    <s v="FY23"/>
    <s v="P9"/>
    <s v="March"/>
    <s v="FY23P9C"/>
    <s v="FY23P920000054"/>
    <n v="0"/>
    <n v="0"/>
    <n v="1"/>
    <s v="45014C"/>
    <s v="45014C        FS03"/>
    <s v="FY23P9        FS03C"/>
    <s v="FY23        FS03"/>
    <s v="in        FS03"/>
    <s v="FY23P9        FS03"/>
    <n v="391.23500000000007"/>
    <n v="1522.8070000000002"/>
    <n v="2166.84"/>
    <n v="503.05919999999992"/>
    <n v="-1663.7808000000002"/>
    <d v="2023-03-29T00:00:00"/>
    <x v="1"/>
    <x v="0"/>
    <n v="417650"/>
    <n v="20000054"/>
    <s v="MALI 42 120/50 PT SW 21 US"/>
    <n v="60"/>
    <n v="224"/>
    <n v="120"/>
    <n v="26880"/>
    <n v="380"/>
    <n v="380"/>
    <n v="720"/>
    <n v="30"/>
    <n v="690"/>
    <n v="262200"/>
    <n v="2185"/>
    <n v="26880"/>
    <n v="10.25"/>
    <n v="14.64"/>
    <n v="70.040000000000006"/>
    <n v="100"/>
    <n v="10"/>
    <n v="60"/>
    <m/>
    <m/>
    <n v="30"/>
    <m/>
    <n v="489"/>
    <n v="589"/>
    <m/>
    <m/>
    <n v="130"/>
    <m/>
    <m/>
    <n v="32"/>
    <m/>
    <m/>
    <m/>
    <n v="25"/>
    <m/>
    <m/>
    <m/>
    <m/>
    <n v="131"/>
    <n v="4"/>
    <n v="105"/>
    <n v="9"/>
    <m/>
    <m/>
    <n v="4"/>
    <n v="55"/>
    <m/>
    <n v="14"/>
    <m/>
    <m/>
    <n v="127"/>
    <m/>
    <m/>
    <m/>
    <m/>
    <m/>
    <m/>
    <n v="506"/>
  </r>
  <r>
    <s v="FY23"/>
    <s v="P9"/>
    <s v="March"/>
    <s v="FY23P9C"/>
    <s v="FY23P964508017"/>
    <n v="0"/>
    <n v="0"/>
    <n v="1"/>
    <s v="45014C"/>
    <s v="45014C        FS10"/>
    <s v="FY23P9        FS10C"/>
    <s v="FY23        FS10"/>
    <s v="in        FS10"/>
    <s v="FY23P9        FS10"/>
    <n v="871.88499999999999"/>
    <n v="373.66500000000002"/>
    <n v="1120.9950000000001"/>
    <n v="0"/>
    <n v="-1120.9950000000001"/>
    <d v="2023-03-29T00:00:00"/>
    <x v="1"/>
    <x v="3"/>
    <n v="413274"/>
    <n v="64508017"/>
    <s v="KAH SALTED CARAMEL40 12/750 US"/>
    <n v="31.5"/>
    <m/>
    <n v="12"/>
    <m/>
    <n v="290"/>
    <n v="290"/>
    <n v="210"/>
    <m/>
    <n v="210"/>
    <n v="60900"/>
    <n v="5075"/>
    <n v="0"/>
    <n v="0"/>
    <n v="-42.86"/>
    <n v="0"/>
    <n v="0"/>
    <m/>
    <m/>
    <m/>
    <n v="210"/>
    <m/>
    <m/>
    <n v="90"/>
    <n v="300"/>
    <m/>
    <m/>
    <n v="210"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n v="90"/>
  </r>
  <r>
    <s v="FY23"/>
    <s v="P9"/>
    <s v="March"/>
    <s v="FY23P9C"/>
    <s v="FY23P963109031"/>
    <n v="0"/>
    <n v="0"/>
    <n v="0"/>
    <s v="45014C"/>
    <s v="45014C        FS10"/>
    <s v="FY23P9        FS10C"/>
    <s v="FY23        FS10"/>
    <s v="in        FS10"/>
    <s v="FY23P9        FS10"/>
    <n v="321.3"/>
    <n v="107.10000000000001"/>
    <n v="539.875"/>
    <n v="0"/>
    <n v="-539.875"/>
    <d v="2023-03-29T00:00:00"/>
    <x v="1"/>
    <x v="3"/>
    <n v="425332"/>
    <n v="63109031"/>
    <s v="KAH ESP 70 12/1L NB AU"/>
    <n v="17.5"/>
    <m/>
    <n v="12"/>
    <m/>
    <n v="250"/>
    <n v="250"/>
    <n v="150"/>
    <m/>
    <n v="150"/>
    <n v="37500"/>
    <n v="3125"/>
    <n v="0"/>
    <n v="0"/>
    <n v="0"/>
    <n v="0"/>
    <n v="0"/>
    <m/>
    <m/>
    <m/>
    <n v="60"/>
    <n v="30"/>
    <m/>
    <n v="60"/>
    <n v="150"/>
    <m/>
    <m/>
    <n v="90"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1"/>
    <n v="30"/>
  </r>
  <r>
    <s v="FY23"/>
    <s v="P9"/>
    <s v="March"/>
    <s v="FY23P9C"/>
    <s v="FY23P964509017"/>
    <n v="0"/>
    <n v="0"/>
    <n v="0"/>
    <s v="45014C"/>
    <s v="45014C        FS10"/>
    <s v="FY23P9        FS10C"/>
    <s v="FY23        FS10"/>
    <s v="in        FS10"/>
    <s v="FY23P9        FS10"/>
    <n v="114.75"/>
    <n v="582.92999999999995"/>
    <n v="1203.1500000000001"/>
    <n v="920.14560000000006"/>
    <n v="-283.00440000000003"/>
    <d v="2023-03-29T00:00:00"/>
    <x v="1"/>
    <x v="3"/>
    <n v="412452"/>
    <n v="64509017"/>
    <s v="KAH SALTED CARAMEL40 6/1L AUNZ"/>
    <n v="39"/>
    <n v="1776"/>
    <n v="6"/>
    <n v="10656"/>
    <n v="180"/>
    <n v="180"/>
    <n v="260"/>
    <m/>
    <n v="260"/>
    <n v="46800"/>
    <n v="7800"/>
    <n v="10656"/>
    <n v="22.77"/>
    <n v="41.54"/>
    <n v="54.81"/>
    <n v="100"/>
    <n v="10"/>
    <n v="15"/>
    <m/>
    <m/>
    <m/>
    <m/>
    <n v="127"/>
    <n v="152"/>
    <m/>
    <m/>
    <n v="25"/>
    <m/>
    <m/>
    <n v="15"/>
    <m/>
    <m/>
    <m/>
    <m/>
    <m/>
    <m/>
    <m/>
    <m/>
    <m/>
    <n v="15"/>
    <n v="15"/>
    <m/>
    <n v="25"/>
    <m/>
    <m/>
    <m/>
    <m/>
    <n v="30"/>
    <n v="27"/>
    <m/>
    <m/>
    <m/>
    <m/>
    <m/>
    <m/>
    <m/>
    <n v="334"/>
    <n v="127"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FY23"/>
    <s v="P9"/>
    <s v="March"/>
    <s v="FY23P9B"/>
    <s v="FY23P930000034"/>
    <n v="1"/>
    <n v="1"/>
    <n v="1"/>
    <s v="45011B"/>
    <s v="45011B        FS03"/>
    <s v="FY23P9        FS03B"/>
    <s v="FY23        FS03"/>
    <s v="in        FS03"/>
    <s v="FY23P9        FS03"/>
    <n v="255.80750000000003"/>
    <n v="1068.3725000000002"/>
    <n v="2166.84"/>
    <n v="2186.6111999999998"/>
    <n v="19.771199999999681"/>
    <x v="0"/>
    <s v="B"/>
    <x v="0"/>
    <n v="419160"/>
    <n v="30000034"/>
    <s v="SEAG GIN 80P 120/50 PT ND US"/>
    <n v="60"/>
    <n v="972"/>
    <n v="120"/>
    <n v="116640"/>
    <n v="380"/>
    <n v="380"/>
    <n v="720"/>
    <n v="30"/>
    <n v="690"/>
    <n v="262200"/>
    <n v="2185"/>
    <n v="116640"/>
    <n v="44.49"/>
    <n v="41.45"/>
    <n v="107.32"/>
    <n v="100"/>
    <n v="15"/>
    <n v="15"/>
    <m/>
    <m/>
    <n v="25"/>
    <m/>
    <n v="349"/>
    <n v="404"/>
    <m/>
    <m/>
    <n v="85"/>
    <n v="50"/>
    <m/>
    <m/>
    <m/>
    <m/>
    <m/>
    <m/>
    <m/>
    <m/>
    <m/>
    <n v="35"/>
    <m/>
    <n v="6"/>
    <n v="61"/>
    <n v="100"/>
    <m/>
    <m/>
    <m/>
    <m/>
    <m/>
    <m/>
    <m/>
    <n v="68"/>
    <n v="15"/>
    <m/>
    <m/>
    <m/>
    <m/>
    <n v="20"/>
    <n v="100"/>
    <n v="355"/>
  </r>
  <r>
    <s v="FY23"/>
    <s v="P9"/>
    <s v="March"/>
    <s v="FY23P9B"/>
    <s v="FY23P930008167"/>
    <n v="1"/>
    <n v="1"/>
    <n v="1"/>
    <s v="45012B"/>
    <s v="45012B        FS01"/>
    <s v="FY23P9        FS01B"/>
    <s v="FY23        FS01"/>
    <s v="in        FS01"/>
    <s v="FY23P9        FS01"/>
    <n v="553.21000000000015"/>
    <n v="592.72500000000014"/>
    <n v="3200.7150000000006"/>
    <n v="2272.5"/>
    <n v="-928.2150000000006"/>
    <x v="1"/>
    <s v="B"/>
    <x v="1"/>
    <n v="417488"/>
    <n v="30008167"/>
    <s v="SEAG GIN 80P 12/750 PTTF ND NC"/>
    <n v="108"/>
    <n v="1875"/>
    <n v="12"/>
    <n v="22500"/>
    <n v="70"/>
    <n v="70"/>
    <n v="720"/>
    <n v="30"/>
    <n v="690"/>
    <n v="48300"/>
    <n v="4025"/>
    <n v="22500"/>
    <n v="46.58"/>
    <n v="63.04"/>
    <n v="73.89"/>
    <n v="100"/>
    <n v="10"/>
    <n v="60"/>
    <n v="20"/>
    <m/>
    <n v="20"/>
    <m/>
    <n v="145"/>
    <n v="255"/>
    <m/>
    <m/>
    <n v="140"/>
    <m/>
    <m/>
    <m/>
    <n v="25"/>
    <m/>
    <n v="10"/>
    <m/>
    <m/>
    <m/>
    <m/>
    <m/>
    <m/>
    <n v="5"/>
    <n v="44"/>
    <n v="42"/>
    <m/>
    <m/>
    <m/>
    <n v="14"/>
    <m/>
    <m/>
    <m/>
    <m/>
    <m/>
    <m/>
    <m/>
    <m/>
    <m/>
    <n v="10"/>
    <n v="120"/>
    <n v="150"/>
  </r>
  <r>
    <s v="FY23"/>
    <s v="P9"/>
    <s v="March"/>
    <s v="FY23P9B"/>
    <s v="FY23P930000034"/>
    <n v="0"/>
    <n v="0"/>
    <n v="1"/>
    <s v="45012B"/>
    <s v="45012B        FS03"/>
    <s v="FY23P9        FS03B"/>
    <s v="FY23        FS03"/>
    <s v="in        FS03"/>
    <s v="FY23P9        FS03"/>
    <n v="285.90250000000003"/>
    <n v="1026.2395000000001"/>
    <n v="2166.84"/>
    <n v="2004.3935999999997"/>
    <n v="-162.44640000000049"/>
    <x v="1"/>
    <s v="B"/>
    <x v="0"/>
    <n v="419153"/>
    <n v="30000034"/>
    <s v="SEAG GIN 80P 120/50 PT ND US"/>
    <n v="60"/>
    <n v="891"/>
    <n v="120"/>
    <n v="106920"/>
    <n v="380"/>
    <n v="380"/>
    <n v="720"/>
    <n v="30"/>
    <n v="690"/>
    <n v="262200"/>
    <n v="2185"/>
    <n v="106920"/>
    <n v="40.78"/>
    <n v="-8.26"/>
    <n v="-493.63"/>
    <n v="100"/>
    <n v="15"/>
    <n v="30"/>
    <m/>
    <m/>
    <n v="20"/>
    <m/>
    <n v="682"/>
    <n v="747"/>
    <m/>
    <m/>
    <n v="95"/>
    <n v="35"/>
    <m/>
    <n v="12"/>
    <m/>
    <m/>
    <n v="10"/>
    <m/>
    <m/>
    <m/>
    <m/>
    <n v="50"/>
    <m/>
    <n v="25"/>
    <n v="56"/>
    <n v="19"/>
    <m/>
    <m/>
    <m/>
    <m/>
    <m/>
    <m/>
    <m/>
    <n v="50"/>
    <n v="46"/>
    <m/>
    <n v="28"/>
    <m/>
    <m/>
    <n v="10"/>
    <n v="90"/>
    <n v="341"/>
  </r>
  <r>
    <s v="FY23"/>
    <s v="P9"/>
    <s v="March"/>
    <s v="FY23P9B"/>
    <s v="FY23P996705002"/>
    <n v="0"/>
    <n v="0"/>
    <n v="1"/>
    <s v="45012B"/>
    <s v="45012B        FS04"/>
    <s v="FY23P9        FS04B"/>
    <s v="FY23        FS04"/>
    <s v="in        FS04"/>
    <s v="FY23P9        FS04"/>
    <n v="66.470000000000013"/>
    <n v="229.32150000000004"/>
    <n v="504.83965000000006"/>
    <n v="488.38650000000001"/>
    <n v="-16.453150000000051"/>
    <x v="1"/>
    <s v="B"/>
    <x v="2"/>
    <n v="417505"/>
    <n v="96705002"/>
    <s v="SV EXS80 12/375 CP"/>
    <n v="15.19"/>
    <n v="965"/>
    <n v="12"/>
    <n v="11580"/>
    <n v="185"/>
    <n v="185"/>
    <n v="152"/>
    <m/>
    <n v="152"/>
    <n v="28120"/>
    <n v="2343"/>
    <n v="11580"/>
    <n v="41.18"/>
    <n v="50.66"/>
    <n v="81.290000000000006"/>
    <n v="100"/>
    <n v="5"/>
    <n v="15"/>
    <m/>
    <m/>
    <m/>
    <m/>
    <n v="55"/>
    <n v="75"/>
    <m/>
    <m/>
    <n v="20"/>
    <m/>
    <m/>
    <n v="6"/>
    <n v="12"/>
    <m/>
    <m/>
    <m/>
    <m/>
    <m/>
    <n v="18"/>
    <m/>
    <m/>
    <m/>
    <m/>
    <n v="3"/>
    <m/>
    <m/>
    <m/>
    <m/>
    <m/>
    <n v="25"/>
    <m/>
    <m/>
    <m/>
    <m/>
    <n v="5"/>
    <m/>
    <m/>
    <m/>
    <n v="418"/>
    <n v="69"/>
  </r>
  <r>
    <s v="FY23"/>
    <s v="P9"/>
    <s v="March"/>
    <s v="FY23P9B"/>
    <s v="FY23P996705001"/>
    <n v="0"/>
    <n v="0"/>
    <n v="0"/>
    <s v="45012B"/>
    <s v="45012B        FS04"/>
    <s v="FY23P9        FS04B"/>
    <s v="FY23        FS04"/>
    <s v="in        FS04"/>
    <s v="FY23P9        FS04"/>
    <n v="309.08550000000002"/>
    <n v="677.99400000000014"/>
    <n v="1372.2731500000002"/>
    <n v="1142.19"/>
    <n v="-230.08315000000016"/>
    <x v="1"/>
    <s v="B"/>
    <x v="2"/>
    <n v="417630"/>
    <n v="96705001"/>
    <s v="SV APL70 12/375 CP"/>
    <n v="41.29"/>
    <n v="2100"/>
    <n v="12"/>
    <n v="25200"/>
    <n v="185"/>
    <n v="185"/>
    <n v="413"/>
    <n v="30"/>
    <n v="383"/>
    <n v="70855"/>
    <n v="5905"/>
    <n v="25200"/>
    <n v="35.57"/>
    <n v="34.99"/>
    <n v="101.65"/>
    <n v="100"/>
    <m/>
    <n v="30"/>
    <m/>
    <n v="18"/>
    <n v="15"/>
    <m/>
    <n v="186"/>
    <n v="249"/>
    <m/>
    <m/>
    <n v="93"/>
    <m/>
    <m/>
    <m/>
    <m/>
    <m/>
    <n v="16"/>
    <m/>
    <m/>
    <m/>
    <n v="42"/>
    <n v="54"/>
    <m/>
    <n v="6"/>
    <m/>
    <n v="8"/>
    <n v="20"/>
    <m/>
    <m/>
    <n v="4"/>
    <m/>
    <n v="41"/>
    <m/>
    <m/>
    <m/>
    <m/>
    <n v="13"/>
    <m/>
    <m/>
    <m/>
    <n v="548"/>
    <n v="204"/>
  </r>
  <r>
    <s v="FY23"/>
    <s v="P9"/>
    <s v="March"/>
    <s v="FY23P9B"/>
    <s v="FY23P963009850"/>
    <n v="0"/>
    <n v="0"/>
    <n v="1"/>
    <s v="45012B"/>
    <s v="45012B        FS10"/>
    <s v="FY23P9        FS10B"/>
    <s v="FY23        FS10"/>
    <s v="in        FS10"/>
    <s v="FY23P9        FS10"/>
    <n v="394.42416666666668"/>
    <n v="726.57083333333333"/>
    <n v="2419.9257142857145"/>
    <n v="1042.6644000000001"/>
    <n v="-1377.2613142857144"/>
    <x v="1"/>
    <s v="B"/>
    <x v="3"/>
    <n v="421248"/>
    <n v="63009850"/>
    <s v="KAH 32 12/1L 20 EX"/>
    <n v="68"/>
    <n v="2524"/>
    <n v="12"/>
    <n v="30288"/>
    <n v="250"/>
    <n v="250"/>
    <n v="510"/>
    <n v="30"/>
    <n v="480"/>
    <n v="120000"/>
    <n v="10000"/>
    <n v="30288"/>
    <n v="25.24"/>
    <n v="51.04"/>
    <n v="49.45"/>
    <n v="100"/>
    <n v="10"/>
    <n v="45"/>
    <m/>
    <m/>
    <n v="10"/>
    <m/>
    <n v="170"/>
    <n v="235"/>
    <m/>
    <m/>
    <n v="95"/>
    <m/>
    <m/>
    <m/>
    <m/>
    <m/>
    <m/>
    <m/>
    <m/>
    <m/>
    <m/>
    <m/>
    <m/>
    <n v="5"/>
    <m/>
    <m/>
    <m/>
    <m/>
    <m/>
    <n v="130"/>
    <n v="40"/>
    <m/>
    <m/>
    <m/>
    <m/>
    <m/>
    <m/>
    <m/>
    <m/>
    <m/>
    <n v="1"/>
    <n v="175"/>
  </r>
  <r>
    <s v="FY23"/>
    <s v="P9"/>
    <s v="March"/>
    <s v="FY23P9B"/>
    <s v="FY23P930012034"/>
    <n v="0"/>
    <n v="0"/>
    <n v="1"/>
    <s v="45012B"/>
    <s v="45012B        FS12"/>
    <s v="FY23P9        FS12B"/>
    <s v="FY23        FS12"/>
    <s v="in        FS12"/>
    <s v="FY23P9        FS12"/>
    <n v="285.90250000000003"/>
    <n v="1351.2655000000002"/>
    <n v="866.7360000000001"/>
    <n v="380.952"/>
    <n v="-485.78400000000011"/>
    <x v="1"/>
    <s v="B"/>
    <x v="4"/>
    <n v="417588"/>
    <n v="30012034"/>
    <s v="SEAG GIN 80P 6/1.75L ND US"/>
    <n v="24"/>
    <n v="1716"/>
    <n v="6"/>
    <n v="10296"/>
    <n v="130"/>
    <n v="130"/>
    <n v="360"/>
    <n v="30"/>
    <n v="330"/>
    <n v="42900"/>
    <n v="7150"/>
    <n v="10296"/>
    <n v="24"/>
    <n v="-51.52"/>
    <n v="-46.59"/>
    <n v="100"/>
    <n v="5"/>
    <n v="45"/>
    <m/>
    <m/>
    <n v="15"/>
    <m/>
    <n v="435"/>
    <n v="500"/>
    <m/>
    <m/>
    <n v="95"/>
    <m/>
    <n v="15"/>
    <m/>
    <n v="310"/>
    <m/>
    <m/>
    <m/>
    <m/>
    <m/>
    <m/>
    <m/>
    <m/>
    <n v="5"/>
    <m/>
    <m/>
    <m/>
    <m/>
    <m/>
    <n v="9"/>
    <m/>
    <n v="110"/>
    <m/>
    <m/>
    <m/>
    <m/>
    <m/>
    <m/>
    <m/>
    <m/>
    <n v="120"/>
    <n v="449"/>
  </r>
  <r>
    <s v="FY23"/>
    <s v="P9"/>
    <s v="March"/>
    <s v="FY23P9C"/>
    <s v="FY23P930008167"/>
    <n v="0"/>
    <n v="1"/>
    <n v="1"/>
    <s v="45012C"/>
    <s v="45012C        FS01"/>
    <s v="FY23P9        FS01C"/>
    <s v="FY23        FS01"/>
    <s v="in        FS01"/>
    <s v="FY23P9        FS01"/>
    <n v="79.030000000000015"/>
    <n v="533.4525000000001"/>
    <n v="1066.9050000000002"/>
    <n v="559.94399999999996"/>
    <n v="-506.96100000000024"/>
    <x v="1"/>
    <s v="C"/>
    <x v="1"/>
    <n v="417488"/>
    <n v="30008167"/>
    <s v="SEAG GIN 80P 12/750 PTTF ND NC"/>
    <n v="36"/>
    <n v="462"/>
    <n v="12"/>
    <n v="5544"/>
    <n v="70"/>
    <n v="70"/>
    <n v="240"/>
    <m/>
    <n v="240"/>
    <n v="16800"/>
    <n v="1400"/>
    <n v="5544"/>
    <n v="33"/>
    <n v="39.58"/>
    <n v="83.37"/>
    <n v="100"/>
    <n v="5"/>
    <n v="15"/>
    <m/>
    <m/>
    <m/>
    <m/>
    <n v="125"/>
    <n v="145"/>
    <m/>
    <m/>
    <n v="20"/>
    <m/>
    <m/>
    <n v="45"/>
    <m/>
    <m/>
    <m/>
    <m/>
    <m/>
    <m/>
    <m/>
    <n v="6"/>
    <m/>
    <m/>
    <m/>
    <m/>
    <n v="10"/>
    <m/>
    <m/>
    <n v="4"/>
    <n v="70"/>
    <m/>
    <m/>
    <m/>
    <m/>
    <m/>
    <m/>
    <m/>
    <m/>
    <m/>
    <n v="225"/>
    <n v="135"/>
  </r>
  <r>
    <s v="FY23"/>
    <s v="P9"/>
    <s v="March"/>
    <s v="FY23P9C"/>
    <s v="FY23P971608004"/>
    <n v="0"/>
    <n v="0"/>
    <n v="0"/>
    <s v="45012C"/>
    <s v="45012C        FS01"/>
    <s v="FY23P9        FS01C"/>
    <s v="FY23        FS01"/>
    <s v="in        FS01"/>
    <s v="FY23P9        FS01"/>
    <n v="367.2"/>
    <n v="0"/>
    <n v="2221.2000000000003"/>
    <n v="0"/>
    <n v="-2221.2000000000003"/>
    <x v="1"/>
    <s v="C"/>
    <x v="1"/>
    <n v="424499"/>
    <n v="71608004"/>
    <s v="JEFF VSB BBN 82.3 6/750 AU"/>
    <n v="72"/>
    <m/>
    <n v="6"/>
    <m/>
    <n v="55"/>
    <n v="55"/>
    <n v="480"/>
    <n v="30"/>
    <n v="450"/>
    <n v="24750"/>
    <n v="4125"/>
    <n v="0"/>
    <n v="0"/>
    <n v="90"/>
    <n v="0"/>
    <n v="0"/>
    <m/>
    <n v="45"/>
    <m/>
    <m/>
    <m/>
    <m/>
    <m/>
    <n v="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s v="FY23"/>
    <s v="P9"/>
    <s v="March"/>
    <s v="FY23P9C"/>
    <s v="FY23P930000034"/>
    <n v="0"/>
    <n v="0"/>
    <n v="1"/>
    <s v="45012C"/>
    <s v="45012C        FS03"/>
    <s v="FY23P9        FS03C"/>
    <s v="FY23        FS03"/>
    <s v="in        FS03"/>
    <s v="FY23P9        FS03"/>
    <n v="361.14000000000004"/>
    <n v="947.99250000000018"/>
    <n v="2166.84"/>
    <n v="1923.4079999999997"/>
    <n v="-243.43200000000047"/>
    <x v="1"/>
    <s v="C"/>
    <x v="0"/>
    <n v="419154"/>
    <n v="30000034"/>
    <s v="SEAG GIN 80P 120/50 PT ND US"/>
    <n v="60"/>
    <n v="855"/>
    <n v="120"/>
    <n v="102600"/>
    <n v="380"/>
    <n v="380"/>
    <n v="720"/>
    <n v="30"/>
    <n v="690"/>
    <n v="262200"/>
    <n v="2185"/>
    <n v="102600"/>
    <n v="39.130000000000003"/>
    <n v="44.78"/>
    <n v="87.38"/>
    <n v="100"/>
    <n v="10"/>
    <n v="60"/>
    <m/>
    <m/>
    <n v="20"/>
    <m/>
    <n v="291"/>
    <n v="381"/>
    <m/>
    <m/>
    <n v="120"/>
    <n v="12"/>
    <m/>
    <n v="22"/>
    <m/>
    <m/>
    <m/>
    <m/>
    <m/>
    <m/>
    <n v="7"/>
    <m/>
    <n v="16"/>
    <n v="9"/>
    <n v="92"/>
    <n v="29"/>
    <m/>
    <m/>
    <n v="34"/>
    <n v="17"/>
    <m/>
    <n v="46"/>
    <m/>
    <m/>
    <n v="23"/>
    <m/>
    <m/>
    <m/>
    <m/>
    <n v="8"/>
    <n v="81"/>
    <n v="315"/>
  </r>
  <r>
    <s v="FY23"/>
    <s v="P9"/>
    <s v="March"/>
    <s v="FY23P9C"/>
    <s v="FY23P930001034"/>
    <n v="0"/>
    <n v="0"/>
    <n v="1"/>
    <s v="45012C"/>
    <s v="45012C        FS05"/>
    <s v="FY23P9        FS05C"/>
    <s v="FY23        FS05"/>
    <s v="in        FS05"/>
    <s v="FY23P9        FS05"/>
    <n v="49.852500000000006"/>
    <n v="372.23200000000008"/>
    <n v="681.31750000000011"/>
    <n v="489.24359999999996"/>
    <n v="-192.07390000000015"/>
    <x v="1"/>
    <s v="C"/>
    <x v="5"/>
    <n v="417589"/>
    <n v="30001034"/>
    <s v="SEAG GIN 80P 48/100 FSK ND US"/>
    <n v="20.5"/>
    <n v="333"/>
    <n v="48"/>
    <n v="15984"/>
    <n v="250"/>
    <n v="250"/>
    <n v="205"/>
    <m/>
    <n v="205"/>
    <n v="51250"/>
    <n v="1068"/>
    <n v="15984"/>
    <n v="31.19"/>
    <n v="41.46"/>
    <n v="75.22"/>
    <n v="100"/>
    <m/>
    <n v="15"/>
    <m/>
    <m/>
    <m/>
    <m/>
    <n v="105"/>
    <n v="120"/>
    <m/>
    <m/>
    <n v="15"/>
    <m/>
    <m/>
    <m/>
    <m/>
    <m/>
    <m/>
    <m/>
    <m/>
    <m/>
    <n v="30"/>
    <n v="55"/>
    <m/>
    <m/>
    <m/>
    <m/>
    <m/>
    <m/>
    <n v="4"/>
    <n v="3"/>
    <m/>
    <n v="20"/>
    <m/>
    <m/>
    <m/>
    <m/>
    <m/>
    <m/>
    <m/>
    <m/>
    <n v="57"/>
    <n v="112"/>
  </r>
  <r>
    <s v="FY23"/>
    <s v="P9"/>
    <s v="March"/>
    <s v="FY23P9C"/>
    <s v="FY23P930001034"/>
    <n v="0"/>
    <n v="0"/>
    <n v="0"/>
    <s v="45012C"/>
    <s v="45012C        FS05"/>
    <s v="FY23P9        FS05C"/>
    <s v="FY23        FS05"/>
    <s v="in        FS05"/>
    <s v="FY23P9        FS05"/>
    <n v="166.17500000000004"/>
    <n v="545.05400000000009"/>
    <n v="1434.7549500000002"/>
    <n v="952.0415999999999"/>
    <n v="-482.71335000000033"/>
    <x v="1"/>
    <s v="C"/>
    <x v="5"/>
    <n v="417594"/>
    <n v="30001034"/>
    <s v="SEAG GIN 80P 48/100 FSK ND US"/>
    <n v="43.17"/>
    <n v="648"/>
    <n v="48"/>
    <n v="31104"/>
    <n v="250"/>
    <n v="250"/>
    <n v="370"/>
    <m/>
    <n v="370"/>
    <n v="92500"/>
    <n v="1927"/>
    <n v="31104"/>
    <n v="33.630000000000003"/>
    <n v="43.24"/>
    <n v="77.760000000000005"/>
    <n v="100"/>
    <m/>
    <n v="30"/>
    <m/>
    <m/>
    <n v="20"/>
    <m/>
    <n v="160"/>
    <n v="210"/>
    <m/>
    <m/>
    <n v="50"/>
    <m/>
    <m/>
    <n v="13"/>
    <m/>
    <m/>
    <m/>
    <m/>
    <m/>
    <m/>
    <n v="11"/>
    <n v="80"/>
    <m/>
    <m/>
    <m/>
    <n v="38"/>
    <m/>
    <m/>
    <n v="4"/>
    <n v="18"/>
    <m/>
    <m/>
    <m/>
    <m/>
    <m/>
    <m/>
    <m/>
    <m/>
    <m/>
    <m/>
    <n v="168"/>
    <n v="164"/>
  </r>
  <r>
    <s v="FY23"/>
    <s v="P9"/>
    <s v="March"/>
    <s v="FY23P9C"/>
    <s v="FY23P963009850"/>
    <n v="0"/>
    <n v="0"/>
    <n v="1"/>
    <s v="45012C"/>
    <s v="45012C        FS10"/>
    <s v="FY23P9        FS10C"/>
    <s v="FY23        FS10"/>
    <s v="in        FS10"/>
    <s v="FY23P9        FS10"/>
    <n v="41.518333333333331"/>
    <n v="323.84300000000002"/>
    <n v="1120.9950000000001"/>
    <n v="1051.3395"/>
    <n v="-69.655500000000075"/>
    <x v="1"/>
    <s v="C"/>
    <x v="3"/>
    <n v="421248"/>
    <n v="63009850"/>
    <s v="KAH 32 12/1L 20 EX"/>
    <n v="31.5"/>
    <n v="2545"/>
    <n v="12"/>
    <n v="30540"/>
    <n v="250"/>
    <n v="250"/>
    <n v="210"/>
    <m/>
    <n v="210"/>
    <n v="52500"/>
    <n v="4375"/>
    <n v="30540"/>
    <n v="58.17"/>
    <n v="58.1"/>
    <n v="100.13"/>
    <n v="100"/>
    <n v="10"/>
    <m/>
    <m/>
    <m/>
    <m/>
    <m/>
    <n v="78"/>
    <n v="88"/>
    <m/>
    <m/>
    <n v="10"/>
    <n v="10"/>
    <m/>
    <n v="15"/>
    <m/>
    <m/>
    <m/>
    <m/>
    <m/>
    <m/>
    <m/>
    <n v="23"/>
    <m/>
    <m/>
    <m/>
    <m/>
    <m/>
    <m/>
    <m/>
    <n v="30"/>
    <m/>
    <m/>
    <m/>
    <m/>
    <m/>
    <m/>
    <m/>
    <m/>
    <m/>
    <m/>
    <n v="783"/>
    <n v="78"/>
  </r>
  <r>
    <s v="FY23"/>
    <s v="P9"/>
    <s v="March"/>
    <s v="FY23P9C"/>
    <s v="FY23P963009850"/>
    <n v="0"/>
    <n v="0"/>
    <n v="0"/>
    <s v="45012C"/>
    <s v="45012C        FS10"/>
    <s v="FY23P9        FS10C"/>
    <s v="FY23        FS10"/>
    <s v="in        FS10"/>
    <s v="FY23P9        FS10"/>
    <n v="166.07333333333332"/>
    <n v="423.48699999999997"/>
    <n v="1574.7310714285716"/>
    <n v="1578.0420000000001"/>
    <n v="3.3109285714285761"/>
    <x v="1"/>
    <s v="C"/>
    <x v="3"/>
    <n v="425872"/>
    <n v="63009850"/>
    <s v="KAH 32 12/1L 20 EX"/>
    <n v="44.25"/>
    <n v="3820"/>
    <n v="12"/>
    <n v="45840"/>
    <n v="250"/>
    <n v="250"/>
    <n v="295"/>
    <n v="30"/>
    <n v="265"/>
    <n v="66250"/>
    <n v="5521"/>
    <n v="45840"/>
    <n v="69.19"/>
    <n v="60.75"/>
    <n v="113.89"/>
    <n v="100"/>
    <m/>
    <m/>
    <n v="10"/>
    <m/>
    <m/>
    <m/>
    <n v="94"/>
    <n v="104"/>
    <m/>
    <m/>
    <n v="40"/>
    <m/>
    <m/>
    <m/>
    <m/>
    <m/>
    <m/>
    <m/>
    <m/>
    <m/>
    <n v="23"/>
    <m/>
    <m/>
    <n v="8"/>
    <m/>
    <m/>
    <n v="10"/>
    <m/>
    <m/>
    <n v="35"/>
    <m/>
    <m/>
    <n v="26"/>
    <m/>
    <m/>
    <m/>
    <m/>
    <m/>
    <m/>
    <m/>
    <n v="234"/>
    <n v="102"/>
  </r>
  <r>
    <s v="FY23"/>
    <s v="P9"/>
    <s v="March"/>
    <s v="FY23P9C"/>
    <s v="FY23P930012034"/>
    <n v="0"/>
    <n v="0"/>
    <n v="1"/>
    <s v="45012C"/>
    <s v="45012C        FS12"/>
    <s v="FY23P9        FS12C"/>
    <s v="FY23        FS12"/>
    <s v="in        FS12"/>
    <s v="FY23P9        FS12"/>
    <n v="90.285000000000011"/>
    <n v="279.88350000000003"/>
    <n v="650.05200000000013"/>
    <n v="262.404"/>
    <n v="-387.64800000000014"/>
    <x v="1"/>
    <s v="C"/>
    <x v="4"/>
    <n v="417600"/>
    <n v="30012034"/>
    <s v="SEAG GIN 80P 6/1.75L ND US"/>
    <n v="18"/>
    <n v="1182"/>
    <n v="6"/>
    <n v="7092"/>
    <n v="130"/>
    <n v="130"/>
    <n v="180"/>
    <m/>
    <n v="180"/>
    <n v="23400"/>
    <n v="3900"/>
    <n v="7092"/>
    <n v="30.31"/>
    <n v="41.11"/>
    <n v="73.72"/>
    <n v="100"/>
    <m/>
    <m/>
    <m/>
    <m/>
    <n v="30"/>
    <m/>
    <n v="76"/>
    <n v="106"/>
    <m/>
    <m/>
    <n v="30"/>
    <m/>
    <m/>
    <n v="10"/>
    <m/>
    <m/>
    <m/>
    <m/>
    <n v="43"/>
    <m/>
    <n v="10"/>
    <m/>
    <m/>
    <n v="9"/>
    <m/>
    <n v="13"/>
    <m/>
    <m/>
    <m/>
    <n v="8"/>
    <m/>
    <m/>
    <m/>
    <m/>
    <m/>
    <m/>
    <m/>
    <m/>
    <m/>
    <m/>
    <n v="462"/>
    <n v="93"/>
  </r>
  <r>
    <s v="FY23"/>
    <s v="P9"/>
    <s v="March"/>
    <s v="FY23P9C"/>
    <s v="FY23P930012034"/>
    <n v="0"/>
    <n v="0"/>
    <n v="0"/>
    <s v="45012C"/>
    <s v="45012C        FS12"/>
    <s v="FY23P9        FS12C"/>
    <s v="FY23        FS12"/>
    <s v="in        FS12"/>
    <s v="FY23P9        FS12"/>
    <n v="120.38000000000002"/>
    <n v="625.97600000000011"/>
    <n v="1625.13"/>
    <n v="934.17600000000004"/>
    <n v="-690.95400000000006"/>
    <x v="1"/>
    <s v="C"/>
    <x v="4"/>
    <n v="417588"/>
    <n v="30012034"/>
    <s v="SEAG GIN 80P 6/1.75L ND US"/>
    <n v="45"/>
    <n v="4208"/>
    <n v="6"/>
    <n v="25248"/>
    <n v="130"/>
    <n v="130"/>
    <n v="450"/>
    <n v="30"/>
    <n v="420"/>
    <n v="54600"/>
    <n v="9100"/>
    <n v="25248"/>
    <n v="46.24"/>
    <n v="50"/>
    <n v="92.48"/>
    <n v="100"/>
    <n v="10"/>
    <m/>
    <m/>
    <m/>
    <m/>
    <m/>
    <n v="200"/>
    <n v="210"/>
    <m/>
    <m/>
    <n v="40"/>
    <m/>
    <m/>
    <m/>
    <n v="8"/>
    <m/>
    <m/>
    <m/>
    <n v="115"/>
    <m/>
    <m/>
    <n v="17"/>
    <m/>
    <m/>
    <m/>
    <n v="25"/>
    <m/>
    <m/>
    <m/>
    <n v="23"/>
    <m/>
    <n v="20"/>
    <m/>
    <m/>
    <m/>
    <m/>
    <m/>
    <m/>
    <m/>
    <m/>
    <n v="657"/>
    <n v="208"/>
  </r>
  <r>
    <s v="FY23"/>
    <s v="P9"/>
    <s v="March"/>
    <s v="FY23P9B"/>
    <s v="FY23P971608004"/>
    <n v="1"/>
    <n v="1"/>
    <n v="1"/>
    <s v="45013B"/>
    <s v="45013B        FS01"/>
    <s v="FY23P9        FS01B"/>
    <s v="FY23        FS01"/>
    <s v="in        FS01"/>
    <s v="FY23P9        FS01"/>
    <n v="899.3739130434783"/>
    <n v="3777.3704347826088"/>
    <n v="4812.6000000000004"/>
    <n v="180.196"/>
    <n v="-4632.4040000000005"/>
    <x v="2"/>
    <s v="B"/>
    <x v="1"/>
    <n v="424499"/>
    <n v="71608004"/>
    <s v="JEFF VSB BBN 82.3 6/750 AU"/>
    <n v="156"/>
    <n v="190"/>
    <n v="6"/>
    <n v="1140"/>
    <n v="55"/>
    <n v="55"/>
    <n v="720"/>
    <n v="30"/>
    <n v="690"/>
    <n v="37950"/>
    <n v="6325"/>
    <n v="1140"/>
    <n v="3"/>
    <n v="7.39"/>
    <n v="40.64"/>
    <n v="100"/>
    <n v="10"/>
    <n v="60"/>
    <n v="10"/>
    <m/>
    <n v="20"/>
    <m/>
    <n v="539"/>
    <n v="639"/>
    <m/>
    <m/>
    <n v="130"/>
    <m/>
    <m/>
    <m/>
    <m/>
    <m/>
    <m/>
    <n v="25"/>
    <n v="420"/>
    <n v="10"/>
    <n v="12"/>
    <m/>
    <m/>
    <m/>
    <n v="7"/>
    <n v="10"/>
    <m/>
    <m/>
    <m/>
    <n v="62"/>
    <m/>
    <m/>
    <m/>
    <m/>
    <m/>
    <m/>
    <m/>
    <m/>
    <m/>
    <m/>
    <m/>
    <n v="546"/>
  </r>
  <r>
    <s v="FY23"/>
    <s v="P9"/>
    <s v="March"/>
    <s v="FY23P9B"/>
    <s v="FY23P930000034"/>
    <n v="0"/>
    <n v="0"/>
    <n v="1"/>
    <s v="45013B"/>
    <s v="45013B        FS03"/>
    <s v="FY23P9        FS03B"/>
    <s v="FY23        FS03"/>
    <s v="in        FS03"/>
    <s v="FY23P9        FS03"/>
    <n v="195.61750000000004"/>
    <n v="1083.42"/>
    <n v="2166.84"/>
    <n v="2085.3791999999999"/>
    <n v="-81.46080000000029"/>
    <x v="2"/>
    <s v="B"/>
    <x v="0"/>
    <n v="419155"/>
    <n v="30000034"/>
    <s v="SEAG GIN 80P 120/50 PT ND US"/>
    <n v="60"/>
    <n v="927"/>
    <n v="120"/>
    <n v="111240"/>
    <n v="380"/>
    <n v="380"/>
    <n v="720"/>
    <n v="30"/>
    <n v="690"/>
    <n v="262200"/>
    <n v="2185"/>
    <n v="111240"/>
    <n v="42.43"/>
    <n v="43.77"/>
    <n v="96.93"/>
    <n v="100"/>
    <m/>
    <n v="15"/>
    <m/>
    <m/>
    <n v="20"/>
    <m/>
    <n v="353"/>
    <n v="388"/>
    <m/>
    <m/>
    <n v="65"/>
    <n v="25"/>
    <m/>
    <n v="15"/>
    <n v="30"/>
    <m/>
    <m/>
    <m/>
    <m/>
    <m/>
    <m/>
    <n v="80"/>
    <m/>
    <n v="15"/>
    <n v="70"/>
    <n v="23"/>
    <m/>
    <m/>
    <m/>
    <m/>
    <m/>
    <m/>
    <m/>
    <n v="25"/>
    <n v="7"/>
    <n v="70"/>
    <m/>
    <m/>
    <m/>
    <m/>
    <n v="120"/>
    <n v="360"/>
  </r>
  <r>
    <s v="FY23"/>
    <s v="P9"/>
    <s v="March"/>
    <s v="FY23P9B"/>
    <s v="FY23P996705001"/>
    <n v="0"/>
    <n v="0"/>
    <n v="1"/>
    <s v="45013B"/>
    <s v="45013B        FS04"/>
    <s v="FY23P9        FS04B"/>
    <s v="FY23        FS04"/>
    <s v="in        FS04"/>
    <s v="FY23P9        FS04"/>
    <n v="16.617500000000003"/>
    <n v="106.35200000000002"/>
    <n v="286.81805000000008"/>
    <n v="312.74250000000001"/>
    <n v="25.924449999999922"/>
    <x v="2"/>
    <s v="B"/>
    <x v="2"/>
    <n v="417639"/>
    <n v="96705001"/>
    <s v="SV APL70 12/375 CP"/>
    <n v="8.6300000000000008"/>
    <n v="575"/>
    <n v="12"/>
    <n v="6900"/>
    <n v="185"/>
    <n v="185"/>
    <n v="74"/>
    <m/>
    <n v="74"/>
    <n v="13690"/>
    <n v="1141"/>
    <n v="6900"/>
    <n v="50.4"/>
    <n v="79.73"/>
    <n v="63.22"/>
    <n v="100"/>
    <n v="5"/>
    <m/>
    <m/>
    <m/>
    <m/>
    <m/>
    <n v="10"/>
    <n v="15"/>
    <m/>
    <m/>
    <n v="5"/>
    <m/>
    <m/>
    <m/>
    <m/>
    <m/>
    <m/>
    <m/>
    <n v="6"/>
    <m/>
    <n v="6"/>
    <m/>
    <m/>
    <m/>
    <m/>
    <n v="4"/>
    <n v="6"/>
    <m/>
    <m/>
    <m/>
    <m/>
    <n v="10"/>
    <m/>
    <m/>
    <m/>
    <m/>
    <m/>
    <m/>
    <m/>
    <m/>
    <n v="497"/>
    <n v="32"/>
  </r>
  <r>
    <s v="FY23"/>
    <s v="P9"/>
    <s v="March"/>
    <s v="FY23P9B"/>
    <s v="FY23P996705001"/>
    <n v="0"/>
    <n v="0"/>
    <n v="0"/>
    <s v="45013B"/>
    <s v="45013B        FS04"/>
    <s v="FY23P9        FS04B"/>
    <s v="FY23        FS04"/>
    <s v="in        FS04"/>
    <s v="FY23P9        FS04"/>
    <n v="49.852500000000006"/>
    <n v="501.84850000000006"/>
    <n v="732.83175000000017"/>
    <n v="146.85300000000001"/>
    <n v="-585.97875000000022"/>
    <x v="2"/>
    <s v="B"/>
    <x v="2"/>
    <n v="428113"/>
    <n v="96705001"/>
    <s v="SV APL70 12/375 CP"/>
    <n v="22.05"/>
    <n v="270"/>
    <n v="12"/>
    <n v="3240"/>
    <n v="185"/>
    <n v="185"/>
    <n v="189"/>
    <m/>
    <n v="189"/>
    <n v="34965"/>
    <n v="2914"/>
    <n v="3240"/>
    <n v="9.27"/>
    <n v="15.34"/>
    <n v="60.39"/>
    <n v="100"/>
    <m/>
    <n v="15"/>
    <m/>
    <m/>
    <m/>
    <m/>
    <n v="145"/>
    <n v="160"/>
    <m/>
    <m/>
    <n v="15"/>
    <m/>
    <m/>
    <m/>
    <n v="25"/>
    <m/>
    <m/>
    <m/>
    <m/>
    <m/>
    <n v="16"/>
    <m/>
    <m/>
    <m/>
    <m/>
    <m/>
    <m/>
    <m/>
    <m/>
    <m/>
    <n v="104"/>
    <n v="6"/>
    <m/>
    <m/>
    <m/>
    <m/>
    <m/>
    <m/>
    <m/>
    <m/>
    <n v="270"/>
    <n v="151"/>
  </r>
  <r>
    <s v="FY23"/>
    <s v="P9"/>
    <s v="March"/>
    <s v="FY23P9B"/>
    <s v="FY23P930001034"/>
    <n v="0"/>
    <n v="0"/>
    <n v="1"/>
    <s v="45013B"/>
    <s v="45013B        FS05"/>
    <s v="FY23P9        FS05B"/>
    <s v="FY23        FS05"/>
    <s v="in        FS05"/>
    <s v="FY23P9        FS05"/>
    <n v="66.470000000000013"/>
    <n v="239.29200000000003"/>
    <n v="567.98615000000007"/>
    <n v="793.36799999999994"/>
    <n v="225.38184999999987"/>
    <x v="2"/>
    <s v="B"/>
    <x v="5"/>
    <n v="417594"/>
    <n v="30001034"/>
    <s v="SEAG GIN 80P 48/100 FSK ND US"/>
    <n v="17.09"/>
    <n v="540"/>
    <n v="48"/>
    <n v="25920"/>
    <n v="250"/>
    <n v="250"/>
    <n v="205"/>
    <m/>
    <n v="205"/>
    <n v="51250"/>
    <n v="1068"/>
    <n v="25920"/>
    <n v="50.58"/>
    <n v="70.73"/>
    <n v="71.5"/>
    <n v="100"/>
    <n v="5"/>
    <n v="15"/>
    <m/>
    <m/>
    <m/>
    <m/>
    <n v="40"/>
    <n v="60"/>
    <m/>
    <m/>
    <n v="20"/>
    <m/>
    <n v="15"/>
    <n v="5"/>
    <m/>
    <m/>
    <n v="5"/>
    <m/>
    <n v="3"/>
    <m/>
    <n v="6"/>
    <m/>
    <m/>
    <m/>
    <m/>
    <n v="6"/>
    <m/>
    <m/>
    <n v="5"/>
    <n v="25"/>
    <m/>
    <n v="2"/>
    <m/>
    <m/>
    <m/>
    <m/>
    <m/>
    <m/>
    <m/>
    <m/>
    <n v="190"/>
    <n v="72"/>
  </r>
  <r>
    <s v="FY23"/>
    <s v="P9"/>
    <s v="March"/>
    <s v="FY23P9B"/>
    <s v="FY23P930001034"/>
    <n v="0"/>
    <n v="0"/>
    <n v="0"/>
    <s v="45013B"/>
    <s v="45013B        FS05"/>
    <s v="FY23P9        FS05B"/>
    <s v="FY23        FS05"/>
    <s v="in        FS05"/>
    <s v="FY23P9        FS05"/>
    <n v="249.26250000000005"/>
    <n v="481.90750000000008"/>
    <n v="1370.9437500000004"/>
    <n v="1614.6507999999999"/>
    <n v="243.70704999999953"/>
    <x v="2"/>
    <s v="B"/>
    <x v="5"/>
    <n v="417601"/>
    <n v="30001034"/>
    <s v="SEAG GIN 80P 48/100 FSK ND US"/>
    <n v="41.25"/>
    <n v="1099"/>
    <n v="48"/>
    <n v="52752"/>
    <n v="250"/>
    <n v="250"/>
    <n v="495"/>
    <n v="30"/>
    <n v="465"/>
    <n v="116250"/>
    <n v="2422"/>
    <n v="52752"/>
    <n v="45.38"/>
    <n v="66.67"/>
    <n v="68.069999999999993"/>
    <n v="100"/>
    <m/>
    <n v="15"/>
    <m/>
    <m/>
    <n v="30"/>
    <m/>
    <n v="110"/>
    <n v="155"/>
    <m/>
    <m/>
    <n v="75"/>
    <m/>
    <m/>
    <n v="8"/>
    <n v="15"/>
    <m/>
    <n v="5"/>
    <m/>
    <n v="10"/>
    <m/>
    <n v="3"/>
    <n v="40"/>
    <m/>
    <n v="4"/>
    <n v="9"/>
    <n v="24"/>
    <m/>
    <m/>
    <m/>
    <n v="21"/>
    <m/>
    <n v="6"/>
    <m/>
    <m/>
    <m/>
    <m/>
    <m/>
    <m/>
    <m/>
    <m/>
    <m/>
    <n v="145"/>
  </r>
  <r>
    <s v="FY23"/>
    <s v="P9"/>
    <s v="March"/>
    <s v="FY23P9B"/>
    <s v="FY23P963009851"/>
    <n v="0"/>
    <n v="0"/>
    <n v="1"/>
    <s v="45013B"/>
    <s v="45013B        FS10"/>
    <s v="FY23P9        FS10B"/>
    <s v="FY23        FS10"/>
    <s v="in        FS10"/>
    <s v="FY23P9        FS10"/>
    <n v="290.62833333333333"/>
    <n v="1282.9165"/>
    <n v="2241.9900000000002"/>
    <n v="2077.8338000000003"/>
    <n v="-164.1561999999999"/>
    <x v="2"/>
    <s v="B"/>
    <x v="3"/>
    <n v="417509"/>
    <n v="63009851"/>
    <s v="KAH 32 12/1L 21 MX"/>
    <n v="63"/>
    <n v="5222"/>
    <n v="12"/>
    <n v="62664"/>
    <n v="250"/>
    <n v="250"/>
    <n v="630"/>
    <n v="30"/>
    <n v="600"/>
    <n v="150000"/>
    <n v="12500"/>
    <n v="62664"/>
    <n v="41.78"/>
    <n v="42.83"/>
    <n v="97.53"/>
    <n v="100"/>
    <n v="5"/>
    <n v="15"/>
    <m/>
    <m/>
    <n v="20"/>
    <m/>
    <n v="303"/>
    <n v="343"/>
    <m/>
    <m/>
    <n v="70"/>
    <m/>
    <n v="35"/>
    <m/>
    <n v="22"/>
    <m/>
    <m/>
    <m/>
    <n v="12"/>
    <m/>
    <m/>
    <n v="45"/>
    <m/>
    <n v="25"/>
    <m/>
    <m/>
    <m/>
    <m/>
    <m/>
    <n v="22"/>
    <m/>
    <n v="44"/>
    <n v="40"/>
    <n v="58"/>
    <m/>
    <m/>
    <m/>
    <m/>
    <m/>
    <n v="6"/>
    <n v="750"/>
    <n v="309"/>
  </r>
  <r>
    <s v="FY23"/>
    <s v="P9"/>
    <s v="March"/>
    <s v="FY23P9B"/>
    <s v="FY23P930012034"/>
    <n v="0"/>
    <n v="0"/>
    <n v="1"/>
    <s v="45013B"/>
    <s v="45013B        FS12"/>
    <s v="FY23P9        FS12B"/>
    <s v="FY23        FS12"/>
    <s v="in        FS12"/>
    <s v="FY23P9        FS12"/>
    <n v="315.99750000000006"/>
    <n v="331.04500000000007"/>
    <n v="2275.1820000000002"/>
    <n v="1485.18"/>
    <n v="-790.00200000000018"/>
    <x v="2"/>
    <s v="B"/>
    <x v="4"/>
    <n v="417600"/>
    <n v="30012034"/>
    <s v="SEAG GIN 80P 6/1.75L ND US"/>
    <n v="63"/>
    <n v="6690"/>
    <n v="6"/>
    <n v="40140"/>
    <n v="130"/>
    <n v="130"/>
    <n v="630"/>
    <n v="30"/>
    <n v="600"/>
    <n v="78000"/>
    <n v="13000"/>
    <n v="40140"/>
    <n v="51.46"/>
    <n v="72"/>
    <n v="71.47"/>
    <n v="100"/>
    <n v="10"/>
    <n v="45"/>
    <m/>
    <m/>
    <n v="20"/>
    <m/>
    <n v="93"/>
    <n v="168"/>
    <m/>
    <m/>
    <n v="105"/>
    <m/>
    <m/>
    <n v="34"/>
    <n v="7"/>
    <m/>
    <m/>
    <m/>
    <m/>
    <m/>
    <m/>
    <n v="25"/>
    <m/>
    <n v="5"/>
    <m/>
    <n v="5"/>
    <m/>
    <m/>
    <m/>
    <n v="21"/>
    <m/>
    <n v="13"/>
    <m/>
    <m/>
    <m/>
    <m/>
    <m/>
    <m/>
    <m/>
    <m/>
    <n v="880"/>
    <n v="110"/>
  </r>
  <r>
    <s v="FY23"/>
    <s v="P9"/>
    <s v="March"/>
    <s v="FY23P9C"/>
    <s v="FY23P971608004"/>
    <n v="0"/>
    <n v="1"/>
    <n v="1"/>
    <s v="45013C"/>
    <s v="45013C        FS01"/>
    <s v="FY23P9        FS01C"/>
    <s v="FY23        FS01"/>
    <s v="in        FS01"/>
    <s v="FY23P9        FS01"/>
    <n v="1352.8421052631577"/>
    <n v="2135.5578947368417"/>
    <n v="5553"/>
    <n v="1878.7804000000001"/>
    <n v="-3674.2195999999999"/>
    <x v="2"/>
    <s v="C"/>
    <x v="1"/>
    <n v="415762"/>
    <n v="71608004"/>
    <s v="JEFF VSB BBN 82.3 6/750 AU"/>
    <n v="180"/>
    <n v="1981"/>
    <n v="6"/>
    <n v="11886"/>
    <n v="55"/>
    <n v="55"/>
    <n v="600"/>
    <n v="30"/>
    <n v="570"/>
    <n v="31350"/>
    <n v="5225"/>
    <n v="11886"/>
    <n v="37.909999999999997"/>
    <n v="43.33"/>
    <n v="87.49"/>
    <n v="100"/>
    <m/>
    <n v="60"/>
    <n v="20"/>
    <m/>
    <n v="30"/>
    <m/>
    <n v="213"/>
    <n v="323"/>
    <m/>
    <m/>
    <n v="140"/>
    <m/>
    <m/>
    <m/>
    <n v="15"/>
    <m/>
    <m/>
    <n v="15"/>
    <m/>
    <m/>
    <m/>
    <n v="43"/>
    <m/>
    <m/>
    <n v="21"/>
    <m/>
    <n v="8"/>
    <m/>
    <m/>
    <n v="77"/>
    <m/>
    <n v="32"/>
    <m/>
    <m/>
    <m/>
    <m/>
    <m/>
    <m/>
    <m/>
    <n v="10"/>
    <m/>
    <n v="221"/>
  </r>
  <r>
    <s v="FY23"/>
    <s v="P9"/>
    <s v="March"/>
    <s v="FY23P9C"/>
    <s v="FY23P971608004"/>
    <n v="0"/>
    <n v="0"/>
    <n v="0"/>
    <s v="45013C"/>
    <s v="45013C        FS01"/>
    <s v="FY23P9        FS01C"/>
    <s v="FY23        FS01"/>
    <s v="in        FS01"/>
    <s v="FY23P9        FS01"/>
    <n v="33.15"/>
    <n v="669.63"/>
    <n v="802.1"/>
    <n v="107.1692"/>
    <n v="-694.93079999999998"/>
    <x v="2"/>
    <s v="C"/>
    <x v="1"/>
    <n v="424499"/>
    <n v="71608004"/>
    <s v="JEFF VSB BBN 82.3 6/750 AU"/>
    <n v="26"/>
    <n v="113"/>
    <n v="6"/>
    <n v="678"/>
    <n v="55"/>
    <n v="55"/>
    <n v="120"/>
    <m/>
    <n v="120"/>
    <n v="6600"/>
    <n v="1100"/>
    <n v="678"/>
    <n v="10.27"/>
    <n v="11.67"/>
    <n v="88.05"/>
    <n v="100"/>
    <n v="5"/>
    <m/>
    <m/>
    <m/>
    <m/>
    <m/>
    <n v="101"/>
    <n v="106"/>
    <m/>
    <m/>
    <n v="5"/>
    <m/>
    <m/>
    <m/>
    <m/>
    <m/>
    <m/>
    <m/>
    <m/>
    <n v="101"/>
    <m/>
    <m/>
    <m/>
    <m/>
    <m/>
    <m/>
    <m/>
    <m/>
    <m/>
    <m/>
    <m/>
    <m/>
    <m/>
    <m/>
    <m/>
    <m/>
    <m/>
    <m/>
    <m/>
    <m/>
    <n v="20"/>
    <n v="101"/>
  </r>
  <r>
    <s v="FY23"/>
    <s v="P9"/>
    <s v="March"/>
    <s v="FY23P9C"/>
    <s v="FY23P930000034"/>
    <n v="0"/>
    <n v="0"/>
    <n v="1"/>
    <s v="45013C"/>
    <s v="45013C        FS03"/>
    <s v="FY23P9        FS03C"/>
    <s v="FY23        FS03"/>
    <s v="in        FS03"/>
    <s v="FY23P9        FS03"/>
    <n v="361.14000000000004"/>
    <n v="821.59350000000018"/>
    <n v="2166.84"/>
    <n v="2146.1183999999998"/>
    <n v="-20.721600000000308"/>
    <x v="2"/>
    <s v="C"/>
    <x v="0"/>
    <n v="419156"/>
    <n v="30000034"/>
    <s v="SEAG GIN 80P 120/50 PT ND US"/>
    <n v="60"/>
    <n v="954"/>
    <n v="120"/>
    <n v="114480"/>
    <n v="380"/>
    <n v="380"/>
    <n v="720"/>
    <n v="30"/>
    <n v="690"/>
    <n v="262200"/>
    <n v="2185"/>
    <n v="114480"/>
    <n v="10.27"/>
    <n v="49.13"/>
    <n v="88.87"/>
    <n v="100"/>
    <n v="10"/>
    <n v="60"/>
    <m/>
    <m/>
    <n v="20"/>
    <m/>
    <n v="261"/>
    <n v="351"/>
    <m/>
    <m/>
    <n v="120"/>
    <m/>
    <m/>
    <n v="28"/>
    <m/>
    <m/>
    <m/>
    <m/>
    <m/>
    <m/>
    <m/>
    <m/>
    <n v="44"/>
    <n v="8"/>
    <n v="117"/>
    <n v="21"/>
    <m/>
    <m/>
    <n v="14"/>
    <n v="4"/>
    <m/>
    <n v="11"/>
    <m/>
    <m/>
    <n v="26"/>
    <m/>
    <m/>
    <m/>
    <m/>
    <m/>
    <n v="97"/>
    <n v="273"/>
  </r>
  <r>
    <s v="FY23"/>
    <s v="P9"/>
    <s v="March"/>
    <s v="FY23P9C"/>
    <s v="FY23P963009851"/>
    <n v="0"/>
    <n v="0"/>
    <n v="1"/>
    <s v="45013C"/>
    <s v="45013C        FS10"/>
    <s v="FY23P9        FS10C"/>
    <s v="FY23        FS10"/>
    <s v="in        FS10"/>
    <s v="FY23P9        FS10"/>
    <n v="166.07333333333332"/>
    <n v="373.66500000000002"/>
    <n v="2277.5771428571429"/>
    <n v="2652.7993000000001"/>
    <n v="375.22215714285721"/>
    <x v="2"/>
    <s v="C"/>
    <x v="3"/>
    <n v="417516"/>
    <n v="63009851"/>
    <s v="KAH 32 12/1L 21 MX"/>
    <n v="64"/>
    <n v="6667"/>
    <n v="12"/>
    <n v="80004"/>
    <n v="250"/>
    <n v="250"/>
    <n v="480"/>
    <n v="30"/>
    <n v="450"/>
    <n v="112500"/>
    <n v="9375"/>
    <n v="80004"/>
    <n v="71.11"/>
    <n v="78.89"/>
    <n v="90.15"/>
    <n v="100"/>
    <n v="10"/>
    <m/>
    <m/>
    <m/>
    <m/>
    <m/>
    <n v="85"/>
    <n v="95"/>
    <m/>
    <m/>
    <n v="40"/>
    <m/>
    <m/>
    <n v="20"/>
    <m/>
    <m/>
    <m/>
    <m/>
    <m/>
    <m/>
    <n v="20"/>
    <m/>
    <m/>
    <m/>
    <m/>
    <m/>
    <n v="12"/>
    <m/>
    <m/>
    <n v="12"/>
    <m/>
    <n v="11"/>
    <n v="10"/>
    <n v="5"/>
    <m/>
    <m/>
    <m/>
    <m/>
    <m/>
    <m/>
    <n v="883"/>
    <n v="90"/>
  </r>
  <r>
    <s v="FY23"/>
    <s v="P9"/>
    <s v="March"/>
    <s v="FY23P9C"/>
    <s v="FY23P963009851"/>
    <n v="0"/>
    <n v="0"/>
    <n v="0"/>
    <s v="45013C"/>
    <s v="45013C        FS10"/>
    <s v="FY23P9        FS10C"/>
    <s v="FY23        FS10"/>
    <s v="in        FS10"/>
    <s v="FY23P9        FS10"/>
    <n v="166.07333333333332"/>
    <n v="91.340333333333334"/>
    <n v="587.18785714285718"/>
    <n v="401.87900000000002"/>
    <n v="-185.30885714285716"/>
    <x v="2"/>
    <s v="C"/>
    <x v="3"/>
    <n v="417509"/>
    <n v="63009851"/>
    <s v="KAH 32 12/1L 21 MX"/>
    <n v="16.5"/>
    <n v="1010"/>
    <n v="12"/>
    <n v="12120"/>
    <n v="250"/>
    <n v="250"/>
    <n v="110"/>
    <m/>
    <n v="110"/>
    <n v="27500"/>
    <n v="2292"/>
    <n v="12120"/>
    <n v="44.07"/>
    <n v="43.64"/>
    <n v="101"/>
    <n v="100"/>
    <m/>
    <m/>
    <n v="10"/>
    <m/>
    <n v="30"/>
    <m/>
    <n v="22"/>
    <n v="62"/>
    <m/>
    <m/>
    <n v="40"/>
    <m/>
    <m/>
    <m/>
    <m/>
    <m/>
    <m/>
    <m/>
    <m/>
    <m/>
    <m/>
    <m/>
    <m/>
    <m/>
    <m/>
    <m/>
    <m/>
    <m/>
    <m/>
    <n v="22"/>
    <m/>
    <m/>
    <m/>
    <m/>
    <m/>
    <m/>
    <m/>
    <m/>
    <m/>
    <m/>
    <n v="820"/>
    <n v="22"/>
  </r>
  <r>
    <s v="FY23"/>
    <s v="P9"/>
    <s v="March"/>
    <s v="FY23P9B"/>
    <s v="FY23P971608004"/>
    <n v="1"/>
    <n v="1"/>
    <n v="1"/>
    <s v="45014B"/>
    <s v="45014B        FS01"/>
    <s v="FY23P9        FS01B"/>
    <s v="FY23        FS01"/>
    <s v="in        FS01"/>
    <s v="FY23P9        FS01"/>
    <n v="232.04999999999998"/>
    <n v="331.5"/>
    <n v="1403.675"/>
    <n v="777.68799999999999"/>
    <n v="-625.98699999999997"/>
    <x v="3"/>
    <s v="B"/>
    <x v="1"/>
    <n v="415762"/>
    <n v="71608004"/>
    <s v="JEFF VSB BBN 82.3 6/750 AU"/>
    <n v="45.5"/>
    <n v="820"/>
    <n v="6"/>
    <n v="4920"/>
    <n v="55"/>
    <n v="55"/>
    <n v="210"/>
    <m/>
    <n v="210"/>
    <n v="11550"/>
    <n v="1925"/>
    <n v="4920"/>
    <n v="42.6"/>
    <n v="60.95"/>
    <n v="69.89"/>
    <n v="100"/>
    <n v="10"/>
    <n v="15"/>
    <n v="10"/>
    <m/>
    <m/>
    <m/>
    <n v="47"/>
    <n v="82"/>
    <m/>
    <m/>
    <n v="35"/>
    <m/>
    <m/>
    <m/>
    <n v="15"/>
    <m/>
    <m/>
    <m/>
    <m/>
    <m/>
    <m/>
    <n v="16"/>
    <m/>
    <m/>
    <m/>
    <m/>
    <m/>
    <m/>
    <n v="3"/>
    <m/>
    <n v="16"/>
    <m/>
    <m/>
    <m/>
    <m/>
    <m/>
    <m/>
    <m/>
    <m/>
    <m/>
    <n v="235"/>
    <n v="50"/>
  </r>
  <r>
    <s v="FY23"/>
    <s v="P9"/>
    <s v="March"/>
    <s v="FY23P9B"/>
    <s v="FY23P971608001"/>
    <n v="0"/>
    <n v="0"/>
    <n v="0"/>
    <s v="45014B"/>
    <s v="45014B        FS01"/>
    <s v="FY23P9        FS01B"/>
    <s v="FY23        FS01"/>
    <s v="in        FS01"/>
    <s v="FY23P9        FS01"/>
    <n v="542.20000000000005"/>
    <n v="589.64250000000004"/>
    <n v="2643.2249999999999"/>
    <n v="3232.7207999999996"/>
    <n v="589.49579999999969"/>
    <x v="3"/>
    <s v="B"/>
    <x v="1"/>
    <n v="413422"/>
    <n v="71608001"/>
    <s v="JEFF VSB BBN 82.3 6/750 US"/>
    <n v="110.5"/>
    <n v="2052"/>
    <n v="6"/>
    <n v="12312"/>
    <n v="55"/>
    <n v="55"/>
    <n v="510"/>
    <n v="30"/>
    <n v="480"/>
    <n v="26400"/>
    <n v="4400"/>
    <n v="12312"/>
    <n v="46.64"/>
    <n v="75.42"/>
    <n v="61.84"/>
    <n v="100"/>
    <m/>
    <n v="30"/>
    <m/>
    <m/>
    <n v="20"/>
    <m/>
    <n v="68"/>
    <n v="118"/>
    <m/>
    <m/>
    <n v="80"/>
    <m/>
    <m/>
    <m/>
    <n v="21"/>
    <m/>
    <m/>
    <n v="16"/>
    <m/>
    <m/>
    <m/>
    <n v="11"/>
    <m/>
    <m/>
    <n v="4"/>
    <m/>
    <m/>
    <m/>
    <m/>
    <n v="4"/>
    <m/>
    <n v="4"/>
    <m/>
    <m/>
    <m/>
    <n v="7"/>
    <m/>
    <m/>
    <m/>
    <n v="20"/>
    <m/>
    <n v="87"/>
  </r>
  <r>
    <s v="FY23"/>
    <s v="P9"/>
    <s v="March"/>
    <s v="FY23P9B"/>
    <s v="FY23P930000034"/>
    <n v="0"/>
    <n v="0"/>
    <n v="1"/>
    <s v="45014B"/>
    <s v="45014B        FS03"/>
    <s v="FY23P9        FS03B"/>
    <s v="FY23        FS03"/>
    <s v="in        FS03"/>
    <s v="FY23P9        FS03"/>
    <n v="225.71250000000003"/>
    <n v="511.61500000000007"/>
    <n v="1083.42"/>
    <n v="818.85439999999983"/>
    <n v="-264.56560000000025"/>
    <x v="3"/>
    <s v="B"/>
    <x v="0"/>
    <n v="419157"/>
    <n v="30000034"/>
    <s v="SEAG GIN 80P 120/50 PT ND US"/>
    <n v="30"/>
    <n v="364"/>
    <n v="120"/>
    <n v="43680"/>
    <n v="380"/>
    <n v="380"/>
    <n v="360"/>
    <m/>
    <n v="360"/>
    <n v="136800"/>
    <n v="1140"/>
    <n v="43680"/>
    <n v="31.93"/>
    <n v="39.44"/>
    <n v="80.95"/>
    <n v="100"/>
    <n v="15"/>
    <n v="45"/>
    <n v="15"/>
    <m/>
    <m/>
    <m/>
    <n v="143"/>
    <n v="218"/>
    <m/>
    <m/>
    <n v="75"/>
    <m/>
    <m/>
    <n v="10"/>
    <n v="20"/>
    <m/>
    <m/>
    <m/>
    <m/>
    <m/>
    <m/>
    <n v="12"/>
    <m/>
    <m/>
    <n v="101"/>
    <n v="9"/>
    <m/>
    <m/>
    <n v="8"/>
    <m/>
    <m/>
    <m/>
    <m/>
    <n v="5"/>
    <m/>
    <m/>
    <m/>
    <m/>
    <m/>
    <n v="5"/>
    <n v="100"/>
    <n v="170"/>
  </r>
  <r>
    <s v="FY23"/>
    <s v="P9"/>
    <s v="March"/>
    <s v="FY23P9B"/>
    <s v="FY23P961005002"/>
    <n v="0"/>
    <n v="0"/>
    <n v="1"/>
    <s v="45014B"/>
    <s v="45014B        FS04"/>
    <s v="FY23P9        FS04B"/>
    <s v="FY23        FS04"/>
    <s v="in        FS04"/>
    <s v="FY23P9        FS04"/>
    <n v="315.73250000000007"/>
    <n v="1638.4855000000002"/>
    <n v="2093.8050000000003"/>
    <n v="281.93200000000002"/>
    <n v="-1811.8730000000003"/>
    <x v="3"/>
    <s v="B"/>
    <x v="2"/>
    <n v="421250"/>
    <n v="61005002"/>
    <s v="HW BLKBDY 70 24/375 NB FSK US"/>
    <n v="63"/>
    <n v="280"/>
    <n v="24"/>
    <n v="6720"/>
    <n v="230"/>
    <n v="230"/>
    <n v="630"/>
    <n v="30"/>
    <n v="600"/>
    <n v="138000"/>
    <n v="5750"/>
    <n v="6720"/>
    <n v="4.87"/>
    <n v="9"/>
    <n v="54.11"/>
    <n v="100"/>
    <n v="5"/>
    <n v="30"/>
    <m/>
    <m/>
    <n v="30"/>
    <m/>
    <n v="481"/>
    <n v="546"/>
    <m/>
    <m/>
    <n v="95"/>
    <m/>
    <m/>
    <m/>
    <m/>
    <m/>
    <n v="74"/>
    <m/>
    <m/>
    <m/>
    <n v="4"/>
    <m/>
    <m/>
    <n v="3"/>
    <m/>
    <n v="237"/>
    <m/>
    <m/>
    <m/>
    <n v="151"/>
    <m/>
    <n v="19"/>
    <m/>
    <m/>
    <m/>
    <m/>
    <n v="5"/>
    <m/>
    <m/>
    <m/>
    <n v="24"/>
    <n v="493"/>
  </r>
  <r>
    <s v="FY23"/>
    <s v="P9"/>
    <s v="March"/>
    <s v="FY23P9B"/>
    <s v="FY23P963109031"/>
    <n v="0"/>
    <n v="0"/>
    <n v="1"/>
    <s v="45014B"/>
    <s v="45014B        FS10"/>
    <s v="FY23P9        FS10B"/>
    <s v="FY23        FS10"/>
    <s v="in        FS10"/>
    <s v="FY23P9        FS10"/>
    <n v="39.25951401869159"/>
    <n v="424.71656074766355"/>
    <n v="385.00800000000004"/>
    <n v="243.50700000000001"/>
    <n v="-141.50100000000003"/>
    <x v="3"/>
    <s v="B"/>
    <x v="3"/>
    <n v="425332"/>
    <n v="63109031"/>
    <s v="KAH ESP 70 12/1L NB AU"/>
    <n v="12.48"/>
    <n v="470"/>
    <n v="12"/>
    <n v="5640"/>
    <n v="250"/>
    <n v="250"/>
    <n v="107"/>
    <m/>
    <n v="107"/>
    <n v="26750"/>
    <n v="2229"/>
    <n v="5640"/>
    <n v="21.08"/>
    <n v="-14.95"/>
    <n v="-141"/>
    <n v="100"/>
    <n v="5"/>
    <m/>
    <m/>
    <m/>
    <n v="6"/>
    <m/>
    <n v="112"/>
    <n v="123"/>
    <m/>
    <m/>
    <n v="11"/>
    <m/>
    <m/>
    <m/>
    <m/>
    <m/>
    <m/>
    <m/>
    <m/>
    <m/>
    <m/>
    <m/>
    <m/>
    <m/>
    <n v="21"/>
    <m/>
    <m/>
    <m/>
    <m/>
    <n v="45"/>
    <n v="46"/>
    <m/>
    <m/>
    <m/>
    <m/>
    <m/>
    <m/>
    <m/>
    <m/>
    <n v="7"/>
    <n v="275"/>
    <n v="119"/>
  </r>
  <r>
    <s v="FY23"/>
    <s v="P9"/>
    <s v="March"/>
    <s v="FY23P9B"/>
    <s v="FY23P964509017"/>
    <n v="0"/>
    <n v="0"/>
    <n v="0"/>
    <s v="45014B"/>
    <s v="45014B        FS10"/>
    <s v="FY23P9        FS10B"/>
    <s v="FY23        FS10"/>
    <s v="in        FS10"/>
    <s v="FY23P9        FS10"/>
    <n v="1614.7384615384615"/>
    <n v="0"/>
    <n v="1511.65"/>
    <n v="0"/>
    <n v="-1511.65"/>
    <x v="3"/>
    <s v="B"/>
    <x v="3"/>
    <n v="412452"/>
    <n v="64509017"/>
    <s v="KAH SALTED CARAMEL40 6/1L AUNZ"/>
    <n v="49"/>
    <m/>
    <n v="6"/>
    <m/>
    <n v="180"/>
    <n v="180"/>
    <n v="420"/>
    <n v="30"/>
    <n v="390"/>
    <n v="70200"/>
    <n v="11700"/>
    <n v="0"/>
    <n v="0"/>
    <n v="0"/>
    <n v="0"/>
    <n v="0"/>
    <m/>
    <n v="30"/>
    <m/>
    <n v="360"/>
    <m/>
    <m/>
    <m/>
    <n v="390"/>
    <m/>
    <m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Y23"/>
    <s v="P9"/>
    <s v="March"/>
    <s v="FY23P9B"/>
    <s v="FY23P930012034"/>
    <n v="0"/>
    <n v="0"/>
    <n v="1"/>
    <s v="45014B"/>
    <s v="45014B        FS12"/>
    <s v="FY23P9        FS12B"/>
    <s v="FY23        FS12"/>
    <s v="in        FS12"/>
    <s v="FY23P9        FS12"/>
    <n v="270.85500000000002"/>
    <n v="78.247000000000014"/>
    <n v="1263.9900000000002"/>
    <n v="1282.05"/>
    <n v="18.059999999999718"/>
    <x v="3"/>
    <s v="B"/>
    <x v="4"/>
    <n v="417611"/>
    <n v="30012034"/>
    <s v="SEAG GIN 80P 6/1.75L ND US"/>
    <n v="35"/>
    <n v="5775"/>
    <n v="6"/>
    <n v="34650"/>
    <n v="130"/>
    <n v="130"/>
    <n v="420"/>
    <n v="30"/>
    <n v="390"/>
    <n v="50700"/>
    <n v="8450"/>
    <n v="34650"/>
    <n v="68.34"/>
    <n v="78.97"/>
    <n v="86.54"/>
    <n v="100"/>
    <n v="10"/>
    <n v="30"/>
    <m/>
    <m/>
    <n v="20"/>
    <m/>
    <n v="22"/>
    <n v="82"/>
    <m/>
    <m/>
    <n v="90"/>
    <m/>
    <m/>
    <m/>
    <m/>
    <m/>
    <m/>
    <m/>
    <m/>
    <m/>
    <m/>
    <m/>
    <m/>
    <m/>
    <m/>
    <n v="4"/>
    <m/>
    <m/>
    <m/>
    <n v="11"/>
    <m/>
    <n v="11"/>
    <m/>
    <m/>
    <m/>
    <m/>
    <m/>
    <m/>
    <m/>
    <m/>
    <n v="767"/>
    <n v="26"/>
  </r>
  <r>
    <s v="FY23"/>
    <s v="P9"/>
    <s v="March"/>
    <s v="FY23P9B"/>
    <s v="FY23P981719001"/>
    <n v="0"/>
    <n v="0"/>
    <n v="1"/>
    <s v="45014B"/>
    <s v="45014B        FS14"/>
    <s v="FY23P9        FS14B"/>
    <s v="FY23        FS14"/>
    <s v="in        FS14"/>
    <s v="FY23P9        FS14"/>
    <n v="209.27739130434782"/>
    <n v="1432.7452173913043"/>
    <n v="1866.4250000000002"/>
    <n v="483.86709999999999"/>
    <n v="-1382.5579000000002"/>
    <x v="3"/>
    <s v="B"/>
    <x v="6"/>
    <n v="409124"/>
    <n v="81719001"/>
    <s v="MALI PNBBR14USA 24/355 6X4CNUS"/>
    <n v="60.5"/>
    <n v="1817"/>
    <n v="24"/>
    <n v="43608"/>
    <n v="533"/>
    <n v="533"/>
    <n v="605"/>
    <n v="30"/>
    <n v="575"/>
    <n v="306475"/>
    <n v="12770"/>
    <n v="43608"/>
    <n v="14.23"/>
    <n v="16.52"/>
    <n v="86.12"/>
    <n v="100"/>
    <n v="5"/>
    <n v="30"/>
    <m/>
    <m/>
    <m/>
    <m/>
    <n v="445"/>
    <n v="480"/>
    <m/>
    <m/>
    <n v="65"/>
    <m/>
    <m/>
    <m/>
    <n v="20"/>
    <m/>
    <n v="165"/>
    <m/>
    <m/>
    <n v="90"/>
    <m/>
    <m/>
    <m/>
    <m/>
    <m/>
    <m/>
    <m/>
    <m/>
    <m/>
    <m/>
    <m/>
    <n v="35"/>
    <m/>
    <m/>
    <m/>
    <m/>
    <m/>
    <m/>
    <m/>
    <n v="135"/>
    <m/>
    <n v="445"/>
  </r>
  <r>
    <s v="FY23"/>
    <s v="P9"/>
    <s v="March"/>
    <s v="FY23P9C"/>
    <s v="FY23P971608001"/>
    <n v="0"/>
    <n v="1"/>
    <n v="1"/>
    <s v="45014C"/>
    <s v="45014C        FS01"/>
    <s v="FY23P9        FS01C"/>
    <s v="FY23        FS01"/>
    <s v="in        FS01"/>
    <s v="FY23P9        FS01"/>
    <n v="813.3"/>
    <n v="1186.0625"/>
    <n v="4305.7058823529405"/>
    <n v="5208.2723999999998"/>
    <n v="902.5665176470593"/>
    <x v="3"/>
    <s v="C"/>
    <x v="1"/>
    <n v="413422"/>
    <n v="71608001"/>
    <s v="JEFF VSB BBN 82.3 6/750 US"/>
    <n v="180"/>
    <n v="3306"/>
    <n v="6"/>
    <n v="19836"/>
    <n v="55"/>
    <n v="55"/>
    <n v="720"/>
    <n v="30"/>
    <n v="690"/>
    <n v="37950"/>
    <n v="6325"/>
    <n v="19836"/>
    <n v="52.27"/>
    <n v="61.59"/>
    <n v="84.86"/>
    <n v="100"/>
    <n v="10"/>
    <n v="60"/>
    <m/>
    <m/>
    <n v="20"/>
    <m/>
    <n v="175"/>
    <n v="265"/>
    <m/>
    <m/>
    <n v="120"/>
    <m/>
    <m/>
    <m/>
    <m/>
    <m/>
    <m/>
    <m/>
    <m/>
    <m/>
    <m/>
    <n v="15"/>
    <m/>
    <n v="15"/>
    <m/>
    <m/>
    <m/>
    <m/>
    <m/>
    <n v="30"/>
    <m/>
    <n v="115"/>
    <m/>
    <m/>
    <m/>
    <m/>
    <m/>
    <m/>
    <m/>
    <m/>
    <n v="233"/>
    <n v="175"/>
  </r>
  <r>
    <s v="FY23"/>
    <s v="P9"/>
    <s v="March"/>
    <s v="FY23P9C"/>
    <s v="FY23P920000054"/>
    <n v="0"/>
    <n v="0"/>
    <n v="1"/>
    <s v="45014C"/>
    <s v="45014C        FS03"/>
    <s v="FY23P9        FS03C"/>
    <s v="FY23        FS03"/>
    <s v="in        FS03"/>
    <s v="FY23P9        FS03"/>
    <n v="391.23500000000007"/>
    <n v="1522.8070000000002"/>
    <n v="2166.84"/>
    <n v="503.05919999999992"/>
    <n v="-1663.7808000000002"/>
    <x v="3"/>
    <s v="C"/>
    <x v="0"/>
    <n v="417650"/>
    <n v="20000054"/>
    <s v="MALI 42 120/50 PT SW 21 US"/>
    <n v="60"/>
    <n v="224"/>
    <n v="120"/>
    <n v="26880"/>
    <n v="380"/>
    <n v="380"/>
    <n v="720"/>
    <n v="30"/>
    <n v="690"/>
    <n v="262200"/>
    <n v="2185"/>
    <n v="26880"/>
    <n v="10.25"/>
    <n v="14.64"/>
    <n v="70.040000000000006"/>
    <n v="100"/>
    <n v="10"/>
    <n v="60"/>
    <m/>
    <m/>
    <n v="30"/>
    <m/>
    <n v="489"/>
    <n v="589"/>
    <m/>
    <m/>
    <n v="130"/>
    <m/>
    <m/>
    <n v="32"/>
    <m/>
    <m/>
    <m/>
    <n v="25"/>
    <m/>
    <m/>
    <m/>
    <m/>
    <n v="131"/>
    <n v="4"/>
    <n v="105"/>
    <n v="9"/>
    <m/>
    <m/>
    <n v="4"/>
    <n v="55"/>
    <m/>
    <n v="14"/>
    <m/>
    <m/>
    <n v="127"/>
    <m/>
    <m/>
    <m/>
    <m/>
    <m/>
    <m/>
    <n v="506"/>
  </r>
  <r>
    <s v="FY23"/>
    <s v="P9"/>
    <s v="March"/>
    <s v="FY23P9C"/>
    <s v="FY23P964508017"/>
    <n v="0"/>
    <n v="0"/>
    <n v="1"/>
    <s v="45014C"/>
    <s v="45014C        FS10"/>
    <s v="FY23P9        FS10C"/>
    <s v="FY23        FS10"/>
    <s v="in        FS10"/>
    <s v="FY23P9        FS10"/>
    <n v="871.88499999999999"/>
    <n v="373.66500000000002"/>
    <n v="1120.9950000000001"/>
    <n v="0"/>
    <n v="-1120.9950000000001"/>
    <x v="3"/>
    <s v="C"/>
    <x v="3"/>
    <n v="413274"/>
    <n v="64508017"/>
    <s v="KAH SALTED CARAMEL40 12/750 US"/>
    <n v="31.5"/>
    <m/>
    <n v="12"/>
    <m/>
    <n v="290"/>
    <n v="290"/>
    <n v="210"/>
    <m/>
    <n v="210"/>
    <n v="60900"/>
    <n v="5075"/>
    <n v="0"/>
    <n v="0"/>
    <n v="-42.86"/>
    <n v="0"/>
    <n v="0"/>
    <m/>
    <m/>
    <m/>
    <n v="210"/>
    <m/>
    <m/>
    <n v="90"/>
    <n v="300"/>
    <m/>
    <m/>
    <n v="210"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n v="90"/>
  </r>
  <r>
    <s v="FY23"/>
    <s v="P9"/>
    <s v="March"/>
    <s v="FY23P9C"/>
    <s v="FY23P963109031"/>
    <n v="0"/>
    <n v="0"/>
    <n v="0"/>
    <s v="45014C"/>
    <s v="45014C        FS10"/>
    <s v="FY23P9        FS10C"/>
    <s v="FY23        FS10"/>
    <s v="in        FS10"/>
    <s v="FY23P9        FS10"/>
    <n v="321.3"/>
    <n v="107.10000000000001"/>
    <n v="539.875"/>
    <n v="0"/>
    <n v="-539.875"/>
    <x v="3"/>
    <s v="C"/>
    <x v="3"/>
    <n v="425332"/>
    <n v="63109031"/>
    <s v="KAH ESP 70 12/1L NB AU"/>
    <n v="17.5"/>
    <m/>
    <n v="12"/>
    <m/>
    <n v="250"/>
    <n v="250"/>
    <n v="150"/>
    <m/>
    <n v="150"/>
    <n v="37500"/>
    <n v="3125"/>
    <n v="0"/>
    <n v="0"/>
    <n v="0"/>
    <n v="0"/>
    <n v="0"/>
    <m/>
    <m/>
    <m/>
    <n v="60"/>
    <n v="30"/>
    <m/>
    <n v="60"/>
    <n v="150"/>
    <m/>
    <m/>
    <n v="90"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1"/>
    <n v="30"/>
  </r>
  <r>
    <s v="FY23"/>
    <s v="P9"/>
    <s v="March"/>
    <s v="FY23P9C"/>
    <s v="FY23P964509017"/>
    <n v="0"/>
    <n v="0"/>
    <n v="0"/>
    <s v="45014C"/>
    <s v="45014C        FS10"/>
    <s v="FY23P9        FS10C"/>
    <s v="FY23        FS10"/>
    <s v="in        FS10"/>
    <s v="FY23P9        FS10"/>
    <n v="114.75"/>
    <n v="582.92999999999995"/>
    <n v="1203.1500000000001"/>
    <n v="920.14560000000006"/>
    <n v="-283.00440000000003"/>
    <x v="3"/>
    <s v="C"/>
    <x v="3"/>
    <n v="412452"/>
    <n v="64509017"/>
    <s v="KAH SALTED CARAMEL40 6/1L AUNZ"/>
    <n v="39"/>
    <n v="1776"/>
    <n v="6"/>
    <n v="10656"/>
    <n v="180"/>
    <n v="180"/>
    <n v="260"/>
    <m/>
    <n v="260"/>
    <n v="46800"/>
    <n v="7800"/>
    <n v="10656"/>
    <n v="22.77"/>
    <n v="41.54"/>
    <n v="54.81"/>
    <n v="100"/>
    <n v="10"/>
    <n v="15"/>
    <m/>
    <m/>
    <m/>
    <m/>
    <n v="127"/>
    <n v="152"/>
    <m/>
    <m/>
    <n v="25"/>
    <m/>
    <m/>
    <n v="15"/>
    <m/>
    <m/>
    <m/>
    <m/>
    <m/>
    <m/>
    <m/>
    <m/>
    <m/>
    <n v="15"/>
    <n v="15"/>
    <m/>
    <n v="25"/>
    <m/>
    <m/>
    <m/>
    <m/>
    <n v="30"/>
    <n v="27"/>
    <m/>
    <m/>
    <m/>
    <m/>
    <m/>
    <m/>
    <m/>
    <n v="334"/>
    <n v="127"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644E8-6CE8-42D4-B73D-AFFBB02DC936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S48:T65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1"/>
        <item x="0"/>
        <item x="5"/>
        <item m="1" x="8"/>
        <item x="3"/>
        <item x="4"/>
        <item x="7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0"/>
    <field x="21"/>
  </rowFields>
  <rowItems count="17">
    <i>
      <x/>
    </i>
    <i r="1">
      <x/>
    </i>
    <i r="1">
      <x v="1"/>
    </i>
    <i r="1">
      <x v="2"/>
    </i>
    <i r="1">
      <x v="4"/>
    </i>
    <i r="1">
      <x v="5"/>
    </i>
    <i r="1">
      <x v="7"/>
    </i>
    <i r="1">
      <x v="8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 v="6"/>
    </i>
    <i t="grand">
      <x/>
    </i>
  </rowItems>
  <colItems count="1">
    <i/>
  </colItems>
  <dataFields count="1">
    <dataField name="Sum of Identifier WD/S/L" fld="7" baseField="0" baseItem="0"/>
  </dataFields>
  <formats count="15">
    <format dxfId="14">
      <pivotArea outline="0" collapsedLevelsAreSubtotals="1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0" type="button" dataOnly="0" labelOnly="1" outline="0" axis="axisRow" fieldPosition="0"/>
    </format>
    <format dxfId="10">
      <pivotArea dataOnly="0" labelOnly="1" fieldPosition="0">
        <references count="1">
          <reference field="20" count="0"/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2">
          <reference field="20" count="1" selected="0">
            <x v="0"/>
          </reference>
          <reference field="21" count="0"/>
        </references>
      </pivotArea>
    </format>
    <format dxfId="7">
      <pivotArea dataOnly="0" labelOnly="1" fieldPosition="0">
        <references count="2">
          <reference field="20" count="1" selected="0">
            <x v="1"/>
          </reference>
          <reference field="21" count="4">
            <x v="0"/>
            <x v="1"/>
            <x v="2"/>
            <x v="4"/>
          </reference>
        </references>
      </pivotArea>
    </format>
    <format dxfId="6">
      <pivotArea dataOnly="0" labelOnly="1" outline="0" axis="axisValues" fieldPosition="0"/>
    </format>
    <format dxfId="5">
      <pivotArea collapsedLevelsAreSubtotals="1" fieldPosition="0">
        <references count="1">
          <reference field="20" count="1">
            <x v="0"/>
          </reference>
        </references>
      </pivotArea>
    </format>
    <format dxfId="4">
      <pivotArea collapsedLevelsAreSubtotals="1" fieldPosition="0">
        <references count="1">
          <reference field="20" count="1">
            <x v="0"/>
          </reference>
        </references>
      </pivotArea>
    </format>
    <format dxfId="3">
      <pivotArea collapsedLevelsAreSubtotals="1" fieldPosition="0">
        <references count="2">
          <reference field="20" count="1" selected="0">
            <x v="0"/>
          </reference>
          <reference field="21" count="6">
            <x v="0"/>
            <x v="1"/>
            <x v="2"/>
            <x v="3"/>
            <x v="4"/>
            <x v="5"/>
          </reference>
        </references>
      </pivotArea>
    </format>
    <format dxfId="2">
      <pivotArea collapsedLevelsAreSubtotals="1" fieldPosition="0">
        <references count="1">
          <reference field="20" count="1">
            <x v="1"/>
          </reference>
        </references>
      </pivotArea>
    </format>
    <format dxfId="1">
      <pivotArea collapsedLevelsAreSubtotals="1" fieldPosition="0">
        <references count="2">
          <reference field="20" count="1" selected="0">
            <x v="1"/>
          </reference>
          <reference field="21" count="4">
            <x v="0"/>
            <x v="1"/>
            <x v="2"/>
            <x v="4"/>
          </reference>
        </references>
      </pivotArea>
    </format>
    <format dxfId="0">
      <pivotArea collapsedLevelsAreSubtotals="1" fieldPosition="0">
        <references count="1">
          <reference field="2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691B5-D608-4F6A-8466-064ADBEFD56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Date">
  <location ref="H3:J11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numFmtId="14" showAll="0">
      <items count="30">
        <item h="1" m="1" x="16"/>
        <item h="1" m="1" x="12"/>
        <item h="1" m="1" x="21"/>
        <item h="1" m="1" x="6"/>
        <item h="1" x="4"/>
        <item h="1" m="1" x="14"/>
        <item h="1" m="1" x="25"/>
        <item h="1" m="1" x="10"/>
        <item h="1" m="1" x="22"/>
        <item h="1" m="1" x="7"/>
        <item h="1" m="1" x="15"/>
        <item h="1" m="1" x="26"/>
        <item h="1" m="1" x="11"/>
        <item h="1" m="1" x="20"/>
        <item h="1" m="1" x="5"/>
        <item h="1" m="1" x="13"/>
        <item h="1" m="1" x="24"/>
        <item h="1" m="1" x="9"/>
        <item h="1" m="1" x="19"/>
        <item h="1" m="1" x="23"/>
        <item h="1" m="1" x="8"/>
        <item h="1" m="1" x="18"/>
        <item h="1" m="1" x="28"/>
        <item h="1" m="1" x="17"/>
        <item h="1" m="1" x="27"/>
        <item h="1" x="0"/>
        <item h="1" x="1"/>
        <item h="1" x="2"/>
        <item x="3"/>
        <item t="default"/>
      </items>
    </pivotField>
    <pivotField showAll="0"/>
    <pivotField axis="axisRow" showAll="0">
      <items count="10">
        <item x="1"/>
        <item x="0"/>
        <item x="2"/>
        <item x="5"/>
        <item m="1" x="8"/>
        <item x="3"/>
        <item x="4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9"/>
    <field x="21"/>
  </rowFields>
  <rowItems count="8">
    <i>
      <x v="28"/>
    </i>
    <i r="1">
      <x/>
    </i>
    <i r="1">
      <x v="1"/>
    </i>
    <i r="1">
      <x v="2"/>
    </i>
    <i r="1">
      <x v="5"/>
    </i>
    <i r="1">
      <x v="6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Bottle Total" fld="28" baseField="0" baseItem="0"/>
    <dataField name="Exp. Btls" fld="34" baseField="0" baseItem="0"/>
  </dataFields>
  <formats count="8">
    <format dxfId="22">
      <pivotArea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19" type="button" dataOnly="0" labelOnly="1" outline="0" axis="axisRow" fieldPosition="0"/>
    </format>
    <format dxfId="18">
      <pivotArea dataOnly="0" labelOnly="1" fieldPosition="0">
        <references count="1">
          <reference field="19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2">
          <reference field="19" count="0" selected="0"/>
          <reference field="21" count="6">
            <x v="0"/>
            <x v="1"/>
            <x v="2"/>
            <x v="3"/>
            <x v="5"/>
            <x v="6"/>
          </reference>
        </references>
      </pivotArea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F7356-22B9-4E98-A3E5-BA82C15E1BDE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B35:AE43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/>
    <pivotField axis="axisRow" showAll="0">
      <items count="10">
        <item x="1"/>
        <item x="0"/>
        <item x="2"/>
        <item x="5"/>
        <item m="1" x="8"/>
        <item x="3"/>
        <item x="4"/>
        <item h="1"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5"/>
    </i>
    <i>
      <x v="6"/>
    </i>
    <i>
      <x v="8"/>
    </i>
    <i t="grand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dataFields count="29">
    <dataField name="Sum of Fill Height/Cap Detector" fld="52" baseField="0" baseItem="0"/>
    <dataField name="Sum of FCS" fld="53" baseField="21" baseItem="1"/>
    <dataField name="Sum of Proc.-Tk Chg" fld="54" baseField="0" baseItem="0"/>
    <dataField name="Sum of Manning/    Supplies" fld="55" baseField="0" baseItem="0"/>
    <dataField name="Sum of Foam" fld="56" baseField="21" baseItem="1"/>
    <dataField name="Sum of Proof Cks     /Lab" fld="57" baseField="21" baseItem="1"/>
    <dataField name="Sum of Vision System" fld="58" baseField="0" baseItem="0"/>
    <dataField name="Sum of QA External" fld="59" baseField="0" baseItem="0"/>
    <dataField name="Sum of QA Internal" fld="60" baseField="0" baseItem="0"/>
    <dataField name="Sum of Pal/Depal" fld="61" baseField="0" baseItem="0"/>
    <dataField name="Sum of Unloader" fld="62" baseField="0" baseItem="0"/>
    <dataField name="Sum of Bulk Unloader" fld="63" baseField="0" baseItem="0"/>
    <dataField name="Sum of Cleaner" fld="64" baseField="0" baseItem="0"/>
    <dataField name="Sum of Filler" fld="65" baseField="0" baseItem="0"/>
    <dataField name="Sum of Capper" fld="66" baseField="0" baseItem="0"/>
    <dataField name="Sum of Checkweigher/Taper" fld="67" baseField="0" baseItem="0"/>
    <dataField name="Sum of Team Performance" fld="68" baseField="21" baseItem="1"/>
    <dataField name="Sum of Bottle Orientor" fld="69" baseField="0" baseItem="0"/>
    <dataField name="Sum of Labeler" fld="70" baseField="0" baseItem="0"/>
    <dataField name="Sum of Wash" fld="71" baseField="21" baseItem="1"/>
    <dataField name="Sum of Case Packer" fld="72" baseField="0" baseItem="0"/>
    <dataField name="Sum of Partitioner" fld="73" baseField="21" baseItem="1"/>
    <dataField name="Sum of Case Erector" fld="74" baseField="0" baseItem="0"/>
    <dataField name="Sum of APM" fld="75" baseField="0" baseItem="0"/>
    <dataField name="Sum of Case Line" fld="76" baseField="21" baseItem="1"/>
    <dataField name="Sum of State Code" fld="77" baseField="0" baseItem="0"/>
    <dataField name="Sum of Case Printer" fld="78" baseField="21" baseItem="1"/>
    <dataField name="Sum of Laser Dater" fld="79" baseField="21" baseItem="1"/>
    <dataField name="Sum of Other" fld="80" baseField="0" baseItem="0"/>
  </dataFields>
  <formats count="1">
    <format dxfId="23">
      <pivotArea dataOnly="0" labelOnly="1" outline="0" fieldPosition="0">
        <references count="1">
          <reference field="4294967294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9" type="yesterday" evalOrder="-1" id="1">
      <autoFilter ref="A1">
        <filterColumn colId="0">
          <dynamicFilter type="yesterday" val="44938" maxVal="44939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432BA-DD56-4538-BA06-58C803982EB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J80:K89" firstHeaderRow="1" firstDataRow="1" firstDataCol="1"/>
  <pivotFields count="2"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s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BD7CB-95CB-4424-8D0C-49CC7DC1400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Date">
  <location ref="B21:AE29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numFmtId="14" showAll="0">
      <items count="30">
        <item h="1" m="1" x="16"/>
        <item h="1" m="1" x="12"/>
        <item h="1" m="1" x="21"/>
        <item h="1" m="1" x="6"/>
        <item h="1" x="4"/>
        <item h="1" m="1" x="14"/>
        <item h="1" m="1" x="25"/>
        <item h="1" m="1" x="10"/>
        <item h="1" m="1" x="22"/>
        <item h="1" m="1" x="7"/>
        <item h="1" m="1" x="15"/>
        <item h="1" m="1" x="26"/>
        <item h="1" m="1" x="11"/>
        <item h="1" m="1" x="20"/>
        <item h="1" m="1" x="5"/>
        <item h="1" m="1" x="13"/>
        <item h="1" m="1" x="24"/>
        <item h="1" m="1" x="9"/>
        <item h="1" m="1" x="19"/>
        <item h="1" m="1" x="23"/>
        <item h="1" m="1" x="8"/>
        <item h="1" m="1" x="18"/>
        <item h="1" m="1" x="28"/>
        <item h="1" m="1" x="17"/>
        <item h="1" m="1" x="27"/>
        <item h="1" x="0"/>
        <item h="1" x="1"/>
        <item h="1" x="2"/>
        <item x="3"/>
        <item t="default"/>
      </items>
    </pivotField>
    <pivotField showAll="0"/>
    <pivotField axis="axisRow" showAll="0">
      <items count="10">
        <item x="1"/>
        <item x="0"/>
        <item x="2"/>
        <item x="5"/>
        <item m="1" x="8"/>
        <item x="3"/>
        <item x="4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19"/>
    <field x="21"/>
  </rowFields>
  <rowItems count="8">
    <i>
      <x v="28"/>
    </i>
    <i r="1">
      <x/>
    </i>
    <i r="1">
      <x v="1"/>
    </i>
    <i r="1">
      <x v="2"/>
    </i>
    <i r="1">
      <x v="5"/>
    </i>
    <i r="1">
      <x v="6"/>
    </i>
    <i r="1">
      <x v="8"/>
    </i>
    <i t="grand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dataFields count="29">
    <dataField name="Sum of Fill Height/Cap Detector" fld="52" baseField="0" baseItem="0"/>
    <dataField name="Sum of FCS" fld="53" baseField="21" baseItem="1"/>
    <dataField name="Sum of Proc.-Tk Chg" fld="54" baseField="0" baseItem="0"/>
    <dataField name="Sum of Manning/    Supplies" fld="55" baseField="0" baseItem="0"/>
    <dataField name="Sum of Foam" fld="56" baseField="21" baseItem="1"/>
    <dataField name="Sum of Proof Cks     /Lab" fld="57" baseField="21" baseItem="1"/>
    <dataField name="Sum of Vision System" fld="58" baseField="0" baseItem="0"/>
    <dataField name="Sum of QA External" fld="59" baseField="0" baseItem="0"/>
    <dataField name="Sum of QA Internal" fld="60" baseField="0" baseItem="0"/>
    <dataField name="Sum of Pal/Depal" fld="61" baseField="0" baseItem="0"/>
    <dataField name="Sum of Unloader" fld="62" baseField="0" baseItem="0"/>
    <dataField name="Sum of Bulk Unloader" fld="63" baseField="0" baseItem="0"/>
    <dataField name="Sum of Cleaner" fld="64" baseField="0" baseItem="0"/>
    <dataField name="Sum of Filler" fld="65" baseField="0" baseItem="0"/>
    <dataField name="Sum of Capper" fld="66" baseField="0" baseItem="0"/>
    <dataField name="Sum of Checkweigher/Taper" fld="67" baseField="0" baseItem="0"/>
    <dataField name="Sum of Team Performance" fld="68" baseField="21" baseItem="1"/>
    <dataField name="Sum of Bottle Orientor" fld="69" baseField="0" baseItem="0"/>
    <dataField name="Sum of Labeler" fld="70" baseField="0" baseItem="0"/>
    <dataField name="Sum of Wash" fld="71" baseField="21" baseItem="1"/>
    <dataField name="Sum of Case Packer" fld="72" baseField="0" baseItem="0"/>
    <dataField name="Sum of Partitioner" fld="73" baseField="21" baseItem="1"/>
    <dataField name="Sum of Case Erector" fld="74" baseField="0" baseItem="0"/>
    <dataField name="Sum of APM" fld="75" baseField="0" baseItem="0"/>
    <dataField name="Sum of Case Line" fld="76" baseField="21" baseItem="1"/>
    <dataField name="Sum of State Code" fld="77" baseField="0" baseItem="0"/>
    <dataField name="Sum of Case Printer" fld="78" baseField="21" baseItem="1"/>
    <dataField name="Sum of Laser Dater" fld="79" baseField="21" baseItem="1"/>
    <dataField name="Sum of Other" fld="80" baseField="0" baseItem="0"/>
  </dataFields>
  <formats count="1">
    <format dxfId="24">
      <pivotArea dataOnly="0" labelOnly="1" outline="0" fieldPosition="0">
        <references count="1">
          <reference field="4294967294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DAB96-9BE6-4D1C-A62A-4F1D6280873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Line">
  <location ref="B3:D11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/>
    <pivotField axis="axisRow" showAll="0">
      <items count="10">
        <item x="1"/>
        <item x="0"/>
        <item x="2"/>
        <item x="5"/>
        <item m="1" x="8"/>
        <item x="3"/>
        <item x="4"/>
        <item h="1" x="7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Cases" fld="26" baseField="0" baseItem="0"/>
    <dataField name="Exp. Cases" fld="35" baseField="0" baseItem="0"/>
  </dataFields>
  <formats count="7">
    <format dxfId="31">
      <pivotArea outline="0" collapsedLevelsAreSubtotals="1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1" type="button" dataOnly="0" labelOnly="1" outline="0" axis="axisRow" fieldPosition="0"/>
    </format>
    <format dxfId="27">
      <pivotArea dataOnly="0" labelOnly="1" fieldPosition="0">
        <references count="1">
          <reference field="21" count="0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01B1-5664-4C63-8AED-2150F56E91EC}">
  <sheetPr codeName="Sheet4">
    <pageSetUpPr autoPageBreaks="0"/>
  </sheetPr>
  <dimension ref="A1:K71"/>
  <sheetViews>
    <sheetView showGridLines="0" tabSelected="1" zoomScale="110" zoomScaleNormal="110" workbookViewId="0">
      <selection activeCell="C2" sqref="C2:D2"/>
    </sheetView>
  </sheetViews>
  <sheetFormatPr defaultColWidth="8.85546875" defaultRowHeight="15" x14ac:dyDescent="0.25"/>
  <cols>
    <col min="1" max="1" width="5.7109375" style="15" customWidth="1"/>
    <col min="2" max="2" width="7.140625" style="15" customWidth="1"/>
    <col min="3" max="5" width="11.140625" style="15" customWidth="1"/>
    <col min="6" max="6" width="2.28515625" style="15" customWidth="1"/>
    <col min="7" max="9" width="11.140625" style="15" customWidth="1"/>
    <col min="10" max="10" width="11" style="15" customWidth="1"/>
    <col min="11" max="11" width="25.7109375" style="15" customWidth="1"/>
    <col min="12" max="12" width="6.28515625" style="15" customWidth="1"/>
    <col min="13" max="16384" width="8.85546875" style="15"/>
  </cols>
  <sheetData>
    <row r="1" spans="1:11" x14ac:dyDescent="0.25">
      <c r="A1" s="153" t="s">
        <v>0</v>
      </c>
      <c r="B1" s="153"/>
      <c r="C1" s="156" t="s">
        <v>193</v>
      </c>
      <c r="D1" s="156"/>
    </row>
    <row r="2" spans="1:11" x14ac:dyDescent="0.25">
      <c r="A2" s="153" t="s">
        <v>172</v>
      </c>
      <c r="B2" s="153"/>
      <c r="C2" s="157">
        <f ca="1">TODAY()</f>
        <v>45118</v>
      </c>
      <c r="D2" s="157"/>
      <c r="G2" s="158" t="s">
        <v>177</v>
      </c>
      <c r="H2" s="159"/>
      <c r="I2" s="159"/>
      <c r="J2" s="160"/>
    </row>
    <row r="3" spans="1:11" x14ac:dyDescent="0.25">
      <c r="A3" s="154" t="s">
        <v>1</v>
      </c>
      <c r="B3" s="154"/>
      <c r="C3" s="161" t="s">
        <v>103</v>
      </c>
      <c r="D3" s="162"/>
      <c r="G3" s="74">
        <f>VLOOKUP($C$3,Totals!$B$3:$C$12,2,0)</f>
        <v>68218</v>
      </c>
      <c r="H3" s="163" t="s">
        <v>4</v>
      </c>
      <c r="I3" s="163"/>
      <c r="J3" s="164"/>
    </row>
    <row r="4" spans="1:11" x14ac:dyDescent="0.25">
      <c r="C4" s="99"/>
      <c r="D4" s="99"/>
      <c r="G4" s="75">
        <f>VLOOKUP($C$3,Totals!$E$3:$F$12,2,0)</f>
        <v>162086</v>
      </c>
      <c r="H4" s="165" t="s">
        <v>5</v>
      </c>
      <c r="I4" s="165"/>
      <c r="J4" s="166"/>
    </row>
    <row r="5" spans="1:11" x14ac:dyDescent="0.25">
      <c r="A5" s="155" t="s">
        <v>13</v>
      </c>
      <c r="B5" s="155"/>
      <c r="C5" s="78" t="s">
        <v>14</v>
      </c>
      <c r="D5" s="79" t="s">
        <v>15</v>
      </c>
      <c r="E5" s="80" t="s">
        <v>16</v>
      </c>
      <c r="G5"/>
      <c r="H5"/>
      <c r="I5"/>
      <c r="J5"/>
    </row>
    <row r="6" spans="1:11" x14ac:dyDescent="0.25">
      <c r="A6" s="155"/>
      <c r="B6" s="155"/>
      <c r="C6" s="76">
        <f>VLOOKUP($C$3,Totals!$V$48:$Y$57,2,0)</f>
        <v>4</v>
      </c>
      <c r="D6" s="71">
        <f>VLOOKUP($C$3,Totals!$V$48:$Y$57,3,0)</f>
        <v>4</v>
      </c>
      <c r="E6" s="77">
        <f>VLOOKUP($C$3,Totals!$V$48:$Y$57,4,0)</f>
        <v>3</v>
      </c>
    </row>
    <row r="7" spans="1:11" x14ac:dyDescent="0.25">
      <c r="H7" s="92" t="s">
        <v>6</v>
      </c>
      <c r="I7" s="93">
        <f>G3/G4</f>
        <v>0.42087533778364572</v>
      </c>
    </row>
    <row r="8" spans="1:11" x14ac:dyDescent="0.25">
      <c r="A8" s="155" t="s">
        <v>2</v>
      </c>
      <c r="B8" s="155"/>
      <c r="C8" s="78" t="s">
        <v>175</v>
      </c>
      <c r="D8" s="84" t="s">
        <v>147</v>
      </c>
      <c r="E8" s="85" t="s">
        <v>28</v>
      </c>
      <c r="H8" s="57" t="s">
        <v>7</v>
      </c>
      <c r="I8" s="56">
        <v>1</v>
      </c>
    </row>
    <row r="9" spans="1:11" x14ac:dyDescent="0.25">
      <c r="A9" s="155"/>
      <c r="B9" s="155"/>
      <c r="C9" s="81">
        <f>IFERROR(VLOOKUP($C$3,Totals!$L$3:$N$12,2,0),0)</f>
        <v>17.232939429561345</v>
      </c>
      <c r="D9" s="82">
        <f>IFERROR(VLOOKUP($C$3,Totals!$L$3:$N$12,3,0),0)</f>
        <v>33.771287128712871</v>
      </c>
      <c r="E9" s="83">
        <f>IFERROR(VLOOKUP(Overall!$C$3,Totals!$P$4:$Y$13,10,0),0)</f>
        <v>30.623581856363614</v>
      </c>
      <c r="H9" s="49"/>
      <c r="I9" s="49"/>
    </row>
    <row r="14" spans="1:11" x14ac:dyDescent="0.25">
      <c r="K14" s="49"/>
    </row>
    <row r="15" spans="1:11" x14ac:dyDescent="0.25">
      <c r="K15" s="49"/>
    </row>
    <row r="16" spans="1:11" x14ac:dyDescent="0.25">
      <c r="I16" s="49"/>
      <c r="J16" s="49"/>
      <c r="K16" s="49"/>
    </row>
    <row r="17" spans="7:11" x14ac:dyDescent="0.25">
      <c r="I17" s="49"/>
      <c r="J17" s="49"/>
      <c r="K17" s="49"/>
    </row>
    <row r="18" spans="7:11" x14ac:dyDescent="0.25">
      <c r="I18" s="49"/>
      <c r="J18" s="49"/>
      <c r="K18" s="49"/>
    </row>
    <row r="23" spans="7:11" x14ac:dyDescent="0.25">
      <c r="G23" s="158" t="s">
        <v>181</v>
      </c>
      <c r="H23" s="159"/>
      <c r="I23" s="159"/>
      <c r="J23" s="160"/>
    </row>
    <row r="24" spans="7:11" x14ac:dyDescent="0.25">
      <c r="G24" s="74">
        <f>Totals!D15</f>
        <v>453106</v>
      </c>
      <c r="H24" s="163" t="s">
        <v>4</v>
      </c>
      <c r="I24" s="163"/>
      <c r="J24" s="164"/>
    </row>
    <row r="25" spans="7:11" x14ac:dyDescent="0.25">
      <c r="G25" s="75">
        <f>Totals!D14</f>
        <v>590963</v>
      </c>
      <c r="H25" s="165" t="s">
        <v>5</v>
      </c>
      <c r="I25" s="165"/>
      <c r="J25" s="166"/>
    </row>
    <row r="26" spans="7:11" x14ac:dyDescent="0.25">
      <c r="G26"/>
      <c r="H26"/>
      <c r="I26"/>
      <c r="J26"/>
    </row>
    <row r="28" spans="7:11" x14ac:dyDescent="0.25">
      <c r="H28" s="92" t="s">
        <v>6</v>
      </c>
      <c r="I28" s="93">
        <f>G24/G25</f>
        <v>0.76672482033562173</v>
      </c>
    </row>
    <row r="29" spans="7:11" x14ac:dyDescent="0.25">
      <c r="H29" s="57" t="s">
        <v>7</v>
      </c>
      <c r="I29" s="56">
        <v>1</v>
      </c>
    </row>
    <row r="33" spans="1:11" x14ac:dyDescent="0.25">
      <c r="A33" s="156" t="s">
        <v>10</v>
      </c>
      <c r="B33" s="156"/>
      <c r="C33" s="156"/>
      <c r="D33" s="156"/>
      <c r="E33" s="156"/>
      <c r="F33" s="156"/>
      <c r="G33" s="156"/>
      <c r="H33" s="156"/>
      <c r="I33" s="156"/>
      <c r="J33" s="156"/>
      <c r="K33" s="156"/>
    </row>
    <row r="34" spans="1:11" x14ac:dyDescent="0.25">
      <c r="A34" s="78" t="s">
        <v>1</v>
      </c>
      <c r="B34" s="79" t="s">
        <v>41</v>
      </c>
      <c r="C34" s="79" t="s">
        <v>40</v>
      </c>
      <c r="D34" s="79" t="s">
        <v>150</v>
      </c>
      <c r="E34" s="79" t="s">
        <v>151</v>
      </c>
      <c r="F34" s="84"/>
      <c r="G34" s="86" t="s">
        <v>152</v>
      </c>
      <c r="H34" s="79" t="s">
        <v>178</v>
      </c>
      <c r="I34" s="79" t="s">
        <v>153</v>
      </c>
      <c r="J34" s="79" t="s">
        <v>173</v>
      </c>
      <c r="K34" s="80" t="s">
        <v>179</v>
      </c>
    </row>
    <row r="35" spans="1:11" x14ac:dyDescent="0.25">
      <c r="A35" s="58">
        <v>3</v>
      </c>
      <c r="B35" s="124" t="s">
        <v>18</v>
      </c>
      <c r="C35" s="60">
        <v>45011</v>
      </c>
      <c r="D35" s="87">
        <v>419160</v>
      </c>
      <c r="E35" s="62" t="s">
        <v>195</v>
      </c>
      <c r="F35" s="132"/>
      <c r="G35" s="133">
        <v>163840</v>
      </c>
      <c r="H35" s="96">
        <v>130000</v>
      </c>
      <c r="I35" s="96">
        <v>33840</v>
      </c>
      <c r="J35" s="64" t="s">
        <v>196</v>
      </c>
      <c r="K35" s="53"/>
    </row>
    <row r="36" spans="1:11" x14ac:dyDescent="0.25">
      <c r="A36" s="58">
        <v>3</v>
      </c>
      <c r="B36" s="124" t="s">
        <v>18</v>
      </c>
      <c r="C36" s="60">
        <v>45012</v>
      </c>
      <c r="D36" s="87">
        <v>419153</v>
      </c>
      <c r="E36" s="62" t="s">
        <v>195</v>
      </c>
      <c r="F36" s="128"/>
      <c r="G36" s="129">
        <v>108257</v>
      </c>
      <c r="H36" s="96">
        <v>100000</v>
      </c>
      <c r="I36" s="96">
        <v>8257</v>
      </c>
      <c r="J36" s="64" t="s">
        <v>196</v>
      </c>
      <c r="K36" s="53"/>
    </row>
    <row r="37" spans="1:11" x14ac:dyDescent="0.25">
      <c r="A37" s="58">
        <v>3</v>
      </c>
      <c r="B37" s="124" t="s">
        <v>16</v>
      </c>
      <c r="C37" s="60">
        <v>45012</v>
      </c>
      <c r="D37" s="87">
        <v>419154</v>
      </c>
      <c r="E37" s="62" t="s">
        <v>195</v>
      </c>
      <c r="F37" s="128"/>
      <c r="G37" s="129">
        <v>103883</v>
      </c>
      <c r="H37" s="96">
        <v>62500</v>
      </c>
      <c r="I37" s="96">
        <v>41383</v>
      </c>
      <c r="J37" s="64" t="s">
        <v>207</v>
      </c>
      <c r="K37" s="53"/>
    </row>
    <row r="38" spans="1:11" x14ac:dyDescent="0.25">
      <c r="A38" s="58">
        <v>10</v>
      </c>
      <c r="B38" s="124" t="s">
        <v>16</v>
      </c>
      <c r="C38" s="60">
        <v>45012</v>
      </c>
      <c r="D38" s="87">
        <v>425872</v>
      </c>
      <c r="E38" s="62" t="s">
        <v>204</v>
      </c>
      <c r="F38" s="128"/>
      <c r="G38" s="129">
        <v>46414</v>
      </c>
      <c r="H38" s="96">
        <v>33540</v>
      </c>
      <c r="I38" s="96">
        <v>12874</v>
      </c>
      <c r="J38" s="64" t="s">
        <v>208</v>
      </c>
      <c r="K38" s="53"/>
    </row>
    <row r="39" spans="1:11" x14ac:dyDescent="0.25">
      <c r="A39" s="58">
        <v>12</v>
      </c>
      <c r="B39" s="124" t="s">
        <v>16</v>
      </c>
      <c r="C39" s="60">
        <v>45012</v>
      </c>
      <c r="D39" s="87">
        <v>417600</v>
      </c>
      <c r="E39" s="62" t="s">
        <v>205</v>
      </c>
      <c r="F39" s="128"/>
      <c r="G39" s="129">
        <v>7092</v>
      </c>
      <c r="H39" s="96">
        <v>0</v>
      </c>
      <c r="I39" s="96">
        <v>7092</v>
      </c>
      <c r="J39" s="64" t="s">
        <v>209</v>
      </c>
      <c r="K39" s="53"/>
    </row>
    <row r="40" spans="1:11" x14ac:dyDescent="0.25">
      <c r="A40" s="58">
        <v>12</v>
      </c>
      <c r="B40" s="124" t="s">
        <v>16</v>
      </c>
      <c r="C40" s="60">
        <v>45012</v>
      </c>
      <c r="D40" s="87">
        <v>417600</v>
      </c>
      <c r="E40" s="62" t="s">
        <v>206</v>
      </c>
      <c r="F40" s="128"/>
      <c r="G40" s="129">
        <v>7304</v>
      </c>
      <c r="H40" s="96">
        <v>10100</v>
      </c>
      <c r="I40" s="96">
        <v>-2796</v>
      </c>
      <c r="J40" s="64" t="s">
        <v>210</v>
      </c>
      <c r="K40" s="53"/>
    </row>
    <row r="41" spans="1:11" x14ac:dyDescent="0.25">
      <c r="A41" s="58">
        <v>1</v>
      </c>
      <c r="B41" s="124" t="s">
        <v>16</v>
      </c>
      <c r="C41" s="60">
        <v>45013</v>
      </c>
      <c r="D41" s="87">
        <v>415762</v>
      </c>
      <c r="E41" s="62" t="s">
        <v>212</v>
      </c>
      <c r="F41" s="128"/>
      <c r="G41" s="129">
        <v>2006</v>
      </c>
      <c r="H41" s="96">
        <v>0</v>
      </c>
      <c r="I41" s="96">
        <v>2006</v>
      </c>
      <c r="J41" s="64"/>
      <c r="K41" s="53"/>
    </row>
    <row r="42" spans="1:11" x14ac:dyDescent="0.25">
      <c r="A42" s="58">
        <v>1</v>
      </c>
      <c r="B42" s="124" t="s">
        <v>16</v>
      </c>
      <c r="C42" s="60">
        <v>45013</v>
      </c>
      <c r="D42" s="87">
        <v>415762</v>
      </c>
      <c r="E42" s="62" t="s">
        <v>213</v>
      </c>
      <c r="F42" s="128"/>
      <c r="G42" s="129">
        <v>1981</v>
      </c>
      <c r="H42" s="96">
        <v>0</v>
      </c>
      <c r="I42" s="96">
        <v>1981</v>
      </c>
      <c r="J42" s="64" t="s">
        <v>215</v>
      </c>
      <c r="K42" s="53" t="s">
        <v>219</v>
      </c>
    </row>
    <row r="43" spans="1:11" x14ac:dyDescent="0.25">
      <c r="A43" s="58">
        <v>3</v>
      </c>
      <c r="B43" s="124" t="s">
        <v>16</v>
      </c>
      <c r="C43" s="60">
        <v>45013</v>
      </c>
      <c r="D43" s="87">
        <v>419155</v>
      </c>
      <c r="E43" s="62" t="s">
        <v>195</v>
      </c>
      <c r="F43" s="128"/>
      <c r="G43" s="129">
        <v>101043</v>
      </c>
      <c r="H43" s="96">
        <v>110000</v>
      </c>
      <c r="I43" s="96">
        <v>-8957</v>
      </c>
      <c r="J43" s="64" t="s">
        <v>216</v>
      </c>
      <c r="K43" s="53"/>
    </row>
    <row r="44" spans="1:11" x14ac:dyDescent="0.25">
      <c r="A44" s="58">
        <v>3</v>
      </c>
      <c r="B44" s="124" t="s">
        <v>18</v>
      </c>
      <c r="C44" s="60">
        <v>45013</v>
      </c>
      <c r="D44" s="87">
        <v>419156</v>
      </c>
      <c r="E44" s="62" t="s">
        <v>195</v>
      </c>
      <c r="F44" s="128"/>
      <c r="G44" s="129">
        <v>139761</v>
      </c>
      <c r="H44" s="96">
        <v>90000</v>
      </c>
      <c r="I44" s="96">
        <v>49761</v>
      </c>
      <c r="J44" s="64" t="s">
        <v>217</v>
      </c>
      <c r="K44" s="53"/>
    </row>
    <row r="45" spans="1:11" x14ac:dyDescent="0.25">
      <c r="A45" s="58">
        <v>10</v>
      </c>
      <c r="B45" s="124" t="s">
        <v>16</v>
      </c>
      <c r="C45" s="60">
        <v>45013</v>
      </c>
      <c r="D45" s="87">
        <v>417516</v>
      </c>
      <c r="E45" s="62" t="s">
        <v>214</v>
      </c>
      <c r="F45" s="128"/>
      <c r="G45" s="129">
        <v>82405</v>
      </c>
      <c r="H45" s="96">
        <v>88639</v>
      </c>
      <c r="I45" s="96">
        <v>-6234</v>
      </c>
      <c r="J45" s="64" t="s">
        <v>218</v>
      </c>
      <c r="K45" s="53"/>
    </row>
    <row r="46" spans="1:11" x14ac:dyDescent="0.25">
      <c r="A46" s="58">
        <v>1</v>
      </c>
      <c r="B46" s="124" t="s">
        <v>227</v>
      </c>
      <c r="C46" s="60">
        <v>45014</v>
      </c>
      <c r="D46" s="87">
        <v>413422</v>
      </c>
      <c r="E46" s="62" t="s">
        <v>228</v>
      </c>
      <c r="F46" s="128"/>
      <c r="G46" s="129">
        <v>5242</v>
      </c>
      <c r="H46" s="96">
        <v>3000</v>
      </c>
      <c r="I46" s="96">
        <v>2242</v>
      </c>
      <c r="J46" s="64" t="s">
        <v>234</v>
      </c>
      <c r="K46" s="53"/>
    </row>
    <row r="47" spans="1:11" x14ac:dyDescent="0.25">
      <c r="A47" s="58">
        <v>1</v>
      </c>
      <c r="B47" s="124" t="s">
        <v>18</v>
      </c>
      <c r="C47" s="60">
        <v>45014</v>
      </c>
      <c r="D47" s="87">
        <v>415762</v>
      </c>
      <c r="E47" s="62" t="s">
        <v>229</v>
      </c>
      <c r="F47" s="128"/>
      <c r="G47" s="129">
        <v>5092</v>
      </c>
      <c r="H47" s="96">
        <v>900</v>
      </c>
      <c r="I47" s="96">
        <v>4192</v>
      </c>
      <c r="J47" s="64" t="s">
        <v>235</v>
      </c>
      <c r="K47" s="53"/>
    </row>
    <row r="48" spans="1:11" x14ac:dyDescent="0.25">
      <c r="A48" s="58">
        <v>1</v>
      </c>
      <c r="B48" s="124" t="s">
        <v>18</v>
      </c>
      <c r="C48" s="60">
        <v>45014</v>
      </c>
      <c r="D48" s="87">
        <v>415762</v>
      </c>
      <c r="E48" s="62" t="s">
        <v>213</v>
      </c>
      <c r="F48" s="128"/>
      <c r="G48" s="129">
        <v>820</v>
      </c>
      <c r="H48" s="96">
        <v>8</v>
      </c>
      <c r="I48" s="96">
        <v>812</v>
      </c>
      <c r="J48" s="64" t="s">
        <v>235</v>
      </c>
      <c r="K48" s="53" t="s">
        <v>219</v>
      </c>
    </row>
    <row r="49" spans="1:11" x14ac:dyDescent="0.25">
      <c r="A49" s="58">
        <v>3</v>
      </c>
      <c r="B49" s="124" t="s">
        <v>18</v>
      </c>
      <c r="C49" s="60">
        <v>45014</v>
      </c>
      <c r="D49" s="87">
        <v>419157</v>
      </c>
      <c r="E49" s="62" t="s">
        <v>195</v>
      </c>
      <c r="F49" s="128"/>
      <c r="G49" s="129">
        <v>44226</v>
      </c>
      <c r="H49" s="96">
        <v>35000</v>
      </c>
      <c r="I49" s="96">
        <v>9226</v>
      </c>
      <c r="J49" s="64" t="s">
        <v>196</v>
      </c>
      <c r="K49" s="53"/>
    </row>
    <row r="50" spans="1:11" x14ac:dyDescent="0.25">
      <c r="A50" s="58">
        <v>3</v>
      </c>
      <c r="B50" s="124" t="s">
        <v>18</v>
      </c>
      <c r="C50" s="60">
        <v>45014</v>
      </c>
      <c r="D50" s="87">
        <v>419157</v>
      </c>
      <c r="E50" s="62" t="s">
        <v>230</v>
      </c>
      <c r="F50" s="128"/>
      <c r="G50" s="129">
        <v>44991</v>
      </c>
      <c r="H50" s="96">
        <v>53520</v>
      </c>
      <c r="I50" s="96">
        <v>-8529</v>
      </c>
      <c r="J50" s="64" t="s">
        <v>210</v>
      </c>
      <c r="K50" s="53"/>
    </row>
    <row r="51" spans="1:11" x14ac:dyDescent="0.25">
      <c r="A51" s="58">
        <v>3</v>
      </c>
      <c r="B51" s="124" t="s">
        <v>18</v>
      </c>
      <c r="C51" s="60">
        <v>45014</v>
      </c>
      <c r="D51" s="87">
        <v>419157</v>
      </c>
      <c r="E51" s="62" t="s">
        <v>231</v>
      </c>
      <c r="F51" s="128"/>
      <c r="G51" s="129">
        <v>44991</v>
      </c>
      <c r="H51" s="96">
        <v>48400</v>
      </c>
      <c r="I51" s="96">
        <v>-3409</v>
      </c>
      <c r="J51" s="64" t="s">
        <v>210</v>
      </c>
      <c r="K51" s="53"/>
    </row>
    <row r="52" spans="1:11" x14ac:dyDescent="0.25">
      <c r="A52" s="58">
        <v>3</v>
      </c>
      <c r="B52" s="124" t="s">
        <v>18</v>
      </c>
      <c r="C52" s="60">
        <v>45014</v>
      </c>
      <c r="D52" s="87">
        <v>419157</v>
      </c>
      <c r="E52" s="62" t="s">
        <v>232</v>
      </c>
      <c r="F52" s="128"/>
      <c r="G52" s="129">
        <v>44991</v>
      </c>
      <c r="H52" s="96">
        <v>48410</v>
      </c>
      <c r="I52" s="96">
        <v>-3419</v>
      </c>
      <c r="J52" s="64" t="s">
        <v>210</v>
      </c>
      <c r="K52" s="53"/>
    </row>
    <row r="53" spans="1:11" x14ac:dyDescent="0.25">
      <c r="A53" s="58">
        <v>10</v>
      </c>
      <c r="B53" s="124" t="s">
        <v>227</v>
      </c>
      <c r="C53" s="60">
        <v>45014</v>
      </c>
      <c r="D53" s="87">
        <v>425332</v>
      </c>
      <c r="E53" s="62" t="s">
        <v>233</v>
      </c>
      <c r="F53" s="128"/>
      <c r="G53" s="129">
        <v>477</v>
      </c>
      <c r="H53" s="96">
        <v>1391</v>
      </c>
      <c r="I53" s="96">
        <v>-914</v>
      </c>
      <c r="J53" s="64" t="s">
        <v>236</v>
      </c>
      <c r="K53" s="53"/>
    </row>
    <row r="54" spans="1:11" x14ac:dyDescent="0.25">
      <c r="A54" s="58">
        <v>12</v>
      </c>
      <c r="B54" s="124" t="s">
        <v>18</v>
      </c>
      <c r="C54" s="60">
        <v>45014</v>
      </c>
      <c r="D54" s="87">
        <v>417611</v>
      </c>
      <c r="E54" s="62" t="s">
        <v>205</v>
      </c>
      <c r="F54" s="128"/>
      <c r="G54" s="129">
        <v>100686</v>
      </c>
      <c r="H54" s="96">
        <v>34615</v>
      </c>
      <c r="I54" s="96">
        <v>66071</v>
      </c>
      <c r="J54" s="64" t="s">
        <v>209</v>
      </c>
      <c r="K54" s="53"/>
    </row>
    <row r="55" spans="1:11" x14ac:dyDescent="0.25">
      <c r="A55" s="58"/>
      <c r="B55" s="124"/>
      <c r="C55" s="60"/>
      <c r="D55" s="87"/>
      <c r="E55" s="62"/>
      <c r="F55" s="128"/>
      <c r="G55" s="129"/>
      <c r="H55" s="96"/>
      <c r="I55" s="96"/>
      <c r="J55" s="64"/>
      <c r="K55" s="53"/>
    </row>
    <row r="56" spans="1:11" x14ac:dyDescent="0.25">
      <c r="A56" s="58"/>
      <c r="B56" s="124"/>
      <c r="C56" s="60"/>
      <c r="D56" s="87"/>
      <c r="E56" s="62"/>
      <c r="F56" s="128"/>
      <c r="G56" s="129"/>
      <c r="H56" s="96"/>
      <c r="I56" s="96"/>
      <c r="J56" s="64"/>
      <c r="K56" s="53"/>
    </row>
    <row r="57" spans="1:11" x14ac:dyDescent="0.25">
      <c r="A57" s="58"/>
      <c r="B57" s="124"/>
      <c r="C57" s="60"/>
      <c r="D57" s="87"/>
      <c r="E57" s="62"/>
      <c r="F57" s="128"/>
      <c r="G57" s="129"/>
      <c r="H57" s="96"/>
      <c r="I57" s="96"/>
      <c r="J57" s="64"/>
      <c r="K57" s="53"/>
    </row>
    <row r="58" spans="1:11" x14ac:dyDescent="0.25">
      <c r="A58" s="58"/>
      <c r="B58" s="124"/>
      <c r="C58" s="60"/>
      <c r="D58" s="87"/>
      <c r="E58" s="62"/>
      <c r="F58" s="128"/>
      <c r="G58" s="129"/>
      <c r="H58" s="96"/>
      <c r="I58" s="96"/>
      <c r="J58" s="64"/>
      <c r="K58" s="53"/>
    </row>
    <row r="59" spans="1:11" x14ac:dyDescent="0.25">
      <c r="A59" s="58"/>
      <c r="B59" s="124"/>
      <c r="C59" s="60"/>
      <c r="D59" s="87"/>
      <c r="E59" s="62"/>
      <c r="F59" s="128"/>
      <c r="G59" s="129"/>
      <c r="H59" s="96"/>
      <c r="I59" s="96"/>
      <c r="J59" s="64"/>
      <c r="K59" s="53"/>
    </row>
    <row r="60" spans="1:11" x14ac:dyDescent="0.25">
      <c r="A60" s="58"/>
      <c r="B60" s="124"/>
      <c r="C60" s="60"/>
      <c r="D60" s="87"/>
      <c r="E60" s="62"/>
      <c r="F60" s="128"/>
      <c r="G60" s="129"/>
      <c r="H60" s="96"/>
      <c r="I60" s="96"/>
      <c r="J60" s="64"/>
      <c r="K60" s="53"/>
    </row>
    <row r="61" spans="1:11" x14ac:dyDescent="0.25">
      <c r="A61" s="58"/>
      <c r="B61" s="124"/>
      <c r="C61" s="60"/>
      <c r="D61" s="87"/>
      <c r="E61" s="62"/>
      <c r="F61" s="128"/>
      <c r="G61" s="129"/>
      <c r="H61" s="96"/>
      <c r="I61" s="96"/>
      <c r="J61" s="64"/>
      <c r="K61" s="53"/>
    </row>
    <row r="62" spans="1:11" x14ac:dyDescent="0.25">
      <c r="A62" s="58"/>
      <c r="B62" s="124"/>
      <c r="C62" s="60"/>
      <c r="D62" s="87"/>
      <c r="E62" s="62"/>
      <c r="F62" s="128"/>
      <c r="G62" s="129"/>
      <c r="H62" s="96"/>
      <c r="I62" s="96"/>
      <c r="J62" s="64"/>
      <c r="K62" s="53"/>
    </row>
    <row r="63" spans="1:11" x14ac:dyDescent="0.25">
      <c r="A63" s="58"/>
      <c r="B63" s="124"/>
      <c r="C63" s="60"/>
      <c r="D63" s="87"/>
      <c r="E63" s="62"/>
      <c r="F63" s="128"/>
      <c r="G63" s="129"/>
      <c r="H63" s="96"/>
      <c r="I63" s="96"/>
      <c r="J63" s="64"/>
      <c r="K63" s="53"/>
    </row>
    <row r="64" spans="1:11" x14ac:dyDescent="0.25">
      <c r="A64" s="58"/>
      <c r="B64" s="124"/>
      <c r="C64" s="60"/>
      <c r="D64" s="87"/>
      <c r="E64" s="62"/>
      <c r="F64" s="128"/>
      <c r="G64" s="129"/>
      <c r="H64" s="96"/>
      <c r="I64" s="96"/>
      <c r="J64" s="64"/>
      <c r="K64" s="53"/>
    </row>
    <row r="65" spans="1:11" x14ac:dyDescent="0.25">
      <c r="A65" s="58"/>
      <c r="B65" s="124"/>
      <c r="C65" s="60"/>
      <c r="D65" s="87"/>
      <c r="E65" s="62"/>
      <c r="F65" s="128"/>
      <c r="G65" s="129"/>
      <c r="H65" s="96"/>
      <c r="I65" s="96"/>
      <c r="J65" s="64"/>
      <c r="K65" s="53"/>
    </row>
    <row r="66" spans="1:11" x14ac:dyDescent="0.25">
      <c r="A66" s="58"/>
      <c r="B66" s="124"/>
      <c r="C66" s="60"/>
      <c r="D66" s="87"/>
      <c r="E66" s="62"/>
      <c r="F66" s="128"/>
      <c r="G66" s="129"/>
      <c r="H66" s="96"/>
      <c r="I66" s="96"/>
      <c r="J66" s="64"/>
      <c r="K66" s="53"/>
    </row>
    <row r="67" spans="1:11" x14ac:dyDescent="0.25">
      <c r="A67" s="58"/>
      <c r="B67" s="124"/>
      <c r="C67" s="60"/>
      <c r="D67" s="87"/>
      <c r="E67" s="62"/>
      <c r="F67" s="128"/>
      <c r="G67" s="129"/>
      <c r="H67" s="96"/>
      <c r="I67" s="96"/>
      <c r="J67" s="64"/>
      <c r="K67" s="53"/>
    </row>
    <row r="68" spans="1:11" x14ac:dyDescent="0.25">
      <c r="A68" s="58"/>
      <c r="B68" s="124"/>
      <c r="C68" s="60"/>
      <c r="D68" s="87"/>
      <c r="E68" s="62"/>
      <c r="F68" s="128"/>
      <c r="G68" s="129"/>
      <c r="H68" s="96"/>
      <c r="I68" s="96"/>
      <c r="J68" s="64"/>
      <c r="K68" s="53"/>
    </row>
    <row r="69" spans="1:11" x14ac:dyDescent="0.25">
      <c r="A69" s="58"/>
      <c r="B69" s="124"/>
      <c r="C69" s="60"/>
      <c r="D69" s="87"/>
      <c r="E69" s="62"/>
      <c r="F69" s="128"/>
      <c r="G69" s="129"/>
      <c r="H69" s="96"/>
      <c r="I69" s="96"/>
      <c r="J69" s="64"/>
      <c r="K69" s="53"/>
    </row>
    <row r="70" spans="1:11" x14ac:dyDescent="0.25">
      <c r="A70" s="58"/>
      <c r="B70" s="124"/>
      <c r="C70" s="60"/>
      <c r="D70" s="87"/>
      <c r="E70" s="62"/>
      <c r="F70" s="128"/>
      <c r="G70" s="129"/>
      <c r="H70" s="96"/>
      <c r="I70" s="96"/>
      <c r="J70" s="64"/>
      <c r="K70" s="53"/>
    </row>
    <row r="71" spans="1:11" x14ac:dyDescent="0.25">
      <c r="A71" s="59"/>
      <c r="B71" s="88"/>
      <c r="C71" s="61"/>
      <c r="D71" s="88"/>
      <c r="E71" s="63"/>
      <c r="F71" s="130"/>
      <c r="G71" s="131"/>
      <c r="H71" s="97"/>
      <c r="I71" s="97"/>
      <c r="J71" s="65"/>
      <c r="K71" s="54"/>
    </row>
  </sheetData>
  <sortState xmlns:xlrd2="http://schemas.microsoft.com/office/spreadsheetml/2017/richdata2" ref="A45:J60">
    <sortCondition ref="A45:A60"/>
    <sortCondition ref="B45:B60"/>
    <sortCondition ref="C45:C60"/>
  </sortState>
  <mergeCells count="15">
    <mergeCell ref="A33:K33"/>
    <mergeCell ref="G23:J23"/>
    <mergeCell ref="H24:J24"/>
    <mergeCell ref="H25:J25"/>
    <mergeCell ref="H4:J4"/>
    <mergeCell ref="C1:D1"/>
    <mergeCell ref="C2:D2"/>
    <mergeCell ref="G2:J2"/>
    <mergeCell ref="C3:D3"/>
    <mergeCell ref="H3:J3"/>
    <mergeCell ref="A1:B1"/>
    <mergeCell ref="A2:B2"/>
    <mergeCell ref="A3:B3"/>
    <mergeCell ref="A5:B6"/>
    <mergeCell ref="A8:B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BFA2-C02E-4DB3-91D4-919CCAADBADD}">
  <sheetPr codeName="Sheet1">
    <pageSetUpPr autoPageBreaks="0"/>
  </sheetPr>
  <dimension ref="A1:J62"/>
  <sheetViews>
    <sheetView showGridLines="0" zoomScale="110" zoomScaleNormal="110" workbookViewId="0">
      <selection activeCell="J16" sqref="J16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19</v>
      </c>
      <c r="C3" s="175"/>
      <c r="F3" s="74">
        <f>IFERROR(VLOOKUP($B$3,Totals!$B$3:$C$11,2,0),0)</f>
        <v>10799</v>
      </c>
      <c r="G3" s="163" t="s">
        <v>4</v>
      </c>
      <c r="H3" s="163"/>
      <c r="I3" s="164"/>
    </row>
    <row r="4" spans="1:10" x14ac:dyDescent="0.25">
      <c r="F4" s="74">
        <f>VLOOKUP($B$3,Totals!$E$3:$F$12,2,0)</f>
        <v>33593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34850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3</v>
      </c>
    </row>
    <row r="7" spans="1:10" x14ac:dyDescent="0.25">
      <c r="G7" s="92" t="s">
        <v>6</v>
      </c>
      <c r="H7" s="93">
        <f>F3/F4</f>
        <v>0.32146578156163486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48.837944664031617</v>
      </c>
      <c r="C9" s="82">
        <f>IFERROR(VLOOKUP($B$3,Totals!$L$3:$N$11,3,0),0)</f>
        <v>30.987087517934004</v>
      </c>
      <c r="D9" s="83">
        <f>IFERROR(VLOOKUP('1'!$B$3,Totals!$P$4:$Y$12,10,0),0)</f>
        <v>27.94351397332624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119</v>
      </c>
      <c r="C22" s="163" t="str">
        <f>VLOOKUP($B$3&amp;A22,Totals!$G$49:$K$73,5,0)</f>
        <v>Case Packer</v>
      </c>
      <c r="D22" s="164"/>
      <c r="F22" s="66">
        <v>1</v>
      </c>
      <c r="G22" s="69">
        <f>VLOOKUP($B$3&amp;F22,Totals!$M$49:$Q$73,4,0)</f>
        <v>420</v>
      </c>
      <c r="H22" s="163" t="str">
        <f>VLOOKUP($B$3&amp;F22,Totals!$M$49:$Q$73,5,0)</f>
        <v>QA External</v>
      </c>
      <c r="I22" s="164"/>
    </row>
    <row r="23" spans="1:10" x14ac:dyDescent="0.25">
      <c r="A23" s="67">
        <v>2</v>
      </c>
      <c r="B23" s="70">
        <f>VLOOKUP($B$3&amp;A23,Totals!$G$49:$K$73,4,0)</f>
        <v>42</v>
      </c>
      <c r="C23" s="163" t="str">
        <f>VLOOKUP($B$3&amp;A23,Totals!$G$49:$K$73,5,0)</f>
        <v>Unloader</v>
      </c>
      <c r="D23" s="164"/>
      <c r="F23" s="67">
        <v>2</v>
      </c>
      <c r="G23" s="70">
        <f>VLOOKUP($B$3&amp;F23,Totals!$M$49:$Q$73,4,0)</f>
        <v>191</v>
      </c>
      <c r="H23" s="163" t="str">
        <f>VLOOKUP($B$3&amp;F23,Totals!$M$49:$Q$73,5,0)</f>
        <v>Labeler</v>
      </c>
      <c r="I23" s="164"/>
    </row>
    <row r="24" spans="1:10" x14ac:dyDescent="0.25">
      <c r="A24" s="68">
        <v>3</v>
      </c>
      <c r="B24" s="71">
        <f>VLOOKUP($B$3&amp;A24,Totals!$G$49:$K$73,4,0)</f>
        <v>36</v>
      </c>
      <c r="C24" s="165" t="str">
        <f>VLOOKUP($B$3&amp;A24,Totals!$G$49:$K$73,5,0)</f>
        <v>Manning/Supplies</v>
      </c>
      <c r="D24" s="166"/>
      <c r="F24" s="68">
        <v>3</v>
      </c>
      <c r="G24" s="71">
        <f>VLOOKUP($B$3&amp;F24,Totals!$M$49:$Q$73,4,0)</f>
        <v>151</v>
      </c>
      <c r="H24" s="165" t="str">
        <f>VLOOKUP($B$3&amp;F24,Totals!$M$49:$Q$73,5,0)</f>
        <v>Case Packer</v>
      </c>
      <c r="I24" s="166"/>
    </row>
    <row r="27" spans="1:10" x14ac:dyDescent="0.25">
      <c r="A27" s="156" t="s">
        <v>10</v>
      </c>
      <c r="B27" s="156"/>
      <c r="C27" s="156"/>
      <c r="D27" s="156"/>
      <c r="E27" s="156"/>
      <c r="F27" s="156"/>
      <c r="G27" s="156"/>
      <c r="H27" s="156"/>
      <c r="I27" s="156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IFERROR(INDEX(Overall!B$35:B$71,_xlfn.AGGREGATE(15,3,((Overall!$A$35:$A$71=1)/(Overall!$A$35:$A$71=1)*ROW(Overall!$A$35:$A$71))-ROW(Overall!$A$34), ROWS(Overall!$L$35:L35))),"")</f>
        <v>C</v>
      </c>
      <c r="B29" s="60" cm="1">
        <f t="array" ref="B29">IFERROR(INDEX(Overall!C$35:C$71,_xlfn.AGGREGATE(15,3,((Overall!$A$35:$A$71=1)/(Overall!$A$35:$A$71=1)*ROW(Overall!$A$35:$A$71))-ROW(Overall!$A$34), ROWS(Overall!$L$35:M35))),"")</f>
        <v>45013</v>
      </c>
      <c r="C29" s="87" cm="1">
        <f t="array" ref="C29">IFERROR(INDEX(Overall!D$35:D$71,_xlfn.AGGREGATE(15,3,((Overall!$A$35:$A$71=1)/(Overall!$A$35:$A$71=1)*ROW(Overall!$A$35:$A$71))-ROW(Overall!$A$34), ROWS(Overall!$L$35:N35))),"")</f>
        <v>415762</v>
      </c>
      <c r="D29" s="62" t="str" cm="1">
        <f t="array" ref="D29">IFERROR(INDEX(Overall!E$35:E$71,_xlfn.AGGREGATE(15,3,((Overall!$A$35:$A$71=1)/(Overall!$A$35:$A$71=1)*ROW(Overall!$A$35:$A$71))-ROW(Overall!$A$34), ROWS(Overall!$L$35:O35))),"")</f>
        <v>BCC1500938-AUS</v>
      </c>
      <c r="E29" s="128" cm="1">
        <f t="array" ref="E29">IFERROR(INDEX(Overall!F$35:F$71,_xlfn.AGGREGATE(15,3,((Overall!$A$35:$A$71=1)/(Overall!$A$35:$A$71=1)*ROW(Overall!$A$35:$A$71))-ROW(Overall!$A$34), ROWS(Overall!$L$35:P35))),"")</f>
        <v>0</v>
      </c>
      <c r="F29" s="129" cm="1">
        <f t="array" ref="F29">IFERROR(INDEX(Overall!G$35:G$71,_xlfn.AGGREGATE(15,3,((Overall!$A$35:$A$71=1)/(Overall!$A$35:$A$71=1)*ROW(Overall!$A$35:$A$71))-ROW(Overall!$A$34), ROWS(Overall!$L$35:Q35))),"")</f>
        <v>2006</v>
      </c>
      <c r="G29" s="96" cm="1">
        <f t="array" ref="G29">IFERROR(INDEX(Overall!H$35:H$71,_xlfn.AGGREGATE(15,3,((Overall!$A$35:$A$71=1)/(Overall!$A$35:$A$71=1)*ROW(Overall!$A$35:$A$71))-ROW(Overall!$A$34), ROWS(Overall!$L$35:R35))),"")</f>
        <v>0</v>
      </c>
      <c r="H29" s="96" cm="1">
        <f t="array" ref="H29">IFERROR(INDEX(Overall!I$35:I$71,_xlfn.AGGREGATE(15,3,((Overall!$A$35:$A$71=1)/(Overall!$A$35:$A$71=1)*ROW(Overall!$A$35:$A$71))-ROW(Overall!$A$34), ROWS(Overall!$L$35:S35))),"")</f>
        <v>2006</v>
      </c>
      <c r="I29" s="62" cm="1">
        <f t="array" ref="I29">IFERROR(INDEX(Overall!J$35:J$71,_xlfn.AGGREGATE(15,3,((Overall!$A$35:$A$71=1)/(Overall!$A$35:$A$71=1)*ROW(Overall!$A$35:$A$71))-ROW(Overall!$A$34), ROWS(Overall!$L$35:T35))),"")</f>
        <v>0</v>
      </c>
      <c r="J29" s="53" cm="1">
        <f t="array" ref="J29">IFERROR(INDEX(Overall!K$35:K$71,_xlfn.AGGREGATE(15,3,((Overall!$A$35:$A$71=1)/(Overall!$A$35:$A$71=1)*ROW(Overall!$A$35:$A$71))-ROW(Overall!$A$34),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IFERROR(INDEX(Overall!B$35:B$71,_xlfn.AGGREGATE(15,3,((Overall!$A$35:$A$71=1)/(Overall!$A$35:$A$71=1)*ROW(Overall!$A$35:$A$71))-ROW(Overall!$A$34), ROWS(Overall!$L$35:L36))),"")</f>
        <v>C</v>
      </c>
      <c r="B30" s="60" cm="1">
        <f t="array" ref="B30">IFERROR(INDEX(Overall!C$35:C$71,_xlfn.AGGREGATE(15,3,((Overall!$A$35:$A$71=1)/(Overall!$A$35:$A$71=1)*ROW(Overall!$A$35:$A$71))-ROW(Overall!$A$34), ROWS(Overall!$L$35:M36))),"")</f>
        <v>45013</v>
      </c>
      <c r="C30" s="87" cm="1">
        <f t="array" ref="C30">IFERROR(INDEX(Overall!D$35:D$71,_xlfn.AGGREGATE(15,3,((Overall!$A$35:$A$71=1)/(Overall!$A$35:$A$71=1)*ROW(Overall!$A$35:$A$71))-ROW(Overall!$A$34), ROWS(Overall!$L$35:N36))),"")</f>
        <v>415762</v>
      </c>
      <c r="D30" s="62" t="str" cm="1">
        <f t="array" ref="D30">IFERROR(INDEX(Overall!E$35:E$71,_xlfn.AGGREGATE(15,3,((Overall!$A$35:$A$71=1)/(Overall!$A$35:$A$71=1)*ROW(Overall!$A$35:$A$71))-ROW(Overall!$A$34), ROWS(Overall!$L$35:O36))),"")</f>
        <v>SPP1501262</v>
      </c>
      <c r="E30" s="128" cm="1">
        <f t="array" ref="E30">IFERROR(INDEX(Overall!F$35:F$71,_xlfn.AGGREGATE(15,3,((Overall!$A$35:$A$71=1)/(Overall!$A$35:$A$71=1)*ROW(Overall!$A$35:$A$71))-ROW(Overall!$A$34), ROWS(Overall!$L$35:P36))),"")</f>
        <v>0</v>
      </c>
      <c r="F30" s="129" cm="1">
        <f t="array" ref="F30">IFERROR(INDEX(Overall!G$35:G$71,_xlfn.AGGREGATE(15,3,((Overall!$A$35:$A$71=1)/(Overall!$A$35:$A$71=1)*ROW(Overall!$A$35:$A$71))-ROW(Overall!$A$34), ROWS(Overall!$L$35:Q36))),"")</f>
        <v>1981</v>
      </c>
      <c r="G30" s="96" cm="1">
        <f t="array" ref="G30">IFERROR(INDEX(Overall!H$35:H$71,_xlfn.AGGREGATE(15,3,((Overall!$A$35:$A$71=1)/(Overall!$A$35:$A$71=1)*ROW(Overall!$A$35:$A$71))-ROW(Overall!$A$34), ROWS(Overall!$L$35:R36))),"")</f>
        <v>0</v>
      </c>
      <c r="H30" s="96" cm="1">
        <f t="array" ref="H30">IFERROR(INDEX(Overall!I$35:I$71,_xlfn.AGGREGATE(15,3,((Overall!$A$35:$A$71=1)/(Overall!$A$35:$A$71=1)*ROW(Overall!$A$35:$A$71))-ROW(Overall!$A$34), ROWS(Overall!$L$35:S36))),"")</f>
        <v>1981</v>
      </c>
      <c r="I30" s="62" t="str" cm="1">
        <f t="array" ref="I30">IFERROR(INDEX(Overall!J$35:J$71,_xlfn.AGGREGATE(15,3,((Overall!$A$35:$A$71=1)/(Overall!$A$35:$A$71=1)*ROW(Overall!$A$35:$A$71))-ROW(Overall!$A$34), ROWS(Overall!$L$35:T36))),"")</f>
        <v>PR051982</v>
      </c>
      <c r="J30" s="53" t="str" cm="1">
        <f t="array" ref="J30">IFERROR(INDEX(Overall!K$35:K$71,_xlfn.AGGREGATE(15,3,((Overall!$A$35:$A$71=1)/(Overall!$A$35:$A$71=1)*ROW(Overall!$A$35:$A$71))-ROW(Overall!$A$34), ROWS(Overall!$L$35:U36))),"")</f>
        <v>FIXED</v>
      </c>
    </row>
    <row r="31" spans="1:10" x14ac:dyDescent="0.25">
      <c r="A31" s="124" t="str" cm="1">
        <f t="array" ref="A31">IFERROR(INDEX(Overall!B$35:B$71,_xlfn.AGGREGATE(15,3,((Overall!$A$35:$A$71=1)/(Overall!$A$35:$A$71=1)*ROW(Overall!$A$35:$A$71))-ROW(Overall!$A$34), ROWS(Overall!$L$35:L37))),"")</f>
        <v>B &amp; C</v>
      </c>
      <c r="B31" s="60" cm="1">
        <f t="array" ref="B31">IFERROR(INDEX(Overall!C$35:C$71,_xlfn.AGGREGATE(15,3,((Overall!$A$35:$A$71=1)/(Overall!$A$35:$A$71=1)*ROW(Overall!$A$35:$A$71))-ROW(Overall!$A$34), ROWS(Overall!$L$35:M37))),"")</f>
        <v>45014</v>
      </c>
      <c r="C31" s="87" cm="1">
        <f t="array" ref="C31">IFERROR(INDEX(Overall!D$35:D$71,_xlfn.AGGREGATE(15,3,((Overall!$A$35:$A$71=1)/(Overall!$A$35:$A$71=1)*ROW(Overall!$A$35:$A$71))-ROW(Overall!$A$34), ROWS(Overall!$L$35:N37))),"")</f>
        <v>413422</v>
      </c>
      <c r="D31" s="62" t="str" cm="1">
        <f t="array" ref="D31">IFERROR(INDEX(Overall!E$35:E$71,_xlfn.AGGREGATE(15,3,((Overall!$A$35:$A$71=1)/(Overall!$A$35:$A$71=1)*ROW(Overall!$A$35:$A$71))-ROW(Overall!$A$34), ROWS(Overall!$L$35:O37))),"")</f>
        <v>BCC1500938</v>
      </c>
      <c r="E31" s="128" cm="1">
        <f t="array" ref="E31">IFERROR(INDEX(Overall!F$35:F$71,_xlfn.AGGREGATE(15,3,((Overall!$A$35:$A$71=1)/(Overall!$A$35:$A$71=1)*ROW(Overall!$A$35:$A$71))-ROW(Overall!$A$34), ROWS(Overall!$L$35:P37))),"")</f>
        <v>0</v>
      </c>
      <c r="F31" s="129" cm="1">
        <f t="array" ref="F31">IFERROR(INDEX(Overall!G$35:G$71,_xlfn.AGGREGATE(15,3,((Overall!$A$35:$A$71=1)/(Overall!$A$35:$A$71=1)*ROW(Overall!$A$35:$A$71))-ROW(Overall!$A$34), ROWS(Overall!$L$35:Q37))),"")</f>
        <v>5242</v>
      </c>
      <c r="G31" s="96" cm="1">
        <f t="array" ref="G31">IFERROR(INDEX(Overall!H$35:H$71,_xlfn.AGGREGATE(15,3,((Overall!$A$35:$A$71=1)/(Overall!$A$35:$A$71=1)*ROW(Overall!$A$35:$A$71))-ROW(Overall!$A$34), ROWS(Overall!$L$35:R37))),"")</f>
        <v>3000</v>
      </c>
      <c r="H31" s="96" cm="1">
        <f t="array" ref="H31">IFERROR(INDEX(Overall!I$35:I$71,_xlfn.AGGREGATE(15,3,((Overall!$A$35:$A$71=1)/(Overall!$A$35:$A$71=1)*ROW(Overall!$A$35:$A$71))-ROW(Overall!$A$34), ROWS(Overall!$L$35:S37))),"")</f>
        <v>2242</v>
      </c>
      <c r="I31" s="62" t="str" cm="1">
        <f t="array" ref="I31">IFERROR(INDEX(Overall!J$35:J$71,_xlfn.AGGREGATE(15,3,((Overall!$A$35:$A$71=1)/(Overall!$A$35:$A$71=1)*ROW(Overall!$A$35:$A$71))-ROW(Overall!$A$34), ROWS(Overall!$L$35:T37))),"")</f>
        <v>PR053289</v>
      </c>
      <c r="J31" s="53" cm="1">
        <f t="array" ref="J31">IFERROR(INDEX(Overall!K$35:K$71,_xlfn.AGGREGATE(15,3,((Overall!$A$35:$A$71=1)/(Overall!$A$35:$A$71=1)*ROW(Overall!$A$35:$A$71))-ROW(Overall!$A$34),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IFERROR(INDEX(Overall!B$35:B$71,_xlfn.AGGREGATE(15,3,((Overall!$A$35:$A$71=1)/(Overall!$A$35:$A$71=1)*ROW(Overall!$A$35:$A$71))-ROW(Overall!$A$34), ROWS(Overall!$L$35:L38))),"")</f>
        <v>B</v>
      </c>
      <c r="B32" s="60" cm="1">
        <f t="array" ref="B32">IFERROR(INDEX(Overall!C$35:C$71,_xlfn.AGGREGATE(15,3,((Overall!$A$35:$A$71=1)/(Overall!$A$35:$A$71=1)*ROW(Overall!$A$35:$A$71))-ROW(Overall!$A$34), ROWS(Overall!$L$35:M38))),"")</f>
        <v>45014</v>
      </c>
      <c r="C32" s="87" cm="1">
        <f t="array" ref="C32">IFERROR(INDEX(Overall!D$35:D$71,_xlfn.AGGREGATE(15,3,((Overall!$A$35:$A$71=1)/(Overall!$A$35:$A$71=1)*ROW(Overall!$A$35:$A$71))-ROW(Overall!$A$34), ROWS(Overall!$L$35:N38))),"")</f>
        <v>415762</v>
      </c>
      <c r="D32" s="62" t="str" cm="1">
        <f t="array" ref="D32">IFERROR(INDEX(Overall!E$35:E$71,_xlfn.AGGREGATE(15,3,((Overall!$A$35:$A$71=1)/(Overall!$A$35:$A$71=1)*ROW(Overall!$A$35:$A$71))-ROW(Overall!$A$34), ROWS(Overall!$L$35:O38))),"")</f>
        <v>CLO1501333</v>
      </c>
      <c r="E32" s="128" cm="1">
        <f t="array" ref="E32">IFERROR(INDEX(Overall!F$35:F$71,_xlfn.AGGREGATE(15,3,((Overall!$A$35:$A$71=1)/(Overall!$A$35:$A$71=1)*ROW(Overall!$A$35:$A$71))-ROW(Overall!$A$34), ROWS(Overall!$L$35:P38))),"")</f>
        <v>0</v>
      </c>
      <c r="F32" s="129" cm="1">
        <f t="array" ref="F32">IFERROR(INDEX(Overall!G$35:G$71,_xlfn.AGGREGATE(15,3,((Overall!$A$35:$A$71=1)/(Overall!$A$35:$A$71=1)*ROW(Overall!$A$35:$A$71))-ROW(Overall!$A$34), ROWS(Overall!$L$35:Q38))),"")</f>
        <v>5092</v>
      </c>
      <c r="G32" s="96" cm="1">
        <f t="array" ref="G32">IFERROR(INDEX(Overall!H$35:H$71,_xlfn.AGGREGATE(15,3,((Overall!$A$35:$A$71=1)/(Overall!$A$35:$A$71=1)*ROW(Overall!$A$35:$A$71))-ROW(Overall!$A$34), ROWS(Overall!$L$35:R38))),"")</f>
        <v>900</v>
      </c>
      <c r="H32" s="96" cm="1">
        <f t="array" ref="H32">IFERROR(INDEX(Overall!I$35:I$71,_xlfn.AGGREGATE(15,3,((Overall!$A$35:$A$71=1)/(Overall!$A$35:$A$71=1)*ROW(Overall!$A$35:$A$71))-ROW(Overall!$A$34), ROWS(Overall!$L$35:S38))),"")</f>
        <v>4192</v>
      </c>
      <c r="I32" s="62" t="str" cm="1">
        <f t="array" ref="I32">IFERROR(INDEX(Overall!J$35:J$71,_xlfn.AGGREGATE(15,3,((Overall!$A$35:$A$71=1)/(Overall!$A$35:$A$71=1)*ROW(Overall!$A$35:$A$71))-ROW(Overall!$A$34), ROWS(Overall!$L$35:T38))),"")</f>
        <v>PR043760</v>
      </c>
      <c r="J32" s="53" cm="1">
        <f t="array" ref="J32">IFERROR(INDEX(Overall!K$35:K$71,_xlfn.AGGREGATE(15,3,((Overall!$A$35:$A$71=1)/(Overall!$A$35:$A$71=1)*ROW(Overall!$A$35:$A$71))-ROW(Overall!$A$34), ROWS(Overall!$L$35:U38))),"")</f>
        <v>0</v>
      </c>
    </row>
    <row r="33" spans="1:10" x14ac:dyDescent="0.25">
      <c r="A33" s="124" t="str" cm="1">
        <f t="array" ref="A33">IFERROR(INDEX(Overall!B$35:B$71,_xlfn.AGGREGATE(15,3,((Overall!$A$35:$A$71=1)/(Overall!$A$35:$A$71=1)*ROW(Overall!$A$35:$A$71))-ROW(Overall!$A$34), ROWS(Overall!$L$35:L39))),"")</f>
        <v>B</v>
      </c>
      <c r="B33" s="60" cm="1">
        <f t="array" ref="B33">IFERROR(INDEX(Overall!C$35:C$71,_xlfn.AGGREGATE(15,3,((Overall!$A$35:$A$71=1)/(Overall!$A$35:$A$71=1)*ROW(Overall!$A$35:$A$71))-ROW(Overall!$A$34), ROWS(Overall!$L$35:M39))),"")</f>
        <v>45014</v>
      </c>
      <c r="C33" s="87" cm="1">
        <f t="array" ref="C33">IFERROR(INDEX(Overall!D$35:D$71,_xlfn.AGGREGATE(15,3,((Overall!$A$35:$A$71=1)/(Overall!$A$35:$A$71=1)*ROW(Overall!$A$35:$A$71))-ROW(Overall!$A$34), ROWS(Overall!$L$35:N39))),"")</f>
        <v>415762</v>
      </c>
      <c r="D33" s="62" t="str" cm="1">
        <f t="array" ref="D33">IFERROR(INDEX(Overall!E$35:E$71,_xlfn.AGGREGATE(15,3,((Overall!$A$35:$A$71=1)/(Overall!$A$35:$A$71=1)*ROW(Overall!$A$35:$A$71))-ROW(Overall!$A$34), ROWS(Overall!$L$35:O39))),"")</f>
        <v>SPP1501262</v>
      </c>
      <c r="E33" s="128" cm="1">
        <f t="array" ref="E33">IFERROR(INDEX(Overall!F$35:F$71,_xlfn.AGGREGATE(15,3,((Overall!$A$35:$A$71=1)/(Overall!$A$35:$A$71=1)*ROW(Overall!$A$35:$A$71))-ROW(Overall!$A$34), ROWS(Overall!$L$35:P39))),"")</f>
        <v>0</v>
      </c>
      <c r="F33" s="129" cm="1">
        <f t="array" ref="F33">IFERROR(INDEX(Overall!G$35:G$71,_xlfn.AGGREGATE(15,3,((Overall!$A$35:$A$71=1)/(Overall!$A$35:$A$71=1)*ROW(Overall!$A$35:$A$71))-ROW(Overall!$A$34), ROWS(Overall!$L$35:Q39))),"")</f>
        <v>820</v>
      </c>
      <c r="G33" s="96" cm="1">
        <f t="array" ref="G33">IFERROR(INDEX(Overall!H$35:H$71,_xlfn.AGGREGATE(15,3,((Overall!$A$35:$A$71=1)/(Overall!$A$35:$A$71=1)*ROW(Overall!$A$35:$A$71))-ROW(Overall!$A$34), ROWS(Overall!$L$35:R39))),"")</f>
        <v>8</v>
      </c>
      <c r="H33" s="96" cm="1">
        <f t="array" ref="H33">IFERROR(INDEX(Overall!I$35:I$71,_xlfn.AGGREGATE(15,3,((Overall!$A$35:$A$71=1)/(Overall!$A$35:$A$71=1)*ROW(Overall!$A$35:$A$71))-ROW(Overall!$A$34), ROWS(Overall!$L$35:S39))),"")</f>
        <v>812</v>
      </c>
      <c r="I33" s="62" t="str" cm="1">
        <f t="array" ref="I33">IFERROR(INDEX(Overall!J$35:J$71,_xlfn.AGGREGATE(15,3,((Overall!$A$35:$A$71=1)/(Overall!$A$35:$A$71=1)*ROW(Overall!$A$35:$A$71))-ROW(Overall!$A$34), ROWS(Overall!$L$35:T39))),"")</f>
        <v>PR043760</v>
      </c>
      <c r="J33" s="53" t="str" cm="1">
        <f t="array" ref="J33">IFERROR(INDEX(Overall!K$35:K$71,_xlfn.AGGREGATE(15,3,((Overall!$A$35:$A$71=1)/(Overall!$A$35:$A$71=1)*ROW(Overall!$A$35:$A$71))-ROW(Overall!$A$34), ROWS(Overall!$L$35:U39))),"")</f>
        <v>FIXED</v>
      </c>
    </row>
    <row r="34" spans="1:10" x14ac:dyDescent="0.25">
      <c r="A34" s="124" t="str" cm="1">
        <f t="array" ref="A34">IFERROR(INDEX(Overall!B$35:B$71,_xlfn.AGGREGATE(15,3,((Overall!$A$35:$A$71=1)/(Overall!$A$35:$A$71=1)*ROW(Overall!$A$35:$A$71))-ROW(Overall!$A$34), ROWS(Overall!$L$35:L40))),"")</f>
        <v/>
      </c>
      <c r="B34" s="60" t="str" cm="1">
        <f t="array" ref="B34">IFERROR(INDEX(Overall!C$35:C$71,_xlfn.AGGREGATE(15,3,((Overall!$A$35:$A$71=1)/(Overall!$A$35:$A$71=1)*ROW(Overall!$A$35:$A$71))-ROW(Overall!$A$34), ROWS(Overall!$L$35:M40))),"")</f>
        <v/>
      </c>
      <c r="C34" s="87" t="str" cm="1">
        <f t="array" ref="C34">IFERROR(INDEX(Overall!D$35:D$71,_xlfn.AGGREGATE(15,3,((Overall!$A$35:$A$71=1)/(Overall!$A$35:$A$71=1)*ROW(Overall!$A$35:$A$71))-ROW(Overall!$A$34), ROWS(Overall!$L$35:N40))),"")</f>
        <v/>
      </c>
      <c r="D34" s="62" t="str" cm="1">
        <f t="array" ref="D34">IFERROR(INDEX(Overall!E$35:E$71,_xlfn.AGGREGATE(15,3,((Overall!$A$35:$A$71=1)/(Overall!$A$35:$A$71=1)*ROW(Overall!$A$35:$A$71))-ROW(Overall!$A$34), ROWS(Overall!$L$35:O40))),"")</f>
        <v/>
      </c>
      <c r="E34" s="128" t="str" cm="1">
        <f t="array" ref="E34">IFERROR(INDEX(Overall!F$35:F$71,_xlfn.AGGREGATE(15,3,((Overall!$A$35:$A$71=1)/(Overall!$A$35:$A$71=1)*ROW(Overall!$A$35:$A$71))-ROW(Overall!$A$34), ROWS(Overall!$L$35:P40))),"")</f>
        <v/>
      </c>
      <c r="F34" s="129" t="str" cm="1">
        <f t="array" ref="F34">IFERROR(INDEX(Overall!G$35:G$71,_xlfn.AGGREGATE(15,3,((Overall!$A$35:$A$71=1)/(Overall!$A$35:$A$71=1)*ROW(Overall!$A$35:$A$71))-ROW(Overall!$A$34), ROWS(Overall!$L$35:Q40))),"")</f>
        <v/>
      </c>
      <c r="G34" s="96" t="str" cm="1">
        <f t="array" ref="G34">IFERROR(INDEX(Overall!H$35:H$71,_xlfn.AGGREGATE(15,3,((Overall!$A$35:$A$71=1)/(Overall!$A$35:$A$71=1)*ROW(Overall!$A$35:$A$71))-ROW(Overall!$A$34), ROWS(Overall!$L$35:R40))),"")</f>
        <v/>
      </c>
      <c r="H34" s="96" t="str" cm="1">
        <f t="array" ref="H34">IFERROR(INDEX(Overall!I$35:I$71,_xlfn.AGGREGATE(15,3,((Overall!$A$35:$A$71=1)/(Overall!$A$35:$A$71=1)*ROW(Overall!$A$35:$A$71))-ROW(Overall!$A$34), ROWS(Overall!$L$35:S40))),"")</f>
        <v/>
      </c>
      <c r="I34" s="62" t="str" cm="1">
        <f t="array" ref="I34">IFERROR(INDEX(Overall!J$35:J$71,_xlfn.AGGREGATE(15,3,((Overall!$A$35:$A$71=1)/(Overall!$A$35:$A$71=1)*ROW(Overall!$A$35:$A$71))-ROW(Overall!$A$34), ROWS(Overall!$L$35:T40))),"")</f>
        <v/>
      </c>
      <c r="J34" s="53" t="str" cm="1">
        <f t="array" ref="J34">IFERROR(INDEX(Overall!K$35:K$71,_xlfn.AGGREGATE(15,3,((Overall!$A$35:$A$71=1)/(Overall!$A$35:$A$71=1)*ROW(Overall!$A$35:$A$71))-ROW(Overall!$A$34),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IFERROR(INDEX(Overall!B$35:B$71,_xlfn.AGGREGATE(15,3,((Overall!$A$35:$A$71=1)/(Overall!$A$35:$A$71=1)*ROW(Overall!$A$35:$A$71))-ROW(Overall!$A$34), ROWS(Overall!$L$35:L41))),"")</f>
        <v/>
      </c>
      <c r="B35" s="60" t="str" cm="1">
        <f t="array" ref="B35">IFERROR(INDEX(Overall!C$35:C$71,_xlfn.AGGREGATE(15,3,((Overall!$A$35:$A$71=1)/(Overall!$A$35:$A$71=1)*ROW(Overall!$A$35:$A$71))-ROW(Overall!$A$34), ROWS(Overall!$L$35:M41))),"")</f>
        <v/>
      </c>
      <c r="C35" s="87" t="str" cm="1">
        <f t="array" ref="C35">IFERROR(INDEX(Overall!D$35:D$71,_xlfn.AGGREGATE(15,3,((Overall!$A$35:$A$71=1)/(Overall!$A$35:$A$71=1)*ROW(Overall!$A$35:$A$71))-ROW(Overall!$A$34), ROWS(Overall!$L$35:N41))),"")</f>
        <v/>
      </c>
      <c r="D35" s="62" t="str" cm="1">
        <f t="array" ref="D35">IFERROR(INDEX(Overall!E$35:E$71,_xlfn.AGGREGATE(15,3,((Overall!$A$35:$A$71=1)/(Overall!$A$35:$A$71=1)*ROW(Overall!$A$35:$A$71))-ROW(Overall!$A$34), ROWS(Overall!$L$35:O41))),"")</f>
        <v/>
      </c>
      <c r="E35" s="128" t="str" cm="1">
        <f t="array" ref="E35">IFERROR(INDEX(Overall!F$35:F$71,_xlfn.AGGREGATE(15,3,((Overall!$A$35:$A$71=1)/(Overall!$A$35:$A$71=1)*ROW(Overall!$A$35:$A$71))-ROW(Overall!$A$34), ROWS(Overall!$L$35:P41))),"")</f>
        <v/>
      </c>
      <c r="F35" s="129" t="str" cm="1">
        <f t="array" ref="F35">IFERROR(INDEX(Overall!G$35:G$71,_xlfn.AGGREGATE(15,3,((Overall!$A$35:$A$71=1)/(Overall!$A$35:$A$71=1)*ROW(Overall!$A$35:$A$71))-ROW(Overall!$A$34), ROWS(Overall!$L$35:Q41))),"")</f>
        <v/>
      </c>
      <c r="G35" s="96" t="str" cm="1">
        <f t="array" ref="G35">IFERROR(INDEX(Overall!H$35:H$71,_xlfn.AGGREGATE(15,3,((Overall!$A$35:$A$71=1)/(Overall!$A$35:$A$71=1)*ROW(Overall!$A$35:$A$71))-ROW(Overall!$A$34), ROWS(Overall!$L$35:R41))),"")</f>
        <v/>
      </c>
      <c r="H35" s="96" t="str" cm="1">
        <f t="array" ref="H35">IFERROR(INDEX(Overall!I$35:I$71,_xlfn.AGGREGATE(15,3,((Overall!$A$35:$A$71=1)/(Overall!$A$35:$A$71=1)*ROW(Overall!$A$35:$A$71))-ROW(Overall!$A$34), ROWS(Overall!$L$35:S41))),"")</f>
        <v/>
      </c>
      <c r="I35" s="62" t="str" cm="1">
        <f t="array" ref="I35">IFERROR(INDEX(Overall!J$35:J$71,_xlfn.AGGREGATE(15,3,((Overall!$A$35:$A$71=1)/(Overall!$A$35:$A$71=1)*ROW(Overall!$A$35:$A$71))-ROW(Overall!$A$34), ROWS(Overall!$L$35:T41))),"")</f>
        <v/>
      </c>
      <c r="J35" s="53" t="str" cm="1">
        <f t="array" ref="J35">IFERROR(INDEX(Overall!K$35:K$71,_xlfn.AGGREGATE(15,3,((Overall!$A$35:$A$71=1)/(Overall!$A$35:$A$71=1)*ROW(Overall!$A$35:$A$71))-ROW(Overall!$A$34),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IFERROR(INDEX(Overall!B$35:B$71,_xlfn.AGGREGATE(15,3,((Overall!$A$35:$A$71=1)/(Overall!$A$35:$A$71=1)*ROW(Overall!$A$35:$A$71))-ROW(Overall!$A$34), ROWS(Overall!$L$35:L42))),"")</f>
        <v/>
      </c>
      <c r="B36" s="60" t="str" cm="1">
        <f t="array" ref="B36">IFERROR(INDEX(Overall!C$35:C$71,_xlfn.AGGREGATE(15,3,((Overall!$A$35:$A$71=1)/(Overall!$A$35:$A$71=1)*ROW(Overall!$A$35:$A$71))-ROW(Overall!$A$34), ROWS(Overall!$L$35:M42))),"")</f>
        <v/>
      </c>
      <c r="C36" s="87" t="str" cm="1">
        <f t="array" ref="C36">IFERROR(INDEX(Overall!D$35:D$71,_xlfn.AGGREGATE(15,3,((Overall!$A$35:$A$71=1)/(Overall!$A$35:$A$71=1)*ROW(Overall!$A$35:$A$71))-ROW(Overall!$A$34), ROWS(Overall!$L$35:N42))),"")</f>
        <v/>
      </c>
      <c r="D36" s="62" t="str" cm="1">
        <f t="array" ref="D36">IFERROR(INDEX(Overall!E$35:E$71,_xlfn.AGGREGATE(15,3,((Overall!$A$35:$A$71=1)/(Overall!$A$35:$A$71=1)*ROW(Overall!$A$35:$A$71))-ROW(Overall!$A$34), ROWS(Overall!$L$35:O42))),"")</f>
        <v/>
      </c>
      <c r="E36" s="128" t="str" cm="1">
        <f t="array" ref="E36">IFERROR(INDEX(Overall!F$35:F$71,_xlfn.AGGREGATE(15,3,((Overall!$A$35:$A$71=1)/(Overall!$A$35:$A$71=1)*ROW(Overall!$A$35:$A$71))-ROW(Overall!$A$34), ROWS(Overall!$L$35:P42))),"")</f>
        <v/>
      </c>
      <c r="F36" s="129" t="str" cm="1">
        <f t="array" ref="F36">IFERROR(INDEX(Overall!G$35:G$71,_xlfn.AGGREGATE(15,3,((Overall!$A$35:$A$71=1)/(Overall!$A$35:$A$71=1)*ROW(Overall!$A$35:$A$71))-ROW(Overall!$A$34), ROWS(Overall!$L$35:Q42))),"")</f>
        <v/>
      </c>
      <c r="G36" s="96" t="str" cm="1">
        <f t="array" ref="G36">IFERROR(INDEX(Overall!H$35:H$71,_xlfn.AGGREGATE(15,3,((Overall!$A$35:$A$71=1)/(Overall!$A$35:$A$71=1)*ROW(Overall!$A$35:$A$71))-ROW(Overall!$A$34), ROWS(Overall!$L$35:R42))),"")</f>
        <v/>
      </c>
      <c r="H36" s="96" t="str" cm="1">
        <f t="array" ref="H36">IFERROR(INDEX(Overall!I$35:I$71,_xlfn.AGGREGATE(15,3,((Overall!$A$35:$A$71=1)/(Overall!$A$35:$A$71=1)*ROW(Overall!$A$35:$A$71))-ROW(Overall!$A$34), ROWS(Overall!$L$35:S42))),"")</f>
        <v/>
      </c>
      <c r="I36" s="62" t="str" cm="1">
        <f t="array" ref="I36">IFERROR(INDEX(Overall!J$35:J$71,_xlfn.AGGREGATE(15,3,((Overall!$A$35:$A$71=1)/(Overall!$A$35:$A$71=1)*ROW(Overall!$A$35:$A$71))-ROW(Overall!$A$34), ROWS(Overall!$L$35:T42))),"")</f>
        <v/>
      </c>
      <c r="J36" s="53" t="str" cm="1">
        <f t="array" ref="J36">IFERROR(INDEX(Overall!K$35:K$71,_xlfn.AGGREGATE(15,3,((Overall!$A$35:$A$71=1)/(Overall!$A$35:$A$71=1)*ROW(Overall!$A$35:$A$71))-ROW(Overall!$A$34),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IFERROR(INDEX(Overall!B$35:B$71,_xlfn.AGGREGATE(15,3,((Overall!$A$35:$A$71=1)/(Overall!$A$35:$A$71=1)*ROW(Overall!$A$35:$A$71))-ROW(Overall!$A$34), ROWS(Overall!$L$35:L43))),"")</f>
        <v/>
      </c>
      <c r="B37" s="60" t="str" cm="1">
        <f t="array" ref="B37">IFERROR(INDEX(Overall!C$35:C$71,_xlfn.AGGREGATE(15,3,((Overall!$A$35:$A$71=1)/(Overall!$A$35:$A$71=1)*ROW(Overall!$A$35:$A$71))-ROW(Overall!$A$34), ROWS(Overall!$L$35:M43))),"")</f>
        <v/>
      </c>
      <c r="C37" s="87" t="str" cm="1">
        <f t="array" ref="C37">IFERROR(INDEX(Overall!D$35:D$71,_xlfn.AGGREGATE(15,3,((Overall!$A$35:$A$71=1)/(Overall!$A$35:$A$71=1)*ROW(Overall!$A$35:$A$71))-ROW(Overall!$A$34), ROWS(Overall!$L$35:N43))),"")</f>
        <v/>
      </c>
      <c r="D37" s="62" t="str" cm="1">
        <f t="array" ref="D37">IFERROR(INDEX(Overall!E$35:E$71,_xlfn.AGGREGATE(15,3,((Overall!$A$35:$A$71=1)/(Overall!$A$35:$A$71=1)*ROW(Overall!$A$35:$A$71))-ROW(Overall!$A$34), ROWS(Overall!$L$35:O43))),"")</f>
        <v/>
      </c>
      <c r="E37" s="128" t="str" cm="1">
        <f t="array" ref="E37">IFERROR(INDEX(Overall!F$35:F$71,_xlfn.AGGREGATE(15,3,((Overall!$A$35:$A$71=1)/(Overall!$A$35:$A$71=1)*ROW(Overall!$A$35:$A$71))-ROW(Overall!$A$34), ROWS(Overall!$L$35:P43))),"")</f>
        <v/>
      </c>
      <c r="F37" s="129" t="str" cm="1">
        <f t="array" ref="F37">IFERROR(INDEX(Overall!G$35:G$71,_xlfn.AGGREGATE(15,3,((Overall!$A$35:$A$71=1)/(Overall!$A$35:$A$71=1)*ROW(Overall!$A$35:$A$71))-ROW(Overall!$A$34), ROWS(Overall!$L$35:Q43))),"")</f>
        <v/>
      </c>
      <c r="G37" s="96" t="str" cm="1">
        <f t="array" ref="G37">IFERROR(INDEX(Overall!H$35:H$71,_xlfn.AGGREGATE(15,3,((Overall!$A$35:$A$71=1)/(Overall!$A$35:$A$71=1)*ROW(Overall!$A$35:$A$71))-ROW(Overall!$A$34), ROWS(Overall!$L$35:R43))),"")</f>
        <v/>
      </c>
      <c r="H37" s="96" t="str" cm="1">
        <f t="array" ref="H37">IFERROR(INDEX(Overall!I$35:I$71,_xlfn.AGGREGATE(15,3,((Overall!$A$35:$A$71=1)/(Overall!$A$35:$A$71=1)*ROW(Overall!$A$35:$A$71))-ROW(Overall!$A$34), ROWS(Overall!$L$35:S43))),"")</f>
        <v/>
      </c>
      <c r="I37" s="62" t="str" cm="1">
        <f t="array" ref="I37">IFERROR(INDEX(Overall!J$35:J$71,_xlfn.AGGREGATE(15,3,((Overall!$A$35:$A$71=1)/(Overall!$A$35:$A$71=1)*ROW(Overall!$A$35:$A$71))-ROW(Overall!$A$34), ROWS(Overall!$L$35:T43))),"")</f>
        <v/>
      </c>
      <c r="J37" s="53" t="str" cm="1">
        <f t="array" ref="J37">IFERROR(INDEX(Overall!K$35:K$71,_xlfn.AGGREGATE(15,3,((Overall!$A$35:$A$71=1)/(Overall!$A$35:$A$71=1)*ROW(Overall!$A$35:$A$71))-ROW(Overall!$A$34),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IFERROR(INDEX(Overall!B$35:B$71,_xlfn.AGGREGATE(15,3,((Overall!$A$35:$A$71=1)/(Overall!$A$35:$A$71=1)*ROW(Overall!$A$35:$A$71))-ROW(Overall!$A$34), ROWS(Overall!$L$35:L44))),"")</f>
        <v/>
      </c>
      <c r="B38" s="60" t="str" cm="1">
        <f t="array" ref="B38">IFERROR(INDEX(Overall!C$35:C$71,_xlfn.AGGREGATE(15,3,((Overall!$A$35:$A$71=1)/(Overall!$A$35:$A$71=1)*ROW(Overall!$A$35:$A$71))-ROW(Overall!$A$34), ROWS(Overall!$L$35:M44))),"")</f>
        <v/>
      </c>
      <c r="C38" s="87" t="str" cm="1">
        <f t="array" ref="C38">IFERROR(INDEX(Overall!D$35:D$71,_xlfn.AGGREGATE(15,3,((Overall!$A$35:$A$71=1)/(Overall!$A$35:$A$71=1)*ROW(Overall!$A$35:$A$71))-ROW(Overall!$A$34), ROWS(Overall!$L$35:N44))),"")</f>
        <v/>
      </c>
      <c r="D38" s="62" t="str" cm="1">
        <f t="array" ref="D38">IFERROR(INDEX(Overall!E$35:E$71,_xlfn.AGGREGATE(15,3,((Overall!$A$35:$A$71=1)/(Overall!$A$35:$A$71=1)*ROW(Overall!$A$35:$A$71))-ROW(Overall!$A$34), ROWS(Overall!$L$35:O44))),"")</f>
        <v/>
      </c>
      <c r="E38" s="128" t="str" cm="1">
        <f t="array" ref="E38">IFERROR(INDEX(Overall!F$35:F$71,_xlfn.AGGREGATE(15,3,((Overall!$A$35:$A$71=1)/(Overall!$A$35:$A$71=1)*ROW(Overall!$A$35:$A$71))-ROW(Overall!$A$34), ROWS(Overall!$L$35:P44))),"")</f>
        <v/>
      </c>
      <c r="F38" s="129" t="str" cm="1">
        <f t="array" ref="F38">IFERROR(INDEX(Overall!G$35:G$71,_xlfn.AGGREGATE(15,3,((Overall!$A$35:$A$71=1)/(Overall!$A$35:$A$71=1)*ROW(Overall!$A$35:$A$71))-ROW(Overall!$A$34), ROWS(Overall!$L$35:Q44))),"")</f>
        <v/>
      </c>
      <c r="G38" s="96" t="str" cm="1">
        <f t="array" ref="G38">IFERROR(INDEX(Overall!H$35:H$71,_xlfn.AGGREGATE(15,3,((Overall!$A$35:$A$71=1)/(Overall!$A$35:$A$71=1)*ROW(Overall!$A$35:$A$71))-ROW(Overall!$A$34), ROWS(Overall!$L$35:R44))),"")</f>
        <v/>
      </c>
      <c r="H38" s="96" t="str" cm="1">
        <f t="array" ref="H38">IFERROR(INDEX(Overall!I$35:I$71,_xlfn.AGGREGATE(15,3,((Overall!$A$35:$A$71=1)/(Overall!$A$35:$A$71=1)*ROW(Overall!$A$35:$A$71))-ROW(Overall!$A$34), ROWS(Overall!$L$35:S44))),"")</f>
        <v/>
      </c>
      <c r="I38" s="62" t="str" cm="1">
        <f t="array" ref="I38">IFERROR(INDEX(Overall!J$35:J$71,_xlfn.AGGREGATE(15,3,((Overall!$A$35:$A$71=1)/(Overall!$A$35:$A$71=1)*ROW(Overall!$A$35:$A$71))-ROW(Overall!$A$34), ROWS(Overall!$L$35:T44))),"")</f>
        <v/>
      </c>
      <c r="J38" s="53" t="str" cm="1">
        <f t="array" ref="J38">IFERROR(INDEX(Overall!K$35:K$71,_xlfn.AGGREGATE(15,3,((Overall!$A$35:$A$71=1)/(Overall!$A$35:$A$71=1)*ROW(Overall!$A$35:$A$71))-ROW(Overall!$A$34),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IFERROR(INDEX(Overall!B$35:B$71,_xlfn.AGGREGATE(15,3,((Overall!$A$35:$A$71=1)/(Overall!$A$35:$A$71=1)*ROW(Overall!$A$35:$A$71))-ROW(Overall!$A$34), ROWS(Overall!$L$35:L45))),"")</f>
        <v/>
      </c>
      <c r="B39" s="60" t="str" cm="1">
        <f t="array" ref="B39">IFERROR(INDEX(Overall!C$35:C$71,_xlfn.AGGREGATE(15,3,((Overall!$A$35:$A$71=1)/(Overall!$A$35:$A$71=1)*ROW(Overall!$A$35:$A$71))-ROW(Overall!$A$34), ROWS(Overall!$L$35:M45))),"")</f>
        <v/>
      </c>
      <c r="C39" s="87" t="str" cm="1">
        <f t="array" ref="C39">IFERROR(INDEX(Overall!D$35:D$71,_xlfn.AGGREGATE(15,3,((Overall!$A$35:$A$71=1)/(Overall!$A$35:$A$71=1)*ROW(Overall!$A$35:$A$71))-ROW(Overall!$A$34), ROWS(Overall!$L$35:N45))),"")</f>
        <v/>
      </c>
      <c r="D39" s="62" t="str" cm="1">
        <f t="array" ref="D39">IFERROR(INDEX(Overall!E$35:E$71,_xlfn.AGGREGATE(15,3,((Overall!$A$35:$A$71=1)/(Overall!$A$35:$A$71=1)*ROW(Overall!$A$35:$A$71))-ROW(Overall!$A$34), ROWS(Overall!$L$35:O45))),"")</f>
        <v/>
      </c>
      <c r="E39" s="128" t="str" cm="1">
        <f t="array" ref="E39">IFERROR(INDEX(Overall!F$35:F$71,_xlfn.AGGREGATE(15,3,((Overall!$A$35:$A$71=1)/(Overall!$A$35:$A$71=1)*ROW(Overall!$A$35:$A$71))-ROW(Overall!$A$34), ROWS(Overall!$L$35:P45))),"")</f>
        <v/>
      </c>
      <c r="F39" s="129" t="str" cm="1">
        <f t="array" ref="F39">IFERROR(INDEX(Overall!G$35:G$71,_xlfn.AGGREGATE(15,3,((Overall!$A$35:$A$71=1)/(Overall!$A$35:$A$71=1)*ROW(Overall!$A$35:$A$71))-ROW(Overall!$A$34), ROWS(Overall!$L$35:Q45))),"")</f>
        <v/>
      </c>
      <c r="G39" s="96" t="str" cm="1">
        <f t="array" ref="G39">IFERROR(INDEX(Overall!H$35:H$71,_xlfn.AGGREGATE(15,3,((Overall!$A$35:$A$71=1)/(Overall!$A$35:$A$71=1)*ROW(Overall!$A$35:$A$71))-ROW(Overall!$A$34), ROWS(Overall!$L$35:R45))),"")</f>
        <v/>
      </c>
      <c r="H39" s="96" t="str" cm="1">
        <f t="array" ref="H39">IFERROR(INDEX(Overall!I$35:I$71,_xlfn.AGGREGATE(15,3,((Overall!$A$35:$A$71=1)/(Overall!$A$35:$A$71=1)*ROW(Overall!$A$35:$A$71))-ROW(Overall!$A$34), ROWS(Overall!$L$35:S45))),"")</f>
        <v/>
      </c>
      <c r="I39" s="62" t="str" cm="1">
        <f t="array" ref="I39">IFERROR(INDEX(Overall!J$35:J$71,_xlfn.AGGREGATE(15,3,((Overall!$A$35:$A$71=1)/(Overall!$A$35:$A$71=1)*ROW(Overall!$A$35:$A$71))-ROW(Overall!$A$34), ROWS(Overall!$L$35:T45))),"")</f>
        <v/>
      </c>
      <c r="J39" s="53" t="str" cm="1">
        <f t="array" ref="J39">IFERROR(INDEX(Overall!K$35:K$71,_xlfn.AGGREGATE(15,3,((Overall!$A$35:$A$71=1)/(Overall!$A$35:$A$71=1)*ROW(Overall!$A$35:$A$71))-ROW(Overall!$A$34),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IFERROR(INDEX(Overall!B$35:B$71,_xlfn.AGGREGATE(15,3,((Overall!$A$35:$A$71=1)/(Overall!$A$35:$A$71=1)*ROW(Overall!$A$35:$A$71))-ROW(Overall!$A$34), ROWS(Overall!$L$35:L46))),"")</f>
        <v/>
      </c>
      <c r="B40" s="60" t="str" cm="1">
        <f t="array" ref="B40">IFERROR(INDEX(Overall!C$35:C$71,_xlfn.AGGREGATE(15,3,((Overall!$A$35:$A$71=1)/(Overall!$A$35:$A$71=1)*ROW(Overall!$A$35:$A$71))-ROW(Overall!$A$34), ROWS(Overall!$L$35:M46))),"")</f>
        <v/>
      </c>
      <c r="C40" s="87" t="str" cm="1">
        <f t="array" ref="C40">IFERROR(INDEX(Overall!D$35:D$71,_xlfn.AGGREGATE(15,3,((Overall!$A$35:$A$71=1)/(Overall!$A$35:$A$71=1)*ROW(Overall!$A$35:$A$71))-ROW(Overall!$A$34), ROWS(Overall!$L$35:N46))),"")</f>
        <v/>
      </c>
      <c r="D40" s="62" t="str" cm="1">
        <f t="array" ref="D40">IFERROR(INDEX(Overall!E$35:E$71,_xlfn.AGGREGATE(15,3,((Overall!$A$35:$A$71=1)/(Overall!$A$35:$A$71=1)*ROW(Overall!$A$35:$A$71))-ROW(Overall!$A$34), ROWS(Overall!$L$35:O46))),"")</f>
        <v/>
      </c>
      <c r="E40" s="128" t="str" cm="1">
        <f t="array" ref="E40">IFERROR(INDEX(Overall!F$35:F$71,_xlfn.AGGREGATE(15,3,((Overall!$A$35:$A$71=1)/(Overall!$A$35:$A$71=1)*ROW(Overall!$A$35:$A$71))-ROW(Overall!$A$34), ROWS(Overall!$L$35:P46))),"")</f>
        <v/>
      </c>
      <c r="F40" s="129" t="str" cm="1">
        <f t="array" ref="F40">IFERROR(INDEX(Overall!G$35:G$71,_xlfn.AGGREGATE(15,3,((Overall!$A$35:$A$71=1)/(Overall!$A$35:$A$71=1)*ROW(Overall!$A$35:$A$71))-ROW(Overall!$A$34), ROWS(Overall!$L$35:Q46))),"")</f>
        <v/>
      </c>
      <c r="G40" s="96" t="str" cm="1">
        <f t="array" ref="G40">IFERROR(INDEX(Overall!H$35:H$71,_xlfn.AGGREGATE(15,3,((Overall!$A$35:$A$71=1)/(Overall!$A$35:$A$71=1)*ROW(Overall!$A$35:$A$71))-ROW(Overall!$A$34), ROWS(Overall!$L$35:R46))),"")</f>
        <v/>
      </c>
      <c r="H40" s="96" t="str" cm="1">
        <f t="array" ref="H40">IFERROR(INDEX(Overall!I$35:I$71,_xlfn.AGGREGATE(15,3,((Overall!$A$35:$A$71=1)/(Overall!$A$35:$A$71=1)*ROW(Overall!$A$35:$A$71))-ROW(Overall!$A$34), ROWS(Overall!$L$35:S46))),"")</f>
        <v/>
      </c>
      <c r="I40" s="62" t="str" cm="1">
        <f t="array" ref="I40">IFERROR(INDEX(Overall!J$35:J$71,_xlfn.AGGREGATE(15,3,((Overall!$A$35:$A$71=1)/(Overall!$A$35:$A$71=1)*ROW(Overall!$A$35:$A$71))-ROW(Overall!$A$34), ROWS(Overall!$L$35:T46))),"")</f>
        <v/>
      </c>
      <c r="J40" s="53" t="str" cm="1">
        <f t="array" ref="J40">IFERROR(INDEX(Overall!K$35:K$71,_xlfn.AGGREGATE(15,3,((Overall!$A$35:$A$71=1)/(Overall!$A$35:$A$71=1)*ROW(Overall!$A$35:$A$71))-ROW(Overall!$A$34),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IFERROR(INDEX(Overall!B$35:B$71,_xlfn.AGGREGATE(15,3,((Overall!$A$35:$A$71=1)/(Overall!$A$35:$A$71=1)*ROW(Overall!$A$35:$A$71))-ROW(Overall!$A$34), ROWS(Overall!$L$35:L47))),"")</f>
        <v/>
      </c>
      <c r="B41" s="60" t="str" cm="1">
        <f t="array" ref="B41">IFERROR(INDEX(Overall!C$35:C$71,_xlfn.AGGREGATE(15,3,((Overall!$A$35:$A$71=1)/(Overall!$A$35:$A$71=1)*ROW(Overall!$A$35:$A$71))-ROW(Overall!$A$34), ROWS(Overall!$L$35:M47))),"")</f>
        <v/>
      </c>
      <c r="C41" s="87" t="str" cm="1">
        <f t="array" ref="C41">IFERROR(INDEX(Overall!D$35:D$71,_xlfn.AGGREGATE(15,3,((Overall!$A$35:$A$71=1)/(Overall!$A$35:$A$71=1)*ROW(Overall!$A$35:$A$71))-ROW(Overall!$A$34), ROWS(Overall!$L$35:N47))),"")</f>
        <v/>
      </c>
      <c r="D41" s="62" t="str" cm="1">
        <f t="array" ref="D41">IFERROR(INDEX(Overall!E$35:E$71,_xlfn.AGGREGATE(15,3,((Overall!$A$35:$A$71=1)/(Overall!$A$35:$A$71=1)*ROW(Overall!$A$35:$A$71))-ROW(Overall!$A$34), ROWS(Overall!$L$35:O47))),"")</f>
        <v/>
      </c>
      <c r="E41" s="128" t="str" cm="1">
        <f t="array" ref="E41">IFERROR(INDEX(Overall!F$35:F$71,_xlfn.AGGREGATE(15,3,((Overall!$A$35:$A$71=1)/(Overall!$A$35:$A$71=1)*ROW(Overall!$A$35:$A$71))-ROW(Overall!$A$34), ROWS(Overall!$L$35:P47))),"")</f>
        <v/>
      </c>
      <c r="F41" s="129" t="str" cm="1">
        <f t="array" ref="F41">IFERROR(INDEX(Overall!G$35:G$71,_xlfn.AGGREGATE(15,3,((Overall!$A$35:$A$71=1)/(Overall!$A$35:$A$71=1)*ROW(Overall!$A$35:$A$71))-ROW(Overall!$A$34), ROWS(Overall!$L$35:Q47))),"")</f>
        <v/>
      </c>
      <c r="G41" s="96" t="str" cm="1">
        <f t="array" ref="G41">IFERROR(INDEX(Overall!H$35:H$71,_xlfn.AGGREGATE(15,3,((Overall!$A$35:$A$71=1)/(Overall!$A$35:$A$71=1)*ROW(Overall!$A$35:$A$71))-ROW(Overall!$A$34), ROWS(Overall!$L$35:R47))),"")</f>
        <v/>
      </c>
      <c r="H41" s="96" t="str" cm="1">
        <f t="array" ref="H41">IFERROR(INDEX(Overall!I$35:I$71,_xlfn.AGGREGATE(15,3,((Overall!$A$35:$A$71=1)/(Overall!$A$35:$A$71=1)*ROW(Overall!$A$35:$A$71))-ROW(Overall!$A$34), ROWS(Overall!$L$35:S47))),"")</f>
        <v/>
      </c>
      <c r="I41" s="62" t="str" cm="1">
        <f t="array" ref="I41">IFERROR(INDEX(Overall!J$35:J$71,_xlfn.AGGREGATE(15,3,((Overall!$A$35:$A$71=1)/(Overall!$A$35:$A$71=1)*ROW(Overall!$A$35:$A$71))-ROW(Overall!$A$34), ROWS(Overall!$L$35:T47))),"")</f>
        <v/>
      </c>
      <c r="J41" s="53" t="str" cm="1">
        <f t="array" ref="J41">IFERROR(INDEX(Overall!K$35:K$71,_xlfn.AGGREGATE(15,3,((Overall!$A$35:$A$71=1)/(Overall!$A$35:$A$71=1)*ROW(Overall!$A$35:$A$71))-ROW(Overall!$A$34),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IFERROR(INDEX(Overall!B$35:B$71,_xlfn.AGGREGATE(15,3,((Overall!$A$35:$A$71=1)/(Overall!$A$35:$A$71=1)*ROW(Overall!$A$35:$A$71))-ROW(Overall!$A$34), ROWS(Overall!$L$35:L48))),"")</f>
        <v/>
      </c>
      <c r="B42" s="60" t="str" cm="1">
        <f t="array" ref="B42">IFERROR(INDEX(Overall!C$35:C$71,_xlfn.AGGREGATE(15,3,((Overall!$A$35:$A$71=1)/(Overall!$A$35:$A$71=1)*ROW(Overall!$A$35:$A$71))-ROW(Overall!$A$34), ROWS(Overall!$L$35:M48))),"")</f>
        <v/>
      </c>
      <c r="C42" s="87" t="str" cm="1">
        <f t="array" ref="C42">IFERROR(INDEX(Overall!D$35:D$71,_xlfn.AGGREGATE(15,3,((Overall!$A$35:$A$71=1)/(Overall!$A$35:$A$71=1)*ROW(Overall!$A$35:$A$71))-ROW(Overall!$A$34), ROWS(Overall!$L$35:N48))),"")</f>
        <v/>
      </c>
      <c r="D42" s="62" t="str" cm="1">
        <f t="array" ref="D42">IFERROR(INDEX(Overall!E$35:E$71,_xlfn.AGGREGATE(15,3,((Overall!$A$35:$A$71=1)/(Overall!$A$35:$A$71=1)*ROW(Overall!$A$35:$A$71))-ROW(Overall!$A$34), ROWS(Overall!$L$35:O48))),"")</f>
        <v/>
      </c>
      <c r="E42" s="128" t="str" cm="1">
        <f t="array" ref="E42">IFERROR(INDEX(Overall!F$35:F$71,_xlfn.AGGREGATE(15,3,((Overall!$A$35:$A$71=1)/(Overall!$A$35:$A$71=1)*ROW(Overall!$A$35:$A$71))-ROW(Overall!$A$34), ROWS(Overall!$L$35:P48))),"")</f>
        <v/>
      </c>
      <c r="F42" s="129" t="str" cm="1">
        <f t="array" ref="F42">IFERROR(INDEX(Overall!G$35:G$71,_xlfn.AGGREGATE(15,3,((Overall!$A$35:$A$71=1)/(Overall!$A$35:$A$71=1)*ROW(Overall!$A$35:$A$71))-ROW(Overall!$A$34), ROWS(Overall!$L$35:Q48))),"")</f>
        <v/>
      </c>
      <c r="G42" s="96" t="str" cm="1">
        <f t="array" ref="G42">IFERROR(INDEX(Overall!H$35:H$71,_xlfn.AGGREGATE(15,3,((Overall!$A$35:$A$71=1)/(Overall!$A$35:$A$71=1)*ROW(Overall!$A$35:$A$71))-ROW(Overall!$A$34), ROWS(Overall!$L$35:R48))),"")</f>
        <v/>
      </c>
      <c r="H42" s="96" t="str" cm="1">
        <f t="array" ref="H42">IFERROR(INDEX(Overall!I$35:I$71,_xlfn.AGGREGATE(15,3,((Overall!$A$35:$A$71=1)/(Overall!$A$35:$A$71=1)*ROW(Overall!$A$35:$A$71))-ROW(Overall!$A$34), ROWS(Overall!$L$35:S48))),"")</f>
        <v/>
      </c>
      <c r="I42" s="62" t="str" cm="1">
        <f t="array" ref="I42">IFERROR(INDEX(Overall!J$35:J$71,_xlfn.AGGREGATE(15,3,((Overall!$A$35:$A$71=1)/(Overall!$A$35:$A$71=1)*ROW(Overall!$A$35:$A$71))-ROW(Overall!$A$34), ROWS(Overall!$L$35:T48))),"")</f>
        <v/>
      </c>
      <c r="J42" s="53" t="str" cm="1">
        <f t="array" ref="J42">IFERROR(INDEX(Overall!K$35:K$71,_xlfn.AGGREGATE(15,3,((Overall!$A$35:$A$71=1)/(Overall!$A$35:$A$71=1)*ROW(Overall!$A$35:$A$71))-ROW(Overall!$A$34),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IFERROR(INDEX(Overall!B$35:B$71,_xlfn.AGGREGATE(15,3,((Overall!$A$35:$A$71=1)/(Overall!$A$35:$A$71=1)*ROW(Overall!$A$35:$A$71))-ROW(Overall!$A$34), ROWS(Overall!$L$35:L49))),"")</f>
        <v/>
      </c>
      <c r="B43" s="60" t="str" cm="1">
        <f t="array" ref="B43">IFERROR(INDEX(Overall!C$35:C$71,_xlfn.AGGREGATE(15,3,((Overall!$A$35:$A$71=1)/(Overall!$A$35:$A$71=1)*ROW(Overall!$A$35:$A$71))-ROW(Overall!$A$34), ROWS(Overall!$L$35:M49))),"")</f>
        <v/>
      </c>
      <c r="C43" s="87" t="str" cm="1">
        <f t="array" ref="C43">IFERROR(INDEX(Overall!D$35:D$71,_xlfn.AGGREGATE(15,3,((Overall!$A$35:$A$71=1)/(Overall!$A$35:$A$71=1)*ROW(Overall!$A$35:$A$71))-ROW(Overall!$A$34), ROWS(Overall!$L$35:N49))),"")</f>
        <v/>
      </c>
      <c r="D43" s="62" t="str" cm="1">
        <f t="array" ref="D43">IFERROR(INDEX(Overall!E$35:E$71,_xlfn.AGGREGATE(15,3,((Overall!$A$35:$A$71=1)/(Overall!$A$35:$A$71=1)*ROW(Overall!$A$35:$A$71))-ROW(Overall!$A$34), ROWS(Overall!$L$35:O49))),"")</f>
        <v/>
      </c>
      <c r="E43" s="128" t="str" cm="1">
        <f t="array" ref="E43">IFERROR(INDEX(Overall!F$35:F$71,_xlfn.AGGREGATE(15,3,((Overall!$A$35:$A$71=1)/(Overall!$A$35:$A$71=1)*ROW(Overall!$A$35:$A$71))-ROW(Overall!$A$34), ROWS(Overall!$L$35:P49))),"")</f>
        <v/>
      </c>
      <c r="F43" s="129" t="str" cm="1">
        <f t="array" ref="F43">IFERROR(INDEX(Overall!G$35:G$71,_xlfn.AGGREGATE(15,3,((Overall!$A$35:$A$71=1)/(Overall!$A$35:$A$71=1)*ROW(Overall!$A$35:$A$71))-ROW(Overall!$A$34), ROWS(Overall!$L$35:Q49))),"")</f>
        <v/>
      </c>
      <c r="G43" s="96" t="str" cm="1">
        <f t="array" ref="G43">IFERROR(INDEX(Overall!H$35:H$71,_xlfn.AGGREGATE(15,3,((Overall!$A$35:$A$71=1)/(Overall!$A$35:$A$71=1)*ROW(Overall!$A$35:$A$71))-ROW(Overall!$A$34), ROWS(Overall!$L$35:R49))),"")</f>
        <v/>
      </c>
      <c r="H43" s="96" t="str" cm="1">
        <f t="array" ref="H43">IFERROR(INDEX(Overall!I$35:I$71,_xlfn.AGGREGATE(15,3,((Overall!$A$35:$A$71=1)/(Overall!$A$35:$A$71=1)*ROW(Overall!$A$35:$A$71))-ROW(Overall!$A$34), ROWS(Overall!$L$35:S49))),"")</f>
        <v/>
      </c>
      <c r="I43" s="62" t="str" cm="1">
        <f t="array" ref="I43">IFERROR(INDEX(Overall!J$35:J$71,_xlfn.AGGREGATE(15,3,((Overall!$A$35:$A$71=1)/(Overall!$A$35:$A$71=1)*ROW(Overall!$A$35:$A$71))-ROW(Overall!$A$34), ROWS(Overall!$L$35:T49))),"")</f>
        <v/>
      </c>
      <c r="J43" s="53" t="str" cm="1">
        <f t="array" ref="J43">IFERROR(INDEX(Overall!K$35:K$71,_xlfn.AGGREGATE(15,3,((Overall!$A$35:$A$71=1)/(Overall!$A$35:$A$71=1)*ROW(Overall!$A$35:$A$71))-ROW(Overall!$A$34),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IFERROR(INDEX(Overall!B$35:B$71,_xlfn.AGGREGATE(15,3,((Overall!$A$35:$A$71=1)/(Overall!$A$35:$A$71=1)*ROW(Overall!$A$35:$A$71))-ROW(Overall!$A$34), ROWS(Overall!$L$35:L50))),"")</f>
        <v/>
      </c>
      <c r="B44" s="61" t="str" cm="1">
        <f t="array" ref="B44">IFERROR(INDEX(Overall!C$35:C$71,_xlfn.AGGREGATE(15,3,((Overall!$A$35:$A$71=1)/(Overall!$A$35:$A$71=1)*ROW(Overall!$A$35:$A$71))-ROW(Overall!$A$34), ROWS(Overall!$L$35:M50))),"")</f>
        <v/>
      </c>
      <c r="C44" s="88" t="str" cm="1">
        <f t="array" ref="C44">IFERROR(INDEX(Overall!D$35:D$71,_xlfn.AGGREGATE(15,3,((Overall!$A$35:$A$71=1)/(Overall!$A$35:$A$71=1)*ROW(Overall!$A$35:$A$71))-ROW(Overall!$A$34), ROWS(Overall!$L$35:N50))),"")</f>
        <v/>
      </c>
      <c r="D44" s="63" t="str" cm="1">
        <f t="array" ref="D44">IFERROR(INDEX(Overall!E$35:E$71,_xlfn.AGGREGATE(15,3,((Overall!$A$35:$A$71=1)/(Overall!$A$35:$A$71=1)*ROW(Overall!$A$35:$A$71))-ROW(Overall!$A$34), ROWS(Overall!$L$35:O50))),"")</f>
        <v/>
      </c>
      <c r="E44" s="130" t="str" cm="1">
        <f t="array" ref="E44">IFERROR(INDEX(Overall!F$35:F$71,_xlfn.AGGREGATE(15,3,((Overall!$A$35:$A$71=1)/(Overall!$A$35:$A$71=1)*ROW(Overall!$A$35:$A$71))-ROW(Overall!$A$34), ROWS(Overall!$L$35:P50))),"")</f>
        <v/>
      </c>
      <c r="F44" s="131" t="str" cm="1">
        <f t="array" ref="F44">IFERROR(INDEX(Overall!G$35:G$71,_xlfn.AGGREGATE(15,3,((Overall!$A$35:$A$71=1)/(Overall!$A$35:$A$71=1)*ROW(Overall!$A$35:$A$71))-ROW(Overall!$A$34), ROWS(Overall!$L$35:Q50))),"")</f>
        <v/>
      </c>
      <c r="G44" s="97" t="str" cm="1">
        <f t="array" ref="G44">IFERROR(INDEX(Overall!H$35:H$71,_xlfn.AGGREGATE(15,3,((Overall!$A$35:$A$71=1)/(Overall!$A$35:$A$71=1)*ROW(Overall!$A$35:$A$71))-ROW(Overall!$A$34), ROWS(Overall!$L$35:R50))),"")</f>
        <v/>
      </c>
      <c r="H44" s="97" t="str" cm="1">
        <f t="array" ref="H44">IFERROR(INDEX(Overall!I$35:I$71,_xlfn.AGGREGATE(15,3,((Overall!$A$35:$A$71=1)/(Overall!$A$35:$A$71=1)*ROW(Overall!$A$35:$A$71))-ROW(Overall!$A$34), ROWS(Overall!$L$35:S50))),"")</f>
        <v/>
      </c>
      <c r="I44" s="65" t="str" cm="1">
        <f t="array" ref="I44">IFERROR(INDEX(Overall!J$35:J$71,_xlfn.AGGREGATE(15,3,((Overall!$A$35:$A$71=1)/(Overall!$A$35:$A$71=1)*ROW(Overall!$A$35:$A$71))-ROW(Overall!$A$34), ROWS(Overall!$L$35:T50))),"")</f>
        <v/>
      </c>
      <c r="J44" s="54" t="str" cm="1">
        <f t="array" ref="J44">IFERROR(INDEX(Overall!K$35:K$71,_xlfn.AGGREGATE(15,3,((Overall!$A$35:$A$71=1)/(Overall!$A$35:$A$71=1)*ROW(Overall!$A$35:$A$71))-ROW(Overall!$A$34),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/>
      <c r="J47" s="52"/>
    </row>
    <row r="48" spans="1:10" x14ac:dyDescent="0.25">
      <c r="A48" s="67"/>
      <c r="B48" s="72"/>
      <c r="C48" s="178"/>
      <c r="D48" s="179"/>
      <c r="H48" s="52"/>
      <c r="I48" s="50"/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 s="105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  <row r="62" spans="1:10" x14ac:dyDescent="0.25">
      <c r="A62" s="50"/>
    </row>
  </sheetData>
  <mergeCells count="47">
    <mergeCell ref="F61:G61"/>
    <mergeCell ref="F56:G56"/>
    <mergeCell ref="F57:G57"/>
    <mergeCell ref="F58:G58"/>
    <mergeCell ref="F59:G59"/>
    <mergeCell ref="F60:G60"/>
    <mergeCell ref="F53:G53"/>
    <mergeCell ref="F54:G54"/>
    <mergeCell ref="F55:G55"/>
    <mergeCell ref="A5:A6"/>
    <mergeCell ref="A8:A9"/>
    <mergeCell ref="C52:D52"/>
    <mergeCell ref="C54:D54"/>
    <mergeCell ref="C53:D53"/>
    <mergeCell ref="C55:D55"/>
    <mergeCell ref="C47:D47"/>
    <mergeCell ref="C48:D48"/>
    <mergeCell ref="C49:D49"/>
    <mergeCell ref="C50:D50"/>
    <mergeCell ref="C51:D51"/>
    <mergeCell ref="B1:C1"/>
    <mergeCell ref="B2:C2"/>
    <mergeCell ref="B3:C3"/>
    <mergeCell ref="H22:I22"/>
    <mergeCell ref="H23:I23"/>
    <mergeCell ref="H24:I24"/>
    <mergeCell ref="A27:J27"/>
    <mergeCell ref="A21:D21"/>
    <mergeCell ref="C22:D22"/>
    <mergeCell ref="F2:I2"/>
    <mergeCell ref="G3:I3"/>
    <mergeCell ref="G4:I4"/>
    <mergeCell ref="G5:I5"/>
    <mergeCell ref="F21:I21"/>
    <mergeCell ref="C23:D23"/>
    <mergeCell ref="C24:D24"/>
    <mergeCell ref="C58:D58"/>
    <mergeCell ref="C59:D59"/>
    <mergeCell ref="C60:D60"/>
    <mergeCell ref="C61:D61"/>
    <mergeCell ref="C56:D56"/>
    <mergeCell ref="C57:D57"/>
    <mergeCell ref="I46:J46"/>
    <mergeCell ref="F51:G51"/>
    <mergeCell ref="F52:G52"/>
    <mergeCell ref="A46:H46"/>
    <mergeCell ref="E47:H47"/>
  </mergeCells>
  <phoneticPr fontId="5" type="noConversion"/>
  <conditionalFormatting sqref="A29:J43">
    <cfRule type="cellIs" dxfId="39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CE5E-BEA4-47F3-93C4-481E563C14C9}">
  <sheetPr codeName="Sheet5">
    <pageSetUpPr autoPageBreaks="0"/>
  </sheetPr>
  <dimension ref="A1:J61"/>
  <sheetViews>
    <sheetView showGridLines="0" zoomScale="110" zoomScaleNormal="110" workbookViewId="0">
      <selection activeCell="M18" sqref="M18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20</v>
      </c>
      <c r="C3" s="175"/>
      <c r="F3" s="74">
        <f>IFERROR(VLOOKUP($B$3,Totals!$B$3:$C$11,2,0),0)</f>
        <v>5187</v>
      </c>
      <c r="G3" s="163" t="s">
        <v>4</v>
      </c>
      <c r="H3" s="163"/>
      <c r="I3" s="164"/>
    </row>
    <row r="4" spans="1:10" x14ac:dyDescent="0.25">
      <c r="F4" s="74">
        <f>VLOOKUP($B$3,Totals!$E$3:$F$12,2,0)</f>
        <v>11560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14250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4</v>
      </c>
      <c r="C6" s="71">
        <f>VLOOKUP($B$3,Totals!$V$48:$Y$57,3,0)</f>
        <v>4</v>
      </c>
      <c r="D6" s="77">
        <f>VLOOKUP($B$3,Totals!$V$48:$Y$57,4,0)</f>
        <v>3</v>
      </c>
    </row>
    <row r="7" spans="1:10" x14ac:dyDescent="0.25">
      <c r="G7" s="92" t="s">
        <v>6</v>
      </c>
      <c r="H7" s="93">
        <f>F3/F4</f>
        <v>0.44870242214532874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17.684210526315788</v>
      </c>
      <c r="C9" s="82">
        <f>IFERROR(VLOOKUP($B$3,Totals!$L$3:$N$11,3,0),0)</f>
        <v>36.4</v>
      </c>
      <c r="D9" s="83">
        <f>IFERROR(VLOOKUP('3'!$B$3,Totals!$P$4:$Y$12,10,0),0)</f>
        <v>31.868015959899438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206</v>
      </c>
      <c r="C22" s="163" t="str">
        <f>VLOOKUP($B$3&amp;A22,Totals!$G$49:$K$73,5,0)</f>
        <v>Filler</v>
      </c>
      <c r="D22" s="164"/>
      <c r="F22" s="66">
        <v>1</v>
      </c>
      <c r="G22" s="69">
        <f>VLOOKUP($B$3&amp;F22,Totals!$M$49:$Q$73,4,0)</f>
        <v>602</v>
      </c>
      <c r="H22" s="163" t="str">
        <f>VLOOKUP($B$3&amp;F22,Totals!$M$49:$Q$73,5,0)</f>
        <v>Filler</v>
      </c>
      <c r="I22" s="164"/>
    </row>
    <row r="23" spans="1:10" x14ac:dyDescent="0.25">
      <c r="A23" s="67">
        <v>2</v>
      </c>
      <c r="B23" s="70">
        <f>VLOOKUP($B$3&amp;A23,Totals!$G$49:$K$73,4,0)</f>
        <v>131</v>
      </c>
      <c r="C23" s="163" t="str">
        <f>VLOOKUP($B$3&amp;A23,Totals!$G$49:$K$73,5,0)</f>
        <v>Bulk Unloader</v>
      </c>
      <c r="D23" s="164"/>
      <c r="F23" s="67">
        <v>2</v>
      </c>
      <c r="G23" s="70">
        <f>VLOOKUP($B$3&amp;F23,Totals!$M$49:$Q$73,4,0)</f>
        <v>244</v>
      </c>
      <c r="H23" s="163" t="str">
        <f>VLOOKUP($B$3&amp;F23,Totals!$M$49:$Q$73,5,0)</f>
        <v>APM</v>
      </c>
      <c r="I23" s="164"/>
    </row>
    <row r="24" spans="1:10" x14ac:dyDescent="0.25">
      <c r="A24" s="68">
        <v>3</v>
      </c>
      <c r="B24" s="71">
        <f>VLOOKUP($B$3&amp;A24,Totals!$G$49:$K$73,4,0)</f>
        <v>127</v>
      </c>
      <c r="C24" s="165" t="str">
        <f>VLOOKUP($B$3&amp;A24,Totals!$G$49:$K$73,5,0)</f>
        <v>APM</v>
      </c>
      <c r="D24" s="166"/>
      <c r="F24" s="68">
        <v>3</v>
      </c>
      <c r="G24" s="71">
        <f>VLOOKUP($B$3&amp;F24,Totals!$M$49:$Q$73,4,0)</f>
        <v>210</v>
      </c>
      <c r="H24" s="165" t="str">
        <f>VLOOKUP($B$3&amp;F24,Totals!$M$49:$Q$73,5,0)</f>
        <v>Capper</v>
      </c>
      <c r="I24" s="166"/>
    </row>
    <row r="27" spans="1:10" x14ac:dyDescent="0.25">
      <c r="A27" s="156" t="s">
        <v>10</v>
      </c>
      <c r="B27" s="156"/>
      <c r="C27" s="156"/>
      <c r="D27" s="156"/>
      <c r="E27" s="156"/>
      <c r="F27" s="156"/>
      <c r="G27" s="156"/>
      <c r="H27" s="156"/>
      <c r="I27" s="156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184" t="s">
        <v>152</v>
      </c>
      <c r="F28" s="185"/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IFERROR(INDEX(Overall!B$35:B$71,_xlfn.AGGREGATE(15,3,((Overall!$A$35:$A$71=3)/(Overall!$A$35:$A$71=3)*ROW(Overall!$A$35:$A$71))-ROW(Overall!$A$34), ROWS(Overall!$L$35:L35))),"")</f>
        <v>B</v>
      </c>
      <c r="B29" s="60" cm="1">
        <f t="array" ref="B29">IFERROR(INDEX(Overall!C$35:C$71,_xlfn.AGGREGATE(15,3,((Overall!$A$35:$A$71=3)/(Overall!$A$35:$A$71=3)*ROW(Overall!$A$35:$A$71))-ROW(Overall!$A$34), ROWS(Overall!$L$35:M35))),"")</f>
        <v>45011</v>
      </c>
      <c r="C29" s="87" cm="1">
        <f t="array" ref="C29">IFERROR(INDEX(Overall!D$35:D$71,_xlfn.AGGREGATE(15,3,((Overall!$A$35:$A$71=3)/(Overall!$A$35:$A$71=3)*ROW(Overall!$A$35:$A$71))-ROW(Overall!$A$34), ROWS(Overall!$L$35:N35))),"")</f>
        <v>419160</v>
      </c>
      <c r="D29" s="62" t="str" cm="1">
        <f t="array" ref="D29">IFERROR(INDEX(Overall!E$35:E$71,_xlfn.AGGREGATE(15,3,((Overall!$A$35:$A$71=3)/(Overall!$A$35:$A$71=3)*ROW(Overall!$A$35:$A$71))-ROW(Overall!$A$34), ROWS(Overall!$L$35:O35))),"")</f>
        <v>BTL1500814</v>
      </c>
      <c r="E29" s="128" cm="1">
        <f t="array" ref="E29">IFERROR(INDEX(Overall!F$35:F$71,_xlfn.AGGREGATE(15,3,((Overall!$A$35:$A$71=3)/(Overall!$A$35:$A$71=3)*ROW(Overall!$A$35:$A$71))-ROW(Overall!$A$34), ROWS(Overall!$L$35:P35))),"")</f>
        <v>0</v>
      </c>
      <c r="F29" s="129" cm="1">
        <f t="array" ref="F29">IFERROR(INDEX(Overall!G$35:G$71,_xlfn.AGGREGATE(15,3,((Overall!$A$35:$A$71=3)/(Overall!$A$35:$A$71=3)*ROW(Overall!$A$35:$A$71))-ROW(Overall!$A$34), ROWS(Overall!$L$35:Q35))),"")</f>
        <v>163840</v>
      </c>
      <c r="G29" s="96" cm="1">
        <f t="array" ref="G29">IFERROR(INDEX(Overall!H$35:H$71,_xlfn.AGGREGATE(15,3,((Overall!$A$35:$A$71=3)/(Overall!$A$35:$A$71=3)*ROW(Overall!$A$35:$A$71))-ROW(Overall!$A$34), ROWS(Overall!$L$35:R35))),"")</f>
        <v>130000</v>
      </c>
      <c r="H29" s="96" cm="1">
        <f t="array" ref="H29">IFERROR(INDEX(Overall!I$35:I$71,_xlfn.AGGREGATE(15,3,((Overall!$A$35:$A$71=3)/(Overall!$A$35:$A$71=3)*ROW(Overall!$A$35:$A$71))-ROW(Overall!$A$34), ROWS(Overall!$L$35:S35))),"")</f>
        <v>33840</v>
      </c>
      <c r="I29" s="62" t="str" cm="1">
        <f t="array" ref="I29">IFERROR(INDEX(Overall!J$35:J$71,_xlfn.AGGREGATE(15,3,((Overall!$A$35:$A$71=3)/(Overall!$A$35:$A$71=3)*ROW(Overall!$A$35:$A$71))-ROW(Overall!$A$34), ROWS(Overall!$L$35:T35))),"")</f>
        <v>SWILLI03</v>
      </c>
      <c r="J29" s="53" cm="1">
        <f t="array" ref="J29">IFERROR(INDEX(Overall!K$35:K$71,_xlfn.AGGREGATE(15,3,((Overall!$A$35:$A$71=3)/(Overall!$A$35:$A$71=3)*ROW(Overall!$A$35:$A$71))-ROW(Overall!$A$34),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IFERROR(INDEX(Overall!B$35:B$71,_xlfn.AGGREGATE(15,3,((Overall!$A$35:$A$71=3)/(Overall!$A$35:$A$71=3)*ROW(Overall!$A$35:$A$71))-ROW(Overall!$A$34), ROWS(Overall!$L$35:L36))),"")</f>
        <v>B</v>
      </c>
      <c r="B30" s="60" cm="1">
        <f t="array" ref="B30">IFERROR(INDEX(Overall!C$35:C$71,_xlfn.AGGREGATE(15,3,((Overall!$A$35:$A$71=3)/(Overall!$A$35:$A$71=3)*ROW(Overall!$A$35:$A$71))-ROW(Overall!$A$34), ROWS(Overall!$L$35:M36))),"")</f>
        <v>45012</v>
      </c>
      <c r="C30" s="87" cm="1">
        <f t="array" ref="C30">IFERROR(INDEX(Overall!D$35:D$71,_xlfn.AGGREGATE(15,3,((Overall!$A$35:$A$71=3)/(Overall!$A$35:$A$71=3)*ROW(Overall!$A$35:$A$71))-ROW(Overall!$A$34), ROWS(Overall!$L$35:N36))),"")</f>
        <v>419153</v>
      </c>
      <c r="D30" s="62" t="str" cm="1">
        <f t="array" ref="D30">IFERROR(INDEX(Overall!E$35:E$71,_xlfn.AGGREGATE(15,3,((Overall!$A$35:$A$71=3)/(Overall!$A$35:$A$71=3)*ROW(Overall!$A$35:$A$71))-ROW(Overall!$A$34), ROWS(Overall!$L$35:O36))),"")</f>
        <v>BTL1500814</v>
      </c>
      <c r="E30" s="128" cm="1">
        <f t="array" ref="E30">IFERROR(INDEX(Overall!F$35:F$71,_xlfn.AGGREGATE(15,3,((Overall!$A$35:$A$71=3)/(Overall!$A$35:$A$71=3)*ROW(Overall!$A$35:$A$71))-ROW(Overall!$A$34), ROWS(Overall!$L$35:P36))),"")</f>
        <v>0</v>
      </c>
      <c r="F30" s="129" cm="1">
        <f t="array" ref="F30">IFERROR(INDEX(Overall!G$35:G$71,_xlfn.AGGREGATE(15,3,((Overall!$A$35:$A$71=3)/(Overall!$A$35:$A$71=3)*ROW(Overall!$A$35:$A$71))-ROW(Overall!$A$34), ROWS(Overall!$L$35:Q36))),"")</f>
        <v>108257</v>
      </c>
      <c r="G30" s="96" cm="1">
        <f t="array" ref="G30">IFERROR(INDEX(Overall!H$35:H$71,_xlfn.AGGREGATE(15,3,((Overall!$A$35:$A$71=3)/(Overall!$A$35:$A$71=3)*ROW(Overall!$A$35:$A$71))-ROW(Overall!$A$34), ROWS(Overall!$L$35:R36))),"")</f>
        <v>100000</v>
      </c>
      <c r="H30" s="96" cm="1">
        <f t="array" ref="H30">IFERROR(INDEX(Overall!I$35:I$71,_xlfn.AGGREGATE(15,3,((Overall!$A$35:$A$71=3)/(Overall!$A$35:$A$71=3)*ROW(Overall!$A$35:$A$71))-ROW(Overall!$A$34), ROWS(Overall!$L$35:S36))),"")</f>
        <v>8257</v>
      </c>
      <c r="I30" s="62" t="str" cm="1">
        <f t="array" ref="I30">IFERROR(INDEX(Overall!J$35:J$71,_xlfn.AGGREGATE(15,3,((Overall!$A$35:$A$71=3)/(Overall!$A$35:$A$71=3)*ROW(Overall!$A$35:$A$71))-ROW(Overall!$A$34), ROWS(Overall!$L$35:T36))),"")</f>
        <v>SWILLI03</v>
      </c>
      <c r="J30" s="53" cm="1">
        <f t="array" ref="J30">IFERROR(INDEX(Overall!K$35:K$71,_xlfn.AGGREGATE(15,3,((Overall!$A$35:$A$71=3)/(Overall!$A$35:$A$71=3)*ROW(Overall!$A$35:$A$71))-ROW(Overall!$A$34), ROWS(Overall!$L$35:U36))),"")</f>
        <v>0</v>
      </c>
    </row>
    <row r="31" spans="1:10" x14ac:dyDescent="0.25">
      <c r="A31" s="124" t="str" cm="1">
        <f t="array" ref="A31">IFERROR(INDEX(Overall!B$35:B$71,_xlfn.AGGREGATE(15,3,((Overall!$A$35:$A$71=3)/(Overall!$A$35:$A$71=3)*ROW(Overall!$A$35:$A$71))-ROW(Overall!$A$34), ROWS(Overall!$L$35:L37))),"")</f>
        <v>C</v>
      </c>
      <c r="B31" s="60" cm="1">
        <f t="array" ref="B31">IFERROR(INDEX(Overall!C$35:C$71,_xlfn.AGGREGATE(15,3,((Overall!$A$35:$A$71=3)/(Overall!$A$35:$A$71=3)*ROW(Overall!$A$35:$A$71))-ROW(Overall!$A$34), ROWS(Overall!$L$35:M37))),"")</f>
        <v>45012</v>
      </c>
      <c r="C31" s="87" cm="1">
        <f t="array" ref="C31">IFERROR(INDEX(Overall!D$35:D$71,_xlfn.AGGREGATE(15,3,((Overall!$A$35:$A$71=3)/(Overall!$A$35:$A$71=3)*ROW(Overall!$A$35:$A$71))-ROW(Overall!$A$34), ROWS(Overall!$L$35:N37))),"")</f>
        <v>419154</v>
      </c>
      <c r="D31" s="62" t="str" cm="1">
        <f t="array" ref="D31">IFERROR(INDEX(Overall!E$35:E$71,_xlfn.AGGREGATE(15,3,((Overall!$A$35:$A$71=3)/(Overall!$A$35:$A$71=3)*ROW(Overall!$A$35:$A$71))-ROW(Overall!$A$34), ROWS(Overall!$L$35:O37))),"")</f>
        <v>BTL1500814</v>
      </c>
      <c r="E31" s="128" cm="1">
        <f t="array" ref="E31">IFERROR(INDEX(Overall!F$35:F$71,_xlfn.AGGREGATE(15,3,((Overall!$A$35:$A$71=3)/(Overall!$A$35:$A$71=3)*ROW(Overall!$A$35:$A$71))-ROW(Overall!$A$34), ROWS(Overall!$L$35:P37))),"")</f>
        <v>0</v>
      </c>
      <c r="F31" s="129" cm="1">
        <f t="array" ref="F31">IFERROR(INDEX(Overall!G$35:G$71,_xlfn.AGGREGATE(15,3,((Overall!$A$35:$A$71=3)/(Overall!$A$35:$A$71=3)*ROW(Overall!$A$35:$A$71))-ROW(Overall!$A$34), ROWS(Overall!$L$35:Q37))),"")</f>
        <v>103883</v>
      </c>
      <c r="G31" s="96" cm="1">
        <f t="array" ref="G31">IFERROR(INDEX(Overall!H$35:H$71,_xlfn.AGGREGATE(15,3,((Overall!$A$35:$A$71=3)/(Overall!$A$35:$A$71=3)*ROW(Overall!$A$35:$A$71))-ROW(Overall!$A$34), ROWS(Overall!$L$35:R37))),"")</f>
        <v>62500</v>
      </c>
      <c r="H31" s="96" cm="1">
        <f t="array" ref="H31">IFERROR(INDEX(Overall!I$35:I$71,_xlfn.AGGREGATE(15,3,((Overall!$A$35:$A$71=3)/(Overall!$A$35:$A$71=3)*ROW(Overall!$A$35:$A$71))-ROW(Overall!$A$34), ROWS(Overall!$L$35:S37))),"")</f>
        <v>41383</v>
      </c>
      <c r="I31" s="62" t="str" cm="1">
        <f t="array" ref="I31">IFERROR(INDEX(Overall!J$35:J$71,_xlfn.AGGREGATE(15,3,((Overall!$A$35:$A$71=3)/(Overall!$A$35:$A$71=3)*ROW(Overall!$A$35:$A$71))-ROW(Overall!$A$34), ROWS(Overall!$L$35:T37))),"")</f>
        <v>CDN481RS</v>
      </c>
      <c r="J31" s="53" cm="1">
        <f t="array" ref="J31">IFERROR(INDEX(Overall!K$35:K$71,_xlfn.AGGREGATE(15,3,((Overall!$A$35:$A$71=3)/(Overall!$A$35:$A$71=3)*ROW(Overall!$A$35:$A$71))-ROW(Overall!$A$34),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IFERROR(INDEX(Overall!B$35:B$71,_xlfn.AGGREGATE(15,3,((Overall!$A$35:$A$71=3)/(Overall!$A$35:$A$71=3)*ROW(Overall!$A$35:$A$71))-ROW(Overall!$A$34), ROWS(Overall!$L$35:L38))),"")</f>
        <v>C</v>
      </c>
      <c r="B32" s="60" cm="1">
        <f t="array" ref="B32">IFERROR(INDEX(Overall!C$35:C$71,_xlfn.AGGREGATE(15,3,((Overall!$A$35:$A$71=3)/(Overall!$A$35:$A$71=3)*ROW(Overall!$A$35:$A$71))-ROW(Overall!$A$34), ROWS(Overall!$L$35:M38))),"")</f>
        <v>45013</v>
      </c>
      <c r="C32" s="87" cm="1">
        <f t="array" ref="C32">IFERROR(INDEX(Overall!D$35:D$71,_xlfn.AGGREGATE(15,3,((Overall!$A$35:$A$71=3)/(Overall!$A$35:$A$71=3)*ROW(Overall!$A$35:$A$71))-ROW(Overall!$A$34), ROWS(Overall!$L$35:N38))),"")</f>
        <v>419155</v>
      </c>
      <c r="D32" s="62" t="str" cm="1">
        <f t="array" ref="D32">IFERROR(INDEX(Overall!E$35:E$71,_xlfn.AGGREGATE(15,3,((Overall!$A$35:$A$71=3)/(Overall!$A$35:$A$71=3)*ROW(Overall!$A$35:$A$71))-ROW(Overall!$A$34), ROWS(Overall!$L$35:O38))),"")</f>
        <v>BTL1500814</v>
      </c>
      <c r="E32" s="128" cm="1">
        <f t="array" ref="E32">IFERROR(INDEX(Overall!F$35:F$71,_xlfn.AGGREGATE(15,3,((Overall!$A$35:$A$71=3)/(Overall!$A$35:$A$71=3)*ROW(Overall!$A$35:$A$71))-ROW(Overall!$A$34), ROWS(Overall!$L$35:P38))),"")</f>
        <v>0</v>
      </c>
      <c r="F32" s="129" cm="1">
        <f t="array" ref="F32">IFERROR(INDEX(Overall!G$35:G$71,_xlfn.AGGREGATE(15,3,((Overall!$A$35:$A$71=3)/(Overall!$A$35:$A$71=3)*ROW(Overall!$A$35:$A$71))-ROW(Overall!$A$34), ROWS(Overall!$L$35:Q38))),"")</f>
        <v>101043</v>
      </c>
      <c r="G32" s="96" cm="1">
        <f t="array" ref="G32">IFERROR(INDEX(Overall!H$35:H$71,_xlfn.AGGREGATE(15,3,((Overall!$A$35:$A$71=3)/(Overall!$A$35:$A$71=3)*ROW(Overall!$A$35:$A$71))-ROW(Overall!$A$34), ROWS(Overall!$L$35:R38))),"")</f>
        <v>110000</v>
      </c>
      <c r="H32" s="96" cm="1">
        <f t="array" ref="H32">IFERROR(INDEX(Overall!I$35:I$71,_xlfn.AGGREGATE(15,3,((Overall!$A$35:$A$71=3)/(Overall!$A$35:$A$71=3)*ROW(Overall!$A$35:$A$71))-ROW(Overall!$A$34), ROWS(Overall!$L$35:S38))),"")</f>
        <v>-8957</v>
      </c>
      <c r="I32" s="62" t="str" cm="1">
        <f t="array" ref="I32">IFERROR(INDEX(Overall!J$35:J$71,_xlfn.AGGREGATE(15,3,((Overall!$A$35:$A$71=3)/(Overall!$A$35:$A$71=3)*ROW(Overall!$A$35:$A$71))-ROW(Overall!$A$34), ROWS(Overall!$L$35:T38))),"")</f>
        <v>PR044664</v>
      </c>
      <c r="J32" s="53" cm="1">
        <f t="array" ref="J32">IFERROR(INDEX(Overall!K$35:K$71,_xlfn.AGGREGATE(15,3,((Overall!$A$35:$A$71=3)/(Overall!$A$35:$A$71=3)*ROW(Overall!$A$35:$A$71))-ROW(Overall!$A$34), ROWS(Overall!$L$35:U38))),"")</f>
        <v>0</v>
      </c>
    </row>
    <row r="33" spans="1:10" x14ac:dyDescent="0.25">
      <c r="A33" s="124" t="str" cm="1">
        <f t="array" ref="A33">IFERROR(INDEX(Overall!B$35:B$71,_xlfn.AGGREGATE(15,3,((Overall!$A$35:$A$71=3)/(Overall!$A$35:$A$71=3)*ROW(Overall!$A$35:$A$71))-ROW(Overall!$A$34), ROWS(Overall!$L$35:L39))),"")</f>
        <v>B</v>
      </c>
      <c r="B33" s="60" cm="1">
        <f t="array" ref="B33">IFERROR(INDEX(Overall!C$35:C$71,_xlfn.AGGREGATE(15,3,((Overall!$A$35:$A$71=3)/(Overall!$A$35:$A$71=3)*ROW(Overall!$A$35:$A$71))-ROW(Overall!$A$34), ROWS(Overall!$L$35:M39))),"")</f>
        <v>45013</v>
      </c>
      <c r="C33" s="87" cm="1">
        <f t="array" ref="C33">IFERROR(INDEX(Overall!D$35:D$71,_xlfn.AGGREGATE(15,3,((Overall!$A$35:$A$71=3)/(Overall!$A$35:$A$71=3)*ROW(Overall!$A$35:$A$71))-ROW(Overall!$A$34), ROWS(Overall!$L$35:N39))),"")</f>
        <v>419156</v>
      </c>
      <c r="D33" s="62" t="str" cm="1">
        <f t="array" ref="D33">IFERROR(INDEX(Overall!E$35:E$71,_xlfn.AGGREGATE(15,3,((Overall!$A$35:$A$71=3)/(Overall!$A$35:$A$71=3)*ROW(Overall!$A$35:$A$71))-ROW(Overall!$A$34), ROWS(Overall!$L$35:O39))),"")</f>
        <v>BTL1500814</v>
      </c>
      <c r="E33" s="128" cm="1">
        <f t="array" ref="E33">IFERROR(INDEX(Overall!F$35:F$71,_xlfn.AGGREGATE(15,3,((Overall!$A$35:$A$71=3)/(Overall!$A$35:$A$71=3)*ROW(Overall!$A$35:$A$71))-ROW(Overall!$A$34), ROWS(Overall!$L$35:P39))),"")</f>
        <v>0</v>
      </c>
      <c r="F33" s="129" cm="1">
        <f t="array" ref="F33">IFERROR(INDEX(Overall!G$35:G$71,_xlfn.AGGREGATE(15,3,((Overall!$A$35:$A$71=3)/(Overall!$A$35:$A$71=3)*ROW(Overall!$A$35:$A$71))-ROW(Overall!$A$34), ROWS(Overall!$L$35:Q39))),"")</f>
        <v>139761</v>
      </c>
      <c r="G33" s="96" cm="1">
        <f t="array" ref="G33">IFERROR(INDEX(Overall!H$35:H$71,_xlfn.AGGREGATE(15,3,((Overall!$A$35:$A$71=3)/(Overall!$A$35:$A$71=3)*ROW(Overall!$A$35:$A$71))-ROW(Overall!$A$34), ROWS(Overall!$L$35:R39))),"")</f>
        <v>90000</v>
      </c>
      <c r="H33" s="96" cm="1">
        <f t="array" ref="H33">IFERROR(INDEX(Overall!I$35:I$71,_xlfn.AGGREGATE(15,3,((Overall!$A$35:$A$71=3)/(Overall!$A$35:$A$71=3)*ROW(Overall!$A$35:$A$71))-ROW(Overall!$A$34), ROWS(Overall!$L$35:S39))),"")</f>
        <v>49761</v>
      </c>
      <c r="I33" s="62" t="str" cm="1">
        <f t="array" ref="I33">IFERROR(INDEX(Overall!J$35:J$71,_xlfn.AGGREGATE(15,3,((Overall!$A$35:$A$71=3)/(Overall!$A$35:$A$71=3)*ROW(Overall!$A$35:$A$71))-ROW(Overall!$A$34), ROWS(Overall!$L$35:T39))),"")</f>
        <v>CMCDAN01</v>
      </c>
      <c r="J33" s="53" cm="1">
        <f t="array" ref="J33">IFERROR(INDEX(Overall!K$35:K$71,_xlfn.AGGREGATE(15,3,((Overall!$A$35:$A$71=3)/(Overall!$A$35:$A$71=3)*ROW(Overall!$A$35:$A$71))-ROW(Overall!$A$34), ROWS(Overall!$L$35:U39))),"")</f>
        <v>0</v>
      </c>
    </row>
    <row r="34" spans="1:10" x14ac:dyDescent="0.25">
      <c r="A34" s="124" t="str" cm="1">
        <f t="array" ref="A34">IFERROR(INDEX(Overall!B$35:B$71,_xlfn.AGGREGATE(15,3,((Overall!$A$35:$A$71=3)/(Overall!$A$35:$A$71=3)*ROW(Overall!$A$35:$A$71))-ROW(Overall!$A$34), ROWS(Overall!$L$35:L40))),"")</f>
        <v>B</v>
      </c>
      <c r="B34" s="60" cm="1">
        <f t="array" ref="B34">IFERROR(INDEX(Overall!C$35:C$71,_xlfn.AGGREGATE(15,3,((Overall!$A$35:$A$71=3)/(Overall!$A$35:$A$71=3)*ROW(Overall!$A$35:$A$71))-ROW(Overall!$A$34), ROWS(Overall!$L$35:M40))),"")</f>
        <v>45014</v>
      </c>
      <c r="C34" s="87" cm="1">
        <f t="array" ref="C34">IFERROR(INDEX(Overall!D$35:D$71,_xlfn.AGGREGATE(15,3,((Overall!$A$35:$A$71=3)/(Overall!$A$35:$A$71=3)*ROW(Overall!$A$35:$A$71))-ROW(Overall!$A$34), ROWS(Overall!$L$35:N40))),"")</f>
        <v>419157</v>
      </c>
      <c r="D34" s="62" t="str" cm="1">
        <f t="array" ref="D34">IFERROR(INDEX(Overall!E$35:E$71,_xlfn.AGGREGATE(15,3,((Overall!$A$35:$A$71=3)/(Overall!$A$35:$A$71=3)*ROW(Overall!$A$35:$A$71))-ROW(Overall!$A$34), ROWS(Overall!$L$35:O40))),"")</f>
        <v>BTL1500814</v>
      </c>
      <c r="E34" s="128" cm="1">
        <f t="array" ref="E34">IFERROR(INDEX(Overall!F$35:F$71,_xlfn.AGGREGATE(15,3,((Overall!$A$35:$A$71=3)/(Overall!$A$35:$A$71=3)*ROW(Overall!$A$35:$A$71))-ROW(Overall!$A$34), ROWS(Overall!$L$35:P40))),"")</f>
        <v>0</v>
      </c>
      <c r="F34" s="129" cm="1">
        <f t="array" ref="F34">IFERROR(INDEX(Overall!G$35:G$71,_xlfn.AGGREGATE(15,3,((Overall!$A$35:$A$71=3)/(Overall!$A$35:$A$71=3)*ROW(Overall!$A$35:$A$71))-ROW(Overall!$A$34), ROWS(Overall!$L$35:Q40))),"")</f>
        <v>44226</v>
      </c>
      <c r="G34" s="96" cm="1">
        <f t="array" ref="G34">IFERROR(INDEX(Overall!H$35:H$71,_xlfn.AGGREGATE(15,3,((Overall!$A$35:$A$71=3)/(Overall!$A$35:$A$71=3)*ROW(Overall!$A$35:$A$71))-ROW(Overall!$A$34), ROWS(Overall!$L$35:R40))),"")</f>
        <v>35000</v>
      </c>
      <c r="H34" s="96" cm="1">
        <f t="array" ref="H34">IFERROR(INDEX(Overall!I$35:I$71,_xlfn.AGGREGATE(15,3,((Overall!$A$35:$A$71=3)/(Overall!$A$35:$A$71=3)*ROW(Overall!$A$35:$A$71))-ROW(Overall!$A$34), ROWS(Overall!$L$35:S40))),"")</f>
        <v>9226</v>
      </c>
      <c r="I34" s="62" t="str" cm="1">
        <f t="array" ref="I34">IFERROR(INDEX(Overall!J$35:J$71,_xlfn.AGGREGATE(15,3,((Overall!$A$35:$A$71=3)/(Overall!$A$35:$A$71=3)*ROW(Overall!$A$35:$A$71))-ROW(Overall!$A$34), ROWS(Overall!$L$35:T40))),"")</f>
        <v>SWILLI03</v>
      </c>
      <c r="J34" s="53" cm="1">
        <f t="array" ref="J34">IFERROR(INDEX(Overall!K$35:K$71,_xlfn.AGGREGATE(15,3,((Overall!$A$35:$A$71=3)/(Overall!$A$35:$A$71=3)*ROW(Overall!$A$35:$A$71))-ROW(Overall!$A$34), ROWS(Overall!$L$35:U40))),"")</f>
        <v>0</v>
      </c>
    </row>
    <row r="35" spans="1:10" x14ac:dyDescent="0.25">
      <c r="A35" s="124" t="str" cm="1">
        <f t="array" ref="A35">IFERROR(INDEX(Overall!B$35:B$71,_xlfn.AGGREGATE(15,3,((Overall!$A$35:$A$71=3)/(Overall!$A$35:$A$71=3)*ROW(Overall!$A$35:$A$71))-ROW(Overall!$A$34), ROWS(Overall!$L$35:L41))),"")</f>
        <v>B</v>
      </c>
      <c r="B35" s="60" cm="1">
        <f t="array" ref="B35">IFERROR(INDEX(Overall!C$35:C$71,_xlfn.AGGREGATE(15,3,((Overall!$A$35:$A$71=3)/(Overall!$A$35:$A$71=3)*ROW(Overall!$A$35:$A$71))-ROW(Overall!$A$34), ROWS(Overall!$L$35:M41))),"")</f>
        <v>45014</v>
      </c>
      <c r="C35" s="87" cm="1">
        <f t="array" ref="C35">IFERROR(INDEX(Overall!D$35:D$71,_xlfn.AGGREGATE(15,3,((Overall!$A$35:$A$71=3)/(Overall!$A$35:$A$71=3)*ROW(Overall!$A$35:$A$71))-ROW(Overall!$A$34), ROWS(Overall!$L$35:N41))),"")</f>
        <v>419157</v>
      </c>
      <c r="D35" s="62" t="str" cm="1">
        <f t="array" ref="D35">IFERROR(INDEX(Overall!E$35:E$71,_xlfn.AGGREGATE(15,3,((Overall!$A$35:$A$71=3)/(Overall!$A$35:$A$71=3)*ROW(Overall!$A$35:$A$71))-ROW(Overall!$A$34), ROWS(Overall!$L$35:O41))),"")</f>
        <v>CLO198645</v>
      </c>
      <c r="E35" s="128" cm="1">
        <f t="array" ref="E35">IFERROR(INDEX(Overall!F$35:F$71,_xlfn.AGGREGATE(15,3,((Overall!$A$35:$A$71=3)/(Overall!$A$35:$A$71=3)*ROW(Overall!$A$35:$A$71))-ROW(Overall!$A$34), ROWS(Overall!$L$35:P41))),"")</f>
        <v>0</v>
      </c>
      <c r="F35" s="129" cm="1">
        <f t="array" ref="F35">IFERROR(INDEX(Overall!G$35:G$71,_xlfn.AGGREGATE(15,3,((Overall!$A$35:$A$71=3)/(Overall!$A$35:$A$71=3)*ROW(Overall!$A$35:$A$71))-ROW(Overall!$A$34), ROWS(Overall!$L$35:Q41))),"")</f>
        <v>44991</v>
      </c>
      <c r="G35" s="96" cm="1">
        <f t="array" ref="G35">IFERROR(INDEX(Overall!H$35:H$71,_xlfn.AGGREGATE(15,3,((Overall!$A$35:$A$71=3)/(Overall!$A$35:$A$71=3)*ROW(Overall!$A$35:$A$71))-ROW(Overall!$A$34), ROWS(Overall!$L$35:R41))),"")</f>
        <v>53520</v>
      </c>
      <c r="H35" s="96" cm="1">
        <f t="array" ref="H35">IFERROR(INDEX(Overall!I$35:I$71,_xlfn.AGGREGATE(15,3,((Overall!$A$35:$A$71=3)/(Overall!$A$35:$A$71=3)*ROW(Overall!$A$35:$A$71))-ROW(Overall!$A$34), ROWS(Overall!$L$35:S41))),"")</f>
        <v>-8529</v>
      </c>
      <c r="I35" s="62" t="str" cm="1">
        <f t="array" ref="I35">IFERROR(INDEX(Overall!J$35:J$71,_xlfn.AGGREGATE(15,3,((Overall!$A$35:$A$71=3)/(Overall!$A$35:$A$71=3)*ROW(Overall!$A$35:$A$71))-ROW(Overall!$A$34), ROWS(Overall!$L$35:T41))),"")</f>
        <v>PR048208</v>
      </c>
      <c r="J35" s="53" cm="1">
        <f t="array" ref="J35">IFERROR(INDEX(Overall!K$35:K$71,_xlfn.AGGREGATE(15,3,((Overall!$A$35:$A$71=3)/(Overall!$A$35:$A$71=3)*ROW(Overall!$A$35:$A$71))-ROW(Overall!$A$34), ROWS(Overall!$L$35:U41))),"")</f>
        <v>0</v>
      </c>
    </row>
    <row r="36" spans="1:10" x14ac:dyDescent="0.25">
      <c r="A36" s="124" t="str" cm="1">
        <f t="array" ref="A36">IFERROR(INDEX(Overall!B$35:B$71,_xlfn.AGGREGATE(15,3,((Overall!$A$35:$A$71=3)/(Overall!$A$35:$A$71=3)*ROW(Overall!$A$35:$A$71))-ROW(Overall!$A$34), ROWS(Overall!$L$35:L42))),"")</f>
        <v>B</v>
      </c>
      <c r="B36" s="60" cm="1">
        <f t="array" ref="B36">IFERROR(INDEX(Overall!C$35:C$71,_xlfn.AGGREGATE(15,3,((Overall!$A$35:$A$71=3)/(Overall!$A$35:$A$71=3)*ROW(Overall!$A$35:$A$71))-ROW(Overall!$A$34), ROWS(Overall!$L$35:M42))),"")</f>
        <v>45014</v>
      </c>
      <c r="C36" s="87" cm="1">
        <f t="array" ref="C36">IFERROR(INDEX(Overall!D$35:D$71,_xlfn.AGGREGATE(15,3,((Overall!$A$35:$A$71=3)/(Overall!$A$35:$A$71=3)*ROW(Overall!$A$35:$A$71))-ROW(Overall!$A$34), ROWS(Overall!$L$35:N42))),"")</f>
        <v>419157</v>
      </c>
      <c r="D36" s="62" t="str" cm="1">
        <f t="array" ref="D36">IFERROR(INDEX(Overall!E$35:E$71,_xlfn.AGGREGATE(15,3,((Overall!$A$35:$A$71=3)/(Overall!$A$35:$A$71=3)*ROW(Overall!$A$35:$A$71))-ROW(Overall!$A$34), ROWS(Overall!$L$35:O42))),"")</f>
        <v>LBL1501512</v>
      </c>
      <c r="E36" s="128" cm="1">
        <f t="array" ref="E36">IFERROR(INDEX(Overall!F$35:F$71,_xlfn.AGGREGATE(15,3,((Overall!$A$35:$A$71=3)/(Overall!$A$35:$A$71=3)*ROW(Overall!$A$35:$A$71))-ROW(Overall!$A$34), ROWS(Overall!$L$35:P42))),"")</f>
        <v>0</v>
      </c>
      <c r="F36" s="129" cm="1">
        <f t="array" ref="F36">IFERROR(INDEX(Overall!G$35:G$71,_xlfn.AGGREGATE(15,3,((Overall!$A$35:$A$71=3)/(Overall!$A$35:$A$71=3)*ROW(Overall!$A$35:$A$71))-ROW(Overall!$A$34), ROWS(Overall!$L$35:Q42))),"")</f>
        <v>44991</v>
      </c>
      <c r="G36" s="96" cm="1">
        <f t="array" ref="G36">IFERROR(INDEX(Overall!H$35:H$71,_xlfn.AGGREGATE(15,3,((Overall!$A$35:$A$71=3)/(Overall!$A$35:$A$71=3)*ROW(Overall!$A$35:$A$71))-ROW(Overall!$A$34), ROWS(Overall!$L$35:R42))),"")</f>
        <v>48400</v>
      </c>
      <c r="H36" s="96" cm="1">
        <f t="array" ref="H36">IFERROR(INDEX(Overall!I$35:I$71,_xlfn.AGGREGATE(15,3,((Overall!$A$35:$A$71=3)/(Overall!$A$35:$A$71=3)*ROW(Overall!$A$35:$A$71))-ROW(Overall!$A$34), ROWS(Overall!$L$35:S42))),"")</f>
        <v>-3409</v>
      </c>
      <c r="I36" s="62" t="str" cm="1">
        <f t="array" ref="I36">IFERROR(INDEX(Overall!J$35:J$71,_xlfn.AGGREGATE(15,3,((Overall!$A$35:$A$71=3)/(Overall!$A$35:$A$71=3)*ROW(Overall!$A$35:$A$71))-ROW(Overall!$A$34), ROWS(Overall!$L$35:T42))),"")</f>
        <v>PR048208</v>
      </c>
      <c r="J36" s="53" cm="1">
        <f t="array" ref="J36">IFERROR(INDEX(Overall!K$35:K$71,_xlfn.AGGREGATE(15,3,((Overall!$A$35:$A$71=3)/(Overall!$A$35:$A$71=3)*ROW(Overall!$A$35:$A$71))-ROW(Overall!$A$34), ROWS(Overall!$L$35:U42))),"")</f>
        <v>0</v>
      </c>
    </row>
    <row r="37" spans="1:10" x14ac:dyDescent="0.25">
      <c r="A37" s="124" t="str" cm="1">
        <f t="array" ref="A37">IFERROR(INDEX(Overall!B$35:B$71,_xlfn.AGGREGATE(15,3,((Overall!$A$35:$A$71=3)/(Overall!$A$35:$A$71=3)*ROW(Overall!$A$35:$A$71))-ROW(Overall!$A$34), ROWS(Overall!$L$35:L43))),"")</f>
        <v>B</v>
      </c>
      <c r="B37" s="60" cm="1">
        <f t="array" ref="B37">IFERROR(INDEX(Overall!C$35:C$71,_xlfn.AGGREGATE(15,3,((Overall!$A$35:$A$71=3)/(Overall!$A$35:$A$71=3)*ROW(Overall!$A$35:$A$71))-ROW(Overall!$A$34), ROWS(Overall!$L$35:M43))),"")</f>
        <v>45014</v>
      </c>
      <c r="C37" s="87" cm="1">
        <f t="array" ref="C37">IFERROR(INDEX(Overall!D$35:D$71,_xlfn.AGGREGATE(15,3,((Overall!$A$35:$A$71=3)/(Overall!$A$35:$A$71=3)*ROW(Overall!$A$35:$A$71))-ROW(Overall!$A$34), ROWS(Overall!$L$35:N43))),"")</f>
        <v>419157</v>
      </c>
      <c r="D37" s="62" t="str" cm="1">
        <f t="array" ref="D37">IFERROR(INDEX(Overall!E$35:E$71,_xlfn.AGGREGATE(15,3,((Overall!$A$35:$A$71=3)/(Overall!$A$35:$A$71=3)*ROW(Overall!$A$35:$A$71))-ROW(Overall!$A$34), ROWS(Overall!$L$35:O43))),"")</f>
        <v>LBL1502126</v>
      </c>
      <c r="E37" s="128" cm="1">
        <f t="array" ref="E37">IFERROR(INDEX(Overall!F$35:F$71,_xlfn.AGGREGATE(15,3,((Overall!$A$35:$A$71=3)/(Overall!$A$35:$A$71=3)*ROW(Overall!$A$35:$A$71))-ROW(Overall!$A$34), ROWS(Overall!$L$35:P43))),"")</f>
        <v>0</v>
      </c>
      <c r="F37" s="129" cm="1">
        <f t="array" ref="F37">IFERROR(INDEX(Overall!G$35:G$71,_xlfn.AGGREGATE(15,3,((Overall!$A$35:$A$71=3)/(Overall!$A$35:$A$71=3)*ROW(Overall!$A$35:$A$71))-ROW(Overall!$A$34), ROWS(Overall!$L$35:Q43))),"")</f>
        <v>44991</v>
      </c>
      <c r="G37" s="96" cm="1">
        <f t="array" ref="G37">IFERROR(INDEX(Overall!H$35:H$71,_xlfn.AGGREGATE(15,3,((Overall!$A$35:$A$71=3)/(Overall!$A$35:$A$71=3)*ROW(Overall!$A$35:$A$71))-ROW(Overall!$A$34), ROWS(Overall!$L$35:R43))),"")</f>
        <v>48410</v>
      </c>
      <c r="H37" s="96" cm="1">
        <f t="array" ref="H37">IFERROR(INDEX(Overall!I$35:I$71,_xlfn.AGGREGATE(15,3,((Overall!$A$35:$A$71=3)/(Overall!$A$35:$A$71=3)*ROW(Overall!$A$35:$A$71))-ROW(Overall!$A$34), ROWS(Overall!$L$35:S43))),"")</f>
        <v>-3419</v>
      </c>
      <c r="I37" s="62" t="str" cm="1">
        <f t="array" ref="I37">IFERROR(INDEX(Overall!J$35:J$71,_xlfn.AGGREGATE(15,3,((Overall!$A$35:$A$71=3)/(Overall!$A$35:$A$71=3)*ROW(Overall!$A$35:$A$71))-ROW(Overall!$A$34), ROWS(Overall!$L$35:T43))),"")</f>
        <v>PR048208</v>
      </c>
      <c r="J37" s="53" cm="1">
        <f t="array" ref="J37">IFERROR(INDEX(Overall!K$35:K$71,_xlfn.AGGREGATE(15,3,((Overall!$A$35:$A$71=3)/(Overall!$A$35:$A$71=3)*ROW(Overall!$A$35:$A$71))-ROW(Overall!$A$34), ROWS(Overall!$L$35:U43))),"")</f>
        <v>0</v>
      </c>
    </row>
    <row r="38" spans="1:10" x14ac:dyDescent="0.25">
      <c r="A38" s="124" t="str" cm="1">
        <f t="array" ref="A38">IFERROR(INDEX(Overall!B$35:B$71,_xlfn.AGGREGATE(15,3,((Overall!$A$35:$A$71=3)/(Overall!$A$35:$A$71=3)*ROW(Overall!$A$35:$A$71))-ROW(Overall!$A$34), ROWS(Overall!$L$35:L44))),"")</f>
        <v/>
      </c>
      <c r="B38" s="60" t="str" cm="1">
        <f t="array" ref="B38">IFERROR(INDEX(Overall!C$35:C$71,_xlfn.AGGREGATE(15,3,((Overall!$A$35:$A$71=3)/(Overall!$A$35:$A$71=3)*ROW(Overall!$A$35:$A$71))-ROW(Overall!$A$34), ROWS(Overall!$L$35:M44))),"")</f>
        <v/>
      </c>
      <c r="C38" s="87" t="str" cm="1">
        <f t="array" ref="C38">IFERROR(INDEX(Overall!D$35:D$71,_xlfn.AGGREGATE(15,3,((Overall!$A$35:$A$71=3)/(Overall!$A$35:$A$71=3)*ROW(Overall!$A$35:$A$71))-ROW(Overall!$A$34), ROWS(Overall!$L$35:N44))),"")</f>
        <v/>
      </c>
      <c r="D38" s="62" t="str" cm="1">
        <f t="array" ref="D38">IFERROR(INDEX(Overall!E$35:E$71,_xlfn.AGGREGATE(15,3,((Overall!$A$35:$A$71=3)/(Overall!$A$35:$A$71=3)*ROW(Overall!$A$35:$A$71))-ROW(Overall!$A$34), ROWS(Overall!$L$35:O44))),"")</f>
        <v/>
      </c>
      <c r="E38" s="128" t="str" cm="1">
        <f t="array" ref="E38">IFERROR(INDEX(Overall!F$35:F$71,_xlfn.AGGREGATE(15,3,((Overall!$A$35:$A$71=3)/(Overall!$A$35:$A$71=3)*ROW(Overall!$A$35:$A$71))-ROW(Overall!$A$34), ROWS(Overall!$L$35:P44))),"")</f>
        <v/>
      </c>
      <c r="F38" s="129" t="str" cm="1">
        <f t="array" ref="F38">IFERROR(INDEX(Overall!G$35:G$71,_xlfn.AGGREGATE(15,3,((Overall!$A$35:$A$71=3)/(Overall!$A$35:$A$71=3)*ROW(Overall!$A$35:$A$71))-ROW(Overall!$A$34), ROWS(Overall!$L$35:Q44))),"")</f>
        <v/>
      </c>
      <c r="G38" s="96" t="str" cm="1">
        <f t="array" ref="G38">IFERROR(INDEX(Overall!H$35:H$71,_xlfn.AGGREGATE(15,3,((Overall!$A$35:$A$71=3)/(Overall!$A$35:$A$71=3)*ROW(Overall!$A$35:$A$71))-ROW(Overall!$A$34), ROWS(Overall!$L$35:R44))),"")</f>
        <v/>
      </c>
      <c r="H38" s="96" t="str" cm="1">
        <f t="array" ref="H38">IFERROR(INDEX(Overall!I$35:I$71,_xlfn.AGGREGATE(15,3,((Overall!$A$35:$A$71=3)/(Overall!$A$35:$A$71=3)*ROW(Overall!$A$35:$A$71))-ROW(Overall!$A$34), ROWS(Overall!$L$35:S44))),"")</f>
        <v/>
      </c>
      <c r="I38" s="62" t="str" cm="1">
        <f t="array" ref="I38">IFERROR(INDEX(Overall!J$35:J$71,_xlfn.AGGREGATE(15,3,((Overall!$A$35:$A$71=3)/(Overall!$A$35:$A$71=3)*ROW(Overall!$A$35:$A$71))-ROW(Overall!$A$34), ROWS(Overall!$L$35:T44))),"")</f>
        <v/>
      </c>
      <c r="J38" s="53" t="str" cm="1">
        <f t="array" ref="J38">IFERROR(INDEX(Overall!K$35:K$71,_xlfn.AGGREGATE(15,3,((Overall!$A$35:$A$71=3)/(Overall!$A$35:$A$71=3)*ROW(Overall!$A$35:$A$71))-ROW(Overall!$A$34),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IFERROR(INDEX(Overall!B$35:B$71,_xlfn.AGGREGATE(15,3,((Overall!$A$35:$A$71=3)/(Overall!$A$35:$A$71=3)*ROW(Overall!$A$35:$A$71))-ROW(Overall!$A$34), ROWS(Overall!$L$35:L45))),"")</f>
        <v/>
      </c>
      <c r="B39" s="60" t="str" cm="1">
        <f t="array" ref="B39">IFERROR(INDEX(Overall!C$35:C$71,_xlfn.AGGREGATE(15,3,((Overall!$A$35:$A$71=3)/(Overall!$A$35:$A$71=3)*ROW(Overall!$A$35:$A$71))-ROW(Overall!$A$34), ROWS(Overall!$L$35:M45))),"")</f>
        <v/>
      </c>
      <c r="C39" s="87" t="str" cm="1">
        <f t="array" ref="C39">IFERROR(INDEX(Overall!D$35:D$71,_xlfn.AGGREGATE(15,3,((Overall!$A$35:$A$71=3)/(Overall!$A$35:$A$71=3)*ROW(Overall!$A$35:$A$71))-ROW(Overall!$A$34), ROWS(Overall!$L$35:N45))),"")</f>
        <v/>
      </c>
      <c r="D39" s="62" t="str" cm="1">
        <f t="array" ref="D39">IFERROR(INDEX(Overall!E$35:E$71,_xlfn.AGGREGATE(15,3,((Overall!$A$35:$A$71=3)/(Overall!$A$35:$A$71=3)*ROW(Overall!$A$35:$A$71))-ROW(Overall!$A$34), ROWS(Overall!$L$35:O45))),"")</f>
        <v/>
      </c>
      <c r="E39" s="128" t="str" cm="1">
        <f t="array" ref="E39">IFERROR(INDEX(Overall!F$35:F$71,_xlfn.AGGREGATE(15,3,((Overall!$A$35:$A$71=3)/(Overall!$A$35:$A$71=3)*ROW(Overall!$A$35:$A$71))-ROW(Overall!$A$34), ROWS(Overall!$L$35:P45))),"")</f>
        <v/>
      </c>
      <c r="F39" s="129" t="str" cm="1">
        <f t="array" ref="F39">IFERROR(INDEX(Overall!G$35:G$71,_xlfn.AGGREGATE(15,3,((Overall!$A$35:$A$71=3)/(Overall!$A$35:$A$71=3)*ROW(Overall!$A$35:$A$71))-ROW(Overall!$A$34), ROWS(Overall!$L$35:Q45))),"")</f>
        <v/>
      </c>
      <c r="G39" s="96" t="str" cm="1">
        <f t="array" ref="G39">IFERROR(INDEX(Overall!H$35:H$71,_xlfn.AGGREGATE(15,3,((Overall!$A$35:$A$71=3)/(Overall!$A$35:$A$71=3)*ROW(Overall!$A$35:$A$71))-ROW(Overall!$A$34), ROWS(Overall!$L$35:R45))),"")</f>
        <v/>
      </c>
      <c r="H39" s="96" t="str" cm="1">
        <f t="array" ref="H39">IFERROR(INDEX(Overall!I$35:I$71,_xlfn.AGGREGATE(15,3,((Overall!$A$35:$A$71=3)/(Overall!$A$35:$A$71=3)*ROW(Overall!$A$35:$A$71))-ROW(Overall!$A$34), ROWS(Overall!$L$35:S45))),"")</f>
        <v/>
      </c>
      <c r="I39" s="62" t="str" cm="1">
        <f t="array" ref="I39">IFERROR(INDEX(Overall!J$35:J$71,_xlfn.AGGREGATE(15,3,((Overall!$A$35:$A$71=3)/(Overall!$A$35:$A$71=3)*ROW(Overall!$A$35:$A$71))-ROW(Overall!$A$34), ROWS(Overall!$L$35:T45))),"")</f>
        <v/>
      </c>
      <c r="J39" s="53" t="str" cm="1">
        <f t="array" ref="J39">IFERROR(INDEX(Overall!K$35:K$71,_xlfn.AGGREGATE(15,3,((Overall!$A$35:$A$71=3)/(Overall!$A$35:$A$71=3)*ROW(Overall!$A$35:$A$71))-ROW(Overall!$A$34),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IFERROR(INDEX(Overall!B$35:B$71,_xlfn.AGGREGATE(15,3,((Overall!$A$35:$A$71=3)/(Overall!$A$35:$A$71=3)*ROW(Overall!$A$35:$A$71))-ROW(Overall!$A$34), ROWS(Overall!$L$35:L46))),"")</f>
        <v/>
      </c>
      <c r="B40" s="60" t="str" cm="1">
        <f t="array" ref="B40">IFERROR(INDEX(Overall!C$35:C$71,_xlfn.AGGREGATE(15,3,((Overall!$A$35:$A$71=3)/(Overall!$A$35:$A$71=3)*ROW(Overall!$A$35:$A$71))-ROW(Overall!$A$34), ROWS(Overall!$L$35:M46))),"")</f>
        <v/>
      </c>
      <c r="C40" s="87" t="str" cm="1">
        <f t="array" ref="C40">IFERROR(INDEX(Overall!D$35:D$71,_xlfn.AGGREGATE(15,3,((Overall!$A$35:$A$71=3)/(Overall!$A$35:$A$71=3)*ROW(Overall!$A$35:$A$71))-ROW(Overall!$A$34), ROWS(Overall!$L$35:N46))),"")</f>
        <v/>
      </c>
      <c r="D40" s="62" t="str" cm="1">
        <f t="array" ref="D40">IFERROR(INDEX(Overall!E$35:E$71,_xlfn.AGGREGATE(15,3,((Overall!$A$35:$A$71=3)/(Overall!$A$35:$A$71=3)*ROW(Overall!$A$35:$A$71))-ROW(Overall!$A$34), ROWS(Overall!$L$35:O46))),"")</f>
        <v/>
      </c>
      <c r="E40" s="128" t="str" cm="1">
        <f t="array" ref="E40">IFERROR(INDEX(Overall!F$35:F$71,_xlfn.AGGREGATE(15,3,((Overall!$A$35:$A$71=3)/(Overall!$A$35:$A$71=3)*ROW(Overall!$A$35:$A$71))-ROW(Overall!$A$34), ROWS(Overall!$L$35:P46))),"")</f>
        <v/>
      </c>
      <c r="F40" s="129" t="str" cm="1">
        <f t="array" ref="F40">IFERROR(INDEX(Overall!G$35:G$71,_xlfn.AGGREGATE(15,3,((Overall!$A$35:$A$71=3)/(Overall!$A$35:$A$71=3)*ROW(Overall!$A$35:$A$71))-ROW(Overall!$A$34), ROWS(Overall!$L$35:Q46))),"")</f>
        <v/>
      </c>
      <c r="G40" s="96" t="str" cm="1">
        <f t="array" ref="G40">IFERROR(INDEX(Overall!H$35:H$71,_xlfn.AGGREGATE(15,3,((Overall!$A$35:$A$71=3)/(Overall!$A$35:$A$71=3)*ROW(Overall!$A$35:$A$71))-ROW(Overall!$A$34), ROWS(Overall!$L$35:R46))),"")</f>
        <v/>
      </c>
      <c r="H40" s="96" t="str" cm="1">
        <f t="array" ref="H40">IFERROR(INDEX(Overall!I$35:I$71,_xlfn.AGGREGATE(15,3,((Overall!$A$35:$A$71=3)/(Overall!$A$35:$A$71=3)*ROW(Overall!$A$35:$A$71))-ROW(Overall!$A$34), ROWS(Overall!$L$35:S46))),"")</f>
        <v/>
      </c>
      <c r="I40" s="62" t="str" cm="1">
        <f t="array" ref="I40">IFERROR(INDEX(Overall!J$35:J$71,_xlfn.AGGREGATE(15,3,((Overall!$A$35:$A$71=3)/(Overall!$A$35:$A$71=3)*ROW(Overall!$A$35:$A$71))-ROW(Overall!$A$34), ROWS(Overall!$L$35:T46))),"")</f>
        <v/>
      </c>
      <c r="J40" s="53" t="str" cm="1">
        <f t="array" ref="J40">IFERROR(INDEX(Overall!K$35:K$71,_xlfn.AGGREGATE(15,3,((Overall!$A$35:$A$71=3)/(Overall!$A$35:$A$71=3)*ROW(Overall!$A$35:$A$71))-ROW(Overall!$A$34),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IFERROR(INDEX(Overall!B$35:B$71,_xlfn.AGGREGATE(15,3,((Overall!$A$35:$A$71=3)/(Overall!$A$35:$A$71=3)*ROW(Overall!$A$35:$A$71))-ROW(Overall!$A$34), ROWS(Overall!$L$35:L47))),"")</f>
        <v/>
      </c>
      <c r="B41" s="60" t="str" cm="1">
        <f t="array" ref="B41">IFERROR(INDEX(Overall!C$35:C$71,_xlfn.AGGREGATE(15,3,((Overall!$A$35:$A$71=3)/(Overall!$A$35:$A$71=3)*ROW(Overall!$A$35:$A$71))-ROW(Overall!$A$34), ROWS(Overall!$L$35:M47))),"")</f>
        <v/>
      </c>
      <c r="C41" s="87" t="str" cm="1">
        <f t="array" ref="C41">IFERROR(INDEX(Overall!D$35:D$71,_xlfn.AGGREGATE(15,3,((Overall!$A$35:$A$71=3)/(Overall!$A$35:$A$71=3)*ROW(Overall!$A$35:$A$71))-ROW(Overall!$A$34), ROWS(Overall!$L$35:N47))),"")</f>
        <v/>
      </c>
      <c r="D41" s="62" t="str" cm="1">
        <f t="array" ref="D41">IFERROR(INDEX(Overall!E$35:E$71,_xlfn.AGGREGATE(15,3,((Overall!$A$35:$A$71=3)/(Overall!$A$35:$A$71=3)*ROW(Overall!$A$35:$A$71))-ROW(Overall!$A$34), ROWS(Overall!$L$35:O47))),"")</f>
        <v/>
      </c>
      <c r="E41" s="128" t="str" cm="1">
        <f t="array" ref="E41">IFERROR(INDEX(Overall!F$35:F$71,_xlfn.AGGREGATE(15,3,((Overall!$A$35:$A$71=3)/(Overall!$A$35:$A$71=3)*ROW(Overall!$A$35:$A$71))-ROW(Overall!$A$34), ROWS(Overall!$L$35:P47))),"")</f>
        <v/>
      </c>
      <c r="F41" s="129" t="str" cm="1">
        <f t="array" ref="F41">IFERROR(INDEX(Overall!G$35:G$71,_xlfn.AGGREGATE(15,3,((Overall!$A$35:$A$71=3)/(Overall!$A$35:$A$71=3)*ROW(Overall!$A$35:$A$71))-ROW(Overall!$A$34), ROWS(Overall!$L$35:Q47))),"")</f>
        <v/>
      </c>
      <c r="G41" s="96" t="str" cm="1">
        <f t="array" ref="G41">IFERROR(INDEX(Overall!H$35:H$71,_xlfn.AGGREGATE(15,3,((Overall!$A$35:$A$71=3)/(Overall!$A$35:$A$71=3)*ROW(Overall!$A$35:$A$71))-ROW(Overall!$A$34), ROWS(Overall!$L$35:R47))),"")</f>
        <v/>
      </c>
      <c r="H41" s="96" t="str" cm="1">
        <f t="array" ref="H41">IFERROR(INDEX(Overall!I$35:I$71,_xlfn.AGGREGATE(15,3,((Overall!$A$35:$A$71=3)/(Overall!$A$35:$A$71=3)*ROW(Overall!$A$35:$A$71))-ROW(Overall!$A$34), ROWS(Overall!$L$35:S47))),"")</f>
        <v/>
      </c>
      <c r="I41" s="62" t="str" cm="1">
        <f t="array" ref="I41">IFERROR(INDEX(Overall!J$35:J$71,_xlfn.AGGREGATE(15,3,((Overall!$A$35:$A$71=3)/(Overall!$A$35:$A$71=3)*ROW(Overall!$A$35:$A$71))-ROW(Overall!$A$34), ROWS(Overall!$L$35:T47))),"")</f>
        <v/>
      </c>
      <c r="J41" s="53" t="str" cm="1">
        <f t="array" ref="J41">IFERROR(INDEX(Overall!K$35:K$71,_xlfn.AGGREGATE(15,3,((Overall!$A$35:$A$71=3)/(Overall!$A$35:$A$71=3)*ROW(Overall!$A$35:$A$71))-ROW(Overall!$A$34),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IFERROR(INDEX(Overall!B$35:B$71,_xlfn.AGGREGATE(15,3,((Overall!$A$35:$A$71=3)/(Overall!$A$35:$A$71=3)*ROW(Overall!$A$35:$A$71))-ROW(Overall!$A$34), ROWS(Overall!$L$35:L48))),"")</f>
        <v/>
      </c>
      <c r="B42" s="60" t="str" cm="1">
        <f t="array" ref="B42">IFERROR(INDEX(Overall!C$35:C$71,_xlfn.AGGREGATE(15,3,((Overall!$A$35:$A$71=3)/(Overall!$A$35:$A$71=3)*ROW(Overall!$A$35:$A$71))-ROW(Overall!$A$34), ROWS(Overall!$L$35:M48))),"")</f>
        <v/>
      </c>
      <c r="C42" s="87" t="str" cm="1">
        <f t="array" ref="C42">IFERROR(INDEX(Overall!D$35:D$71,_xlfn.AGGREGATE(15,3,((Overall!$A$35:$A$71=3)/(Overall!$A$35:$A$71=3)*ROW(Overall!$A$35:$A$71))-ROW(Overall!$A$34), ROWS(Overall!$L$35:N48))),"")</f>
        <v/>
      </c>
      <c r="D42" s="62" t="str" cm="1">
        <f t="array" ref="D42">IFERROR(INDEX(Overall!E$35:E$71,_xlfn.AGGREGATE(15,3,((Overall!$A$35:$A$71=3)/(Overall!$A$35:$A$71=3)*ROW(Overall!$A$35:$A$71))-ROW(Overall!$A$34), ROWS(Overall!$L$35:O48))),"")</f>
        <v/>
      </c>
      <c r="E42" s="128" t="str" cm="1">
        <f t="array" ref="E42">IFERROR(INDEX(Overall!F$35:F$71,_xlfn.AGGREGATE(15,3,((Overall!$A$35:$A$71=3)/(Overall!$A$35:$A$71=3)*ROW(Overall!$A$35:$A$71))-ROW(Overall!$A$34), ROWS(Overall!$L$35:P48))),"")</f>
        <v/>
      </c>
      <c r="F42" s="129" t="str" cm="1">
        <f t="array" ref="F42">IFERROR(INDEX(Overall!G$35:G$71,_xlfn.AGGREGATE(15,3,((Overall!$A$35:$A$71=3)/(Overall!$A$35:$A$71=3)*ROW(Overall!$A$35:$A$71))-ROW(Overall!$A$34), ROWS(Overall!$L$35:Q48))),"")</f>
        <v/>
      </c>
      <c r="G42" s="96" t="str" cm="1">
        <f t="array" ref="G42">IFERROR(INDEX(Overall!H$35:H$71,_xlfn.AGGREGATE(15,3,((Overall!$A$35:$A$71=3)/(Overall!$A$35:$A$71=3)*ROW(Overall!$A$35:$A$71))-ROW(Overall!$A$34), ROWS(Overall!$L$35:R48))),"")</f>
        <v/>
      </c>
      <c r="H42" s="96" t="str" cm="1">
        <f t="array" ref="H42">IFERROR(INDEX(Overall!I$35:I$71,_xlfn.AGGREGATE(15,3,((Overall!$A$35:$A$71=3)/(Overall!$A$35:$A$71=3)*ROW(Overall!$A$35:$A$71))-ROW(Overall!$A$34), ROWS(Overall!$L$35:S48))),"")</f>
        <v/>
      </c>
      <c r="I42" s="62" t="str" cm="1">
        <f t="array" ref="I42">IFERROR(INDEX(Overall!J$35:J$71,_xlfn.AGGREGATE(15,3,((Overall!$A$35:$A$71=3)/(Overall!$A$35:$A$71=3)*ROW(Overall!$A$35:$A$71))-ROW(Overall!$A$34), ROWS(Overall!$L$35:T48))),"")</f>
        <v/>
      </c>
      <c r="J42" s="53" t="str" cm="1">
        <f t="array" ref="J42">IFERROR(INDEX(Overall!K$35:K$71,_xlfn.AGGREGATE(15,3,((Overall!$A$35:$A$71=3)/(Overall!$A$35:$A$71=3)*ROW(Overall!$A$35:$A$71))-ROW(Overall!$A$34),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IFERROR(INDEX(Overall!B$35:B$71,_xlfn.AGGREGATE(15,3,((Overall!$A$35:$A$71=3)/(Overall!$A$35:$A$71=3)*ROW(Overall!$A$35:$A$71))-ROW(Overall!$A$34), ROWS(Overall!$L$35:L49))),"")</f>
        <v/>
      </c>
      <c r="B43" s="60" t="str" cm="1">
        <f t="array" ref="B43">IFERROR(INDEX(Overall!C$35:C$71,_xlfn.AGGREGATE(15,3,((Overall!$A$35:$A$71=3)/(Overall!$A$35:$A$71=3)*ROW(Overall!$A$35:$A$71))-ROW(Overall!$A$34), ROWS(Overall!$L$35:M49))),"")</f>
        <v/>
      </c>
      <c r="C43" s="87" t="str" cm="1">
        <f t="array" ref="C43">IFERROR(INDEX(Overall!D$35:D$71,_xlfn.AGGREGATE(15,3,((Overall!$A$35:$A$71=3)/(Overall!$A$35:$A$71=3)*ROW(Overall!$A$35:$A$71))-ROW(Overall!$A$34), ROWS(Overall!$L$35:N49))),"")</f>
        <v/>
      </c>
      <c r="D43" s="62" t="str" cm="1">
        <f t="array" ref="D43">IFERROR(INDEX(Overall!E$35:E$71,_xlfn.AGGREGATE(15,3,((Overall!$A$35:$A$71=3)/(Overall!$A$35:$A$71=3)*ROW(Overall!$A$35:$A$71))-ROW(Overall!$A$34), ROWS(Overall!$L$35:O49))),"")</f>
        <v/>
      </c>
      <c r="E43" s="128" t="str" cm="1">
        <f t="array" ref="E43">IFERROR(INDEX(Overall!F$35:F$71,_xlfn.AGGREGATE(15,3,((Overall!$A$35:$A$71=3)/(Overall!$A$35:$A$71=3)*ROW(Overall!$A$35:$A$71))-ROW(Overall!$A$34), ROWS(Overall!$L$35:P49))),"")</f>
        <v/>
      </c>
      <c r="F43" s="129" t="str" cm="1">
        <f t="array" ref="F43">IFERROR(INDEX(Overall!G$35:G$71,_xlfn.AGGREGATE(15,3,((Overall!$A$35:$A$71=3)/(Overall!$A$35:$A$71=3)*ROW(Overall!$A$35:$A$71))-ROW(Overall!$A$34), ROWS(Overall!$L$35:Q49))),"")</f>
        <v/>
      </c>
      <c r="G43" s="96" t="str" cm="1">
        <f t="array" ref="G43">IFERROR(INDEX(Overall!H$35:H$71,_xlfn.AGGREGATE(15,3,((Overall!$A$35:$A$71=3)/(Overall!$A$35:$A$71=3)*ROW(Overall!$A$35:$A$71))-ROW(Overall!$A$34), ROWS(Overall!$L$35:R49))),"")</f>
        <v/>
      </c>
      <c r="H43" s="96" t="str" cm="1">
        <f t="array" ref="H43">IFERROR(INDEX(Overall!I$35:I$71,_xlfn.AGGREGATE(15,3,((Overall!$A$35:$A$71=3)/(Overall!$A$35:$A$71=3)*ROW(Overall!$A$35:$A$71))-ROW(Overall!$A$34), ROWS(Overall!$L$35:S49))),"")</f>
        <v/>
      </c>
      <c r="I43" s="62" t="str" cm="1">
        <f t="array" ref="I43">IFERROR(INDEX(Overall!J$35:J$71,_xlfn.AGGREGATE(15,3,((Overall!$A$35:$A$71=3)/(Overall!$A$35:$A$71=3)*ROW(Overall!$A$35:$A$71))-ROW(Overall!$A$34), ROWS(Overall!$L$35:T49))),"")</f>
        <v/>
      </c>
      <c r="J43" s="53" t="str" cm="1">
        <f t="array" ref="J43">IFERROR(INDEX(Overall!K$35:K$71,_xlfn.AGGREGATE(15,3,((Overall!$A$35:$A$71=3)/(Overall!$A$35:$A$71=3)*ROW(Overall!$A$35:$A$71))-ROW(Overall!$A$34),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IFERROR(INDEX(Overall!B$35:B$71,_xlfn.AGGREGATE(15,3,((Overall!$A$35:$A$71=3)/(Overall!$A$35:$A$71=3)*ROW(Overall!$A$35:$A$71))-ROW(Overall!$A$34), ROWS(Overall!$L$35:L50))),"")</f>
        <v/>
      </c>
      <c r="B44" s="61" t="str" cm="1">
        <f t="array" ref="B44">IFERROR(INDEX(Overall!C$35:C$71,_xlfn.AGGREGATE(15,3,((Overall!$A$35:$A$71=3)/(Overall!$A$35:$A$71=3)*ROW(Overall!$A$35:$A$71))-ROW(Overall!$A$34), ROWS(Overall!$L$35:M50))),"")</f>
        <v/>
      </c>
      <c r="C44" s="88" t="str" cm="1">
        <f t="array" ref="C44">IFERROR(INDEX(Overall!D$35:D$71,_xlfn.AGGREGATE(15,3,((Overall!$A$35:$A$71=3)/(Overall!$A$35:$A$71=3)*ROW(Overall!$A$35:$A$71))-ROW(Overall!$A$34), ROWS(Overall!$L$35:N50))),"")</f>
        <v/>
      </c>
      <c r="D44" s="63" t="str" cm="1">
        <f t="array" ref="D44">IFERROR(INDEX(Overall!E$35:E$71,_xlfn.AGGREGATE(15,3,((Overall!$A$35:$A$71=3)/(Overall!$A$35:$A$71=3)*ROW(Overall!$A$35:$A$71))-ROW(Overall!$A$34), ROWS(Overall!$L$35:O50))),"")</f>
        <v/>
      </c>
      <c r="E44" s="130" t="str" cm="1">
        <f t="array" ref="E44">IFERROR(INDEX(Overall!F$35:F$71,_xlfn.AGGREGATE(15,3,((Overall!$A$35:$A$71=3)/(Overall!$A$35:$A$71=3)*ROW(Overall!$A$35:$A$71))-ROW(Overall!$A$34), ROWS(Overall!$L$35:P50))),"")</f>
        <v/>
      </c>
      <c r="F44" s="131" t="str" cm="1">
        <f t="array" ref="F44">IFERROR(INDEX(Overall!G$35:G$71,_xlfn.AGGREGATE(15,3,((Overall!$A$35:$A$71=3)/(Overall!$A$35:$A$71=3)*ROW(Overall!$A$35:$A$71))-ROW(Overall!$A$34), ROWS(Overall!$L$35:Q50))),"")</f>
        <v/>
      </c>
      <c r="G44" s="97" t="str" cm="1">
        <f t="array" ref="G44">IFERROR(INDEX(Overall!H$35:H$71,_xlfn.AGGREGATE(15,3,((Overall!$A$35:$A$71=3)/(Overall!$A$35:$A$71=3)*ROW(Overall!$A$35:$A$71))-ROW(Overall!$A$34), ROWS(Overall!$L$35:R50))),"")</f>
        <v/>
      </c>
      <c r="H44" s="97" t="str" cm="1">
        <f t="array" ref="H44">IFERROR(INDEX(Overall!I$35:I$71,_xlfn.AGGREGATE(15,3,((Overall!$A$35:$A$71=3)/(Overall!$A$35:$A$71=3)*ROW(Overall!$A$35:$A$71))-ROW(Overall!$A$34), ROWS(Overall!$L$35:S50))),"")</f>
        <v/>
      </c>
      <c r="I44" s="65" t="str" cm="1">
        <f t="array" ref="I44">IFERROR(INDEX(Overall!J$35:J$71,_xlfn.AGGREGATE(15,3,((Overall!$A$35:$A$71=3)/(Overall!$A$35:$A$71=3)*ROW(Overall!$A$35:$A$71))-ROW(Overall!$A$34), ROWS(Overall!$L$35:T50))),"")</f>
        <v/>
      </c>
      <c r="J44" s="54" t="str" cm="1">
        <f t="array" ref="J44">IFERROR(INDEX(Overall!K$35:K$71,_xlfn.AGGREGATE(15,3,((Overall!$A$35:$A$71=3)/(Overall!$A$35:$A$71=3)*ROW(Overall!$A$35:$A$71))-ROW(Overall!$A$34),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/>
      <c r="J47" s="52"/>
    </row>
    <row r="48" spans="1:10" x14ac:dyDescent="0.25">
      <c r="A48" s="67"/>
      <c r="B48" s="72"/>
      <c r="C48" s="178"/>
      <c r="D48" s="179"/>
      <c r="H48" s="52"/>
      <c r="I48" s="50"/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 s="105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</sheetData>
  <mergeCells count="48">
    <mergeCell ref="C53:D53"/>
    <mergeCell ref="C54:D54"/>
    <mergeCell ref="C55:D55"/>
    <mergeCell ref="C56:D56"/>
    <mergeCell ref="C47:D47"/>
    <mergeCell ref="C48:D48"/>
    <mergeCell ref="C49:D49"/>
    <mergeCell ref="C50:D50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E28:F28"/>
    <mergeCell ref="A46:H46"/>
    <mergeCell ref="E47:H47"/>
    <mergeCell ref="C60:D60"/>
    <mergeCell ref="C61:D61"/>
    <mergeCell ref="C57:D57"/>
    <mergeCell ref="C58:D58"/>
    <mergeCell ref="C59:D59"/>
    <mergeCell ref="F59:G59"/>
    <mergeCell ref="F60:G60"/>
    <mergeCell ref="F61:G61"/>
    <mergeCell ref="F53:G53"/>
    <mergeCell ref="F54:G54"/>
    <mergeCell ref="F55:G55"/>
    <mergeCell ref="F56:G56"/>
    <mergeCell ref="F57:G57"/>
    <mergeCell ref="F58:G58"/>
  </mergeCells>
  <conditionalFormatting sqref="A29:J43">
    <cfRule type="cellIs" dxfId="38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2847-29AB-4726-A699-B47E7F7C0502}">
  <sheetPr codeName="Sheet6">
    <pageSetUpPr autoPageBreaks="0"/>
  </sheetPr>
  <dimension ref="A1:J61"/>
  <sheetViews>
    <sheetView showGridLines="0" zoomScale="110" zoomScaleNormal="110" workbookViewId="0">
      <selection activeCell="N21" sqref="N21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21</v>
      </c>
      <c r="C3" s="175"/>
      <c r="F3" s="74">
        <f>IFERROR(VLOOKUP($B$3,Totals!$B$3:$C$11,2,0),0)</f>
        <v>4190</v>
      </c>
      <c r="G3" s="163" t="s">
        <v>4</v>
      </c>
      <c r="H3" s="163"/>
      <c r="I3" s="164"/>
    </row>
    <row r="4" spans="1:10" x14ac:dyDescent="0.25">
      <c r="F4" s="74">
        <f>VLOOKUP($B$3,Totals!$E$3:$F$12,2,0)</f>
        <v>10965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18053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0</v>
      </c>
    </row>
    <row r="7" spans="1:10" x14ac:dyDescent="0.25">
      <c r="G7" s="92" t="s">
        <v>6</v>
      </c>
      <c r="H7" s="93">
        <f>F3/F4</f>
        <v>0.38212494300045602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4.8695652173913047</v>
      </c>
      <c r="C9" s="82">
        <f>IFERROR(VLOOKUP($B$3,Totals!$L$3:$N$11,3,0),0)</f>
        <v>23.209438874425302</v>
      </c>
      <c r="D9" s="83">
        <f>IFERROR(VLOOKUP('4'!$B$3,Totals!$P$4:$Y$12,10,0),0)</f>
        <v>30.871077734582009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237</v>
      </c>
      <c r="C22" s="163" t="str">
        <f>VLOOKUP($B$3&amp;A22,Totals!$G$49:$K$73,5,0)</f>
        <v>Capper</v>
      </c>
      <c r="D22" s="164"/>
      <c r="F22" s="66">
        <v>1</v>
      </c>
      <c r="G22" s="69">
        <f>VLOOKUP($B$3&amp;F22,Totals!$M$49:$Q$73,4,0)</f>
        <v>252</v>
      </c>
      <c r="H22" s="163" t="str">
        <f>VLOOKUP($B$3&amp;F22,Totals!$M$49:$Q$73,5,0)</f>
        <v>Capper</v>
      </c>
      <c r="I22" s="164"/>
    </row>
    <row r="23" spans="1:10" x14ac:dyDescent="0.25">
      <c r="A23" s="67">
        <v>2</v>
      </c>
      <c r="B23" s="70">
        <f>VLOOKUP($B$3&amp;A23,Totals!$G$49:$K$73,4,0)</f>
        <v>151</v>
      </c>
      <c r="C23" s="163" t="str">
        <f>VLOOKUP($B$3&amp;A23,Totals!$G$49:$K$73,5,0)</f>
        <v>Labeler</v>
      </c>
      <c r="D23" s="164"/>
      <c r="F23" s="67">
        <v>2</v>
      </c>
      <c r="G23" s="70">
        <f>VLOOKUP($B$3&amp;F23,Totals!$M$49:$Q$73,4,0)</f>
        <v>155</v>
      </c>
      <c r="H23" s="163" t="str">
        <f>VLOOKUP($B$3&amp;F23,Totals!$M$49:$Q$73,5,0)</f>
        <v>Labeler</v>
      </c>
      <c r="I23" s="164"/>
    </row>
    <row r="24" spans="1:10" x14ac:dyDescent="0.25">
      <c r="A24" s="68">
        <v>3</v>
      </c>
      <c r="B24" s="71">
        <f>VLOOKUP($B$3&amp;A24,Totals!$G$49:$K$73,4,0)</f>
        <v>74</v>
      </c>
      <c r="C24" s="165" t="str">
        <f>VLOOKUP($B$3&amp;A24,Totals!$G$49:$K$73,5,0)</f>
        <v>Proof Cks/Lab</v>
      </c>
      <c r="D24" s="166"/>
      <c r="F24" s="68">
        <v>3</v>
      </c>
      <c r="G24" s="71">
        <f>VLOOKUP($B$3&amp;F24,Totals!$M$49:$Q$73,4,0)</f>
        <v>104</v>
      </c>
      <c r="H24" s="165" t="str">
        <f>VLOOKUP($B$3&amp;F24,Totals!$M$49:$Q$73,5,0)</f>
        <v>Wash</v>
      </c>
      <c r="I24" s="166"/>
    </row>
    <row r="27" spans="1:10" x14ac:dyDescent="0.25">
      <c r="A27" s="156" t="s">
        <v>10</v>
      </c>
      <c r="B27" s="156"/>
      <c r="C27" s="156"/>
      <c r="D27" s="156"/>
      <c r="E27" s="156"/>
      <c r="F27" s="156"/>
      <c r="G27" s="156"/>
      <c r="H27" s="156"/>
      <c r="I27" s="156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IFERROR(INDEX(Overall!B$35:B$71,_xlfn.AGGREGATE(15,3,((Overall!$A$35:$A$71=4)/(Overall!$A$35:$A$71=4)*ROW(Overall!$A$35:$A$71))-ROW(Overall!$A$34), ROWS(Overall!$L$35:L35))),"")</f>
        <v/>
      </c>
      <c r="B29" s="60" t="str" cm="1">
        <f t="array" ref="B29">IFERROR(INDEX(Overall!C$35:C$71,_xlfn.AGGREGATE(15,3,((Overall!$A$35:$A$71=4)/(Overall!$A$35:$A$71=4)*ROW(Overall!$A$35:$A$71))-ROW(Overall!$A$34), ROWS(Overall!$L$35:M35))),"")</f>
        <v/>
      </c>
      <c r="C29" s="87" t="str" cm="1">
        <f t="array" ref="C29">IFERROR(INDEX(Overall!D$35:D$71,_xlfn.AGGREGATE(15,3,((Overall!$A$35:$A$71=4)/(Overall!$A$35:$A$71=4)*ROW(Overall!$A$35:$A$71))-ROW(Overall!$A$34), ROWS(Overall!$L$35:N35))),"")</f>
        <v/>
      </c>
      <c r="D29" s="62" t="str" cm="1">
        <f t="array" ref="D29">IFERROR(INDEX(Overall!E$35:E$71,_xlfn.AGGREGATE(15,3,((Overall!$A$35:$A$71=4)/(Overall!$A$35:$A$71=4)*ROW(Overall!$A$35:$A$71))-ROW(Overall!$A$34), ROWS(Overall!$L$35:O35))),"")</f>
        <v/>
      </c>
      <c r="E29" s="128" t="str" cm="1">
        <f t="array" ref="E29">IFERROR(INDEX(Overall!F$35:F$71,_xlfn.AGGREGATE(15,3,((Overall!$A$35:$A$71=4)/(Overall!$A$35:$A$71=4)*ROW(Overall!$A$35:$A$71))-ROW(Overall!$A$34), ROWS(Overall!$L$35:P35))),"")</f>
        <v/>
      </c>
      <c r="F29" s="129" t="str" cm="1">
        <f t="array" ref="F29">IFERROR(INDEX(Overall!G$35:G$71,_xlfn.AGGREGATE(15,3,((Overall!$A$35:$A$71=4)/(Overall!$A$35:$A$71=4)*ROW(Overall!$A$35:$A$71))-ROW(Overall!$A$34), ROWS(Overall!$L$35:Q35))),"")</f>
        <v/>
      </c>
      <c r="G29" s="96" t="str" cm="1">
        <f t="array" ref="G29">IFERROR(INDEX(Overall!H$35:H$71,_xlfn.AGGREGATE(15,3,((Overall!$A$35:$A$71=4)/(Overall!$A$35:$A$71=4)*ROW(Overall!$A$35:$A$71))-ROW(Overall!$A$34), ROWS(Overall!$L$35:R35))),"")</f>
        <v/>
      </c>
      <c r="H29" s="96" t="str" cm="1">
        <f t="array" ref="H29">IFERROR(INDEX(Overall!I$35:I$71,_xlfn.AGGREGATE(15,3,((Overall!$A$35:$A$71=4)/(Overall!$A$35:$A$71=4)*ROW(Overall!$A$35:$A$71))-ROW(Overall!$A$34), ROWS(Overall!$L$35:S35))),"")</f>
        <v/>
      </c>
      <c r="I29" s="62" t="str" cm="1">
        <f t="array" ref="I29">IFERROR(INDEX(Overall!J$35:J$71,_xlfn.AGGREGATE(15,3,((Overall!$A$35:$A$71=4)/(Overall!$A$35:$A$71=4)*ROW(Overall!$A$35:$A$71))-ROW(Overall!$A$34), ROWS(Overall!$L$35:T35))),"")</f>
        <v/>
      </c>
      <c r="J29" s="53" t="str" cm="1">
        <f t="array" ref="J29">IFERROR(INDEX(Overall!K$35:K$71,_xlfn.AGGREGATE(15,3,((Overall!$A$35:$A$71=4)/(Overall!$A$35:$A$71=4)*ROW(Overall!$A$35:$A$71))-ROW(Overall!$A$34),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IFERROR(INDEX(Overall!B$35:B$71,_xlfn.AGGREGATE(15,3,((Overall!$A$35:$A$71=4)/(Overall!$A$35:$A$71=4)*ROW(Overall!$A$35:$A$71))-ROW(Overall!$A$34), ROWS(Overall!$L$35:L36))),"")</f>
        <v/>
      </c>
      <c r="B30" s="60" t="str" cm="1">
        <f t="array" ref="B30">IFERROR(INDEX(Overall!C$35:C$71,_xlfn.AGGREGATE(15,3,((Overall!$A$35:$A$71=4)/(Overall!$A$35:$A$71=4)*ROW(Overall!$A$35:$A$71))-ROW(Overall!$A$34), ROWS(Overall!$L$35:M36))),"")</f>
        <v/>
      </c>
      <c r="C30" s="87" t="str" cm="1">
        <f t="array" ref="C30">IFERROR(INDEX(Overall!D$35:D$71,_xlfn.AGGREGATE(15,3,((Overall!$A$35:$A$71=4)/(Overall!$A$35:$A$71=4)*ROW(Overall!$A$35:$A$71))-ROW(Overall!$A$34), ROWS(Overall!$L$35:N36))),"")</f>
        <v/>
      </c>
      <c r="D30" s="62" t="str" cm="1">
        <f t="array" ref="D30">IFERROR(INDEX(Overall!E$35:E$71,_xlfn.AGGREGATE(15,3,((Overall!$A$35:$A$71=4)/(Overall!$A$35:$A$71=4)*ROW(Overall!$A$35:$A$71))-ROW(Overall!$A$34), ROWS(Overall!$L$35:O36))),"")</f>
        <v/>
      </c>
      <c r="E30" s="128" t="str" cm="1">
        <f t="array" ref="E30">IFERROR(INDEX(Overall!F$35:F$71,_xlfn.AGGREGATE(15,3,((Overall!$A$35:$A$71=4)/(Overall!$A$35:$A$71=4)*ROW(Overall!$A$35:$A$71))-ROW(Overall!$A$34), ROWS(Overall!$L$35:P36))),"")</f>
        <v/>
      </c>
      <c r="F30" s="129" t="str" cm="1">
        <f t="array" ref="F30">IFERROR(INDEX(Overall!G$35:G$71,_xlfn.AGGREGATE(15,3,((Overall!$A$35:$A$71=4)/(Overall!$A$35:$A$71=4)*ROW(Overall!$A$35:$A$71))-ROW(Overall!$A$34), ROWS(Overall!$L$35:Q36))),"")</f>
        <v/>
      </c>
      <c r="G30" s="96" t="str" cm="1">
        <f t="array" ref="G30">IFERROR(INDEX(Overall!H$35:H$71,_xlfn.AGGREGATE(15,3,((Overall!$A$35:$A$71=4)/(Overall!$A$35:$A$71=4)*ROW(Overall!$A$35:$A$71))-ROW(Overall!$A$34), ROWS(Overall!$L$35:R36))),"")</f>
        <v/>
      </c>
      <c r="H30" s="96" t="str" cm="1">
        <f t="array" ref="H30">IFERROR(INDEX(Overall!I$35:I$71,_xlfn.AGGREGATE(15,3,((Overall!$A$35:$A$71=4)/(Overall!$A$35:$A$71=4)*ROW(Overall!$A$35:$A$71))-ROW(Overall!$A$34), ROWS(Overall!$L$35:S36))),"")</f>
        <v/>
      </c>
      <c r="I30" s="62" t="str" cm="1">
        <f t="array" ref="I30">IFERROR(INDEX(Overall!J$35:J$71,_xlfn.AGGREGATE(15,3,((Overall!$A$35:$A$71=4)/(Overall!$A$35:$A$71=4)*ROW(Overall!$A$35:$A$71))-ROW(Overall!$A$34), ROWS(Overall!$L$35:T36))),"")</f>
        <v/>
      </c>
      <c r="J30" s="53" t="str" cm="1">
        <f t="array" ref="J30">IFERROR(INDEX(Overall!K$35:K$71,_xlfn.AGGREGATE(15,3,((Overall!$A$35:$A$71=4)/(Overall!$A$35:$A$71=4)*ROW(Overall!$A$35:$A$71))-ROW(Overall!$A$34),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IFERROR(INDEX(Overall!B$35:B$71,_xlfn.AGGREGATE(15,3,((Overall!$A$35:$A$71=4)/(Overall!$A$35:$A$71=4)*ROW(Overall!$A$35:$A$71))-ROW(Overall!$A$34), ROWS(Overall!$L$35:L37))),"")</f>
        <v/>
      </c>
      <c r="B31" s="60" t="str" cm="1">
        <f t="array" ref="B31">IFERROR(INDEX(Overall!C$35:C$71,_xlfn.AGGREGATE(15,3,((Overall!$A$35:$A$71=4)/(Overall!$A$35:$A$71=4)*ROW(Overall!$A$35:$A$71))-ROW(Overall!$A$34), ROWS(Overall!$L$35:M37))),"")</f>
        <v/>
      </c>
      <c r="C31" s="87" t="str" cm="1">
        <f t="array" ref="C31">IFERROR(INDEX(Overall!D$35:D$71,_xlfn.AGGREGATE(15,3,((Overall!$A$35:$A$71=4)/(Overall!$A$35:$A$71=4)*ROW(Overall!$A$35:$A$71))-ROW(Overall!$A$34), ROWS(Overall!$L$35:N37))),"")</f>
        <v/>
      </c>
      <c r="D31" s="62" t="str" cm="1">
        <f t="array" ref="D31">IFERROR(INDEX(Overall!E$35:E$71,_xlfn.AGGREGATE(15,3,((Overall!$A$35:$A$71=4)/(Overall!$A$35:$A$71=4)*ROW(Overall!$A$35:$A$71))-ROW(Overall!$A$34), ROWS(Overall!$L$35:O37))),"")</f>
        <v/>
      </c>
      <c r="E31" s="128" t="str" cm="1">
        <f t="array" ref="E31">IFERROR(INDEX(Overall!F$35:F$71,_xlfn.AGGREGATE(15,3,((Overall!$A$35:$A$71=4)/(Overall!$A$35:$A$71=4)*ROW(Overall!$A$35:$A$71))-ROW(Overall!$A$34), ROWS(Overall!$L$35:P37))),"")</f>
        <v/>
      </c>
      <c r="F31" s="129" t="str" cm="1">
        <f t="array" ref="F31">IFERROR(INDEX(Overall!G$35:G$71,_xlfn.AGGREGATE(15,3,((Overall!$A$35:$A$71=4)/(Overall!$A$35:$A$71=4)*ROW(Overall!$A$35:$A$71))-ROW(Overall!$A$34), ROWS(Overall!$L$35:Q37))),"")</f>
        <v/>
      </c>
      <c r="G31" s="96" t="str" cm="1">
        <f t="array" ref="G31">IFERROR(INDEX(Overall!H$35:H$71,_xlfn.AGGREGATE(15,3,((Overall!$A$35:$A$71=4)/(Overall!$A$35:$A$71=4)*ROW(Overall!$A$35:$A$71))-ROW(Overall!$A$34), ROWS(Overall!$L$35:R37))),"")</f>
        <v/>
      </c>
      <c r="H31" s="96" t="str" cm="1">
        <f t="array" ref="H31">IFERROR(INDEX(Overall!I$35:I$71,_xlfn.AGGREGATE(15,3,((Overall!$A$35:$A$71=4)/(Overall!$A$35:$A$71=4)*ROW(Overall!$A$35:$A$71))-ROW(Overall!$A$34), ROWS(Overall!$L$35:S37))),"")</f>
        <v/>
      </c>
      <c r="I31" s="62" t="str" cm="1">
        <f t="array" ref="I31">IFERROR(INDEX(Overall!J$35:J$71,_xlfn.AGGREGATE(15,3,((Overall!$A$35:$A$71=4)/(Overall!$A$35:$A$71=4)*ROW(Overall!$A$35:$A$71))-ROW(Overall!$A$34), ROWS(Overall!$L$35:T37))),"")</f>
        <v/>
      </c>
      <c r="J31" s="53" t="str" cm="1">
        <f t="array" ref="J31">IFERROR(INDEX(Overall!K$35:K$71,_xlfn.AGGREGATE(15,3,((Overall!$A$35:$A$71=4)/(Overall!$A$35:$A$71=4)*ROW(Overall!$A$35:$A$71))-ROW(Overall!$A$34),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IFERROR(INDEX(Overall!B$35:B$71,_xlfn.AGGREGATE(15,3,((Overall!$A$35:$A$71=4)/(Overall!$A$35:$A$71=4)*ROW(Overall!$A$35:$A$71))-ROW(Overall!$A$34), ROWS(Overall!$L$35:L38))),"")</f>
        <v/>
      </c>
      <c r="B32" s="60" t="str" cm="1">
        <f t="array" ref="B32">IFERROR(INDEX(Overall!C$35:C$71,_xlfn.AGGREGATE(15,3,((Overall!$A$35:$A$71=4)/(Overall!$A$35:$A$71=4)*ROW(Overall!$A$35:$A$71))-ROW(Overall!$A$34), ROWS(Overall!$L$35:M38))),"")</f>
        <v/>
      </c>
      <c r="C32" s="87" t="str" cm="1">
        <f t="array" ref="C32">IFERROR(INDEX(Overall!D$35:D$71,_xlfn.AGGREGATE(15,3,((Overall!$A$35:$A$71=4)/(Overall!$A$35:$A$71=4)*ROW(Overall!$A$35:$A$71))-ROW(Overall!$A$34), ROWS(Overall!$L$35:N38))),"")</f>
        <v/>
      </c>
      <c r="D32" s="62" t="str" cm="1">
        <f t="array" ref="D32">IFERROR(INDEX(Overall!E$35:E$71,_xlfn.AGGREGATE(15,3,((Overall!$A$35:$A$71=4)/(Overall!$A$35:$A$71=4)*ROW(Overall!$A$35:$A$71))-ROW(Overall!$A$34), ROWS(Overall!$L$35:O38))),"")</f>
        <v/>
      </c>
      <c r="E32" s="128" t="str" cm="1">
        <f t="array" ref="E32">IFERROR(INDEX(Overall!F$35:F$71,_xlfn.AGGREGATE(15,3,((Overall!$A$35:$A$71=4)/(Overall!$A$35:$A$71=4)*ROW(Overall!$A$35:$A$71))-ROW(Overall!$A$34), ROWS(Overall!$L$35:P38))),"")</f>
        <v/>
      </c>
      <c r="F32" s="129" t="str" cm="1">
        <f t="array" ref="F32">IFERROR(INDEX(Overall!G$35:G$71,_xlfn.AGGREGATE(15,3,((Overall!$A$35:$A$71=4)/(Overall!$A$35:$A$71=4)*ROW(Overall!$A$35:$A$71))-ROW(Overall!$A$34), ROWS(Overall!$L$35:Q38))),"")</f>
        <v/>
      </c>
      <c r="G32" s="96" t="str" cm="1">
        <f t="array" ref="G32">IFERROR(INDEX(Overall!H$35:H$71,_xlfn.AGGREGATE(15,3,((Overall!$A$35:$A$71=4)/(Overall!$A$35:$A$71=4)*ROW(Overall!$A$35:$A$71))-ROW(Overall!$A$34), ROWS(Overall!$L$35:R38))),"")</f>
        <v/>
      </c>
      <c r="H32" s="96" t="str" cm="1">
        <f t="array" ref="H32">IFERROR(INDEX(Overall!I$35:I$71,_xlfn.AGGREGATE(15,3,((Overall!$A$35:$A$71=4)/(Overall!$A$35:$A$71=4)*ROW(Overall!$A$35:$A$71))-ROW(Overall!$A$34), ROWS(Overall!$L$35:S38))),"")</f>
        <v/>
      </c>
      <c r="I32" s="62" t="str" cm="1">
        <f t="array" ref="I32">IFERROR(INDEX(Overall!J$35:J$71,_xlfn.AGGREGATE(15,3,((Overall!$A$35:$A$71=4)/(Overall!$A$35:$A$71=4)*ROW(Overall!$A$35:$A$71))-ROW(Overall!$A$34), ROWS(Overall!$L$35:T38))),"")</f>
        <v/>
      </c>
      <c r="J32" s="53" t="str" cm="1">
        <f t="array" ref="J32">IFERROR(INDEX(Overall!K$35:K$71,_xlfn.AGGREGATE(15,3,((Overall!$A$35:$A$71=4)/(Overall!$A$35:$A$71=4)*ROW(Overall!$A$35:$A$71))-ROW(Overall!$A$34),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IFERROR(INDEX(Overall!B$35:B$71,_xlfn.AGGREGATE(15,3,((Overall!$A$35:$A$71=4)/(Overall!$A$35:$A$71=4)*ROW(Overall!$A$35:$A$71))-ROW(Overall!$A$34), ROWS(Overall!$L$35:L39))),"")</f>
        <v/>
      </c>
      <c r="B33" s="60" t="str" cm="1">
        <f t="array" ref="B33">IFERROR(INDEX(Overall!C$35:C$71,_xlfn.AGGREGATE(15,3,((Overall!$A$35:$A$71=4)/(Overall!$A$35:$A$71=4)*ROW(Overall!$A$35:$A$71))-ROW(Overall!$A$34), ROWS(Overall!$L$35:M39))),"")</f>
        <v/>
      </c>
      <c r="C33" s="87" t="str" cm="1">
        <f t="array" ref="C33">IFERROR(INDEX(Overall!D$35:D$71,_xlfn.AGGREGATE(15,3,((Overall!$A$35:$A$71=4)/(Overall!$A$35:$A$71=4)*ROW(Overall!$A$35:$A$71))-ROW(Overall!$A$34), ROWS(Overall!$L$35:N39))),"")</f>
        <v/>
      </c>
      <c r="D33" s="62" t="str" cm="1">
        <f t="array" ref="D33">IFERROR(INDEX(Overall!E$35:E$71,_xlfn.AGGREGATE(15,3,((Overall!$A$35:$A$71=4)/(Overall!$A$35:$A$71=4)*ROW(Overall!$A$35:$A$71))-ROW(Overall!$A$34), ROWS(Overall!$L$35:O39))),"")</f>
        <v/>
      </c>
      <c r="E33" s="128" t="str" cm="1">
        <f t="array" ref="E33">IFERROR(INDEX(Overall!F$35:F$71,_xlfn.AGGREGATE(15,3,((Overall!$A$35:$A$71=4)/(Overall!$A$35:$A$71=4)*ROW(Overall!$A$35:$A$71))-ROW(Overall!$A$34), ROWS(Overall!$L$35:P39))),"")</f>
        <v/>
      </c>
      <c r="F33" s="129" t="str" cm="1">
        <f t="array" ref="F33">IFERROR(INDEX(Overall!G$35:G$71,_xlfn.AGGREGATE(15,3,((Overall!$A$35:$A$71=4)/(Overall!$A$35:$A$71=4)*ROW(Overall!$A$35:$A$71))-ROW(Overall!$A$34), ROWS(Overall!$L$35:Q39))),"")</f>
        <v/>
      </c>
      <c r="G33" s="96" t="str" cm="1">
        <f t="array" ref="G33">IFERROR(INDEX(Overall!H$35:H$71,_xlfn.AGGREGATE(15,3,((Overall!$A$35:$A$71=4)/(Overall!$A$35:$A$71=4)*ROW(Overall!$A$35:$A$71))-ROW(Overall!$A$34), ROWS(Overall!$L$35:R39))),"")</f>
        <v/>
      </c>
      <c r="H33" s="96" t="str" cm="1">
        <f t="array" ref="H33">IFERROR(INDEX(Overall!I$35:I$71,_xlfn.AGGREGATE(15,3,((Overall!$A$35:$A$71=4)/(Overall!$A$35:$A$71=4)*ROW(Overall!$A$35:$A$71))-ROW(Overall!$A$34), ROWS(Overall!$L$35:S39))),"")</f>
        <v/>
      </c>
      <c r="I33" s="62" t="str" cm="1">
        <f t="array" ref="I33">IFERROR(INDEX(Overall!J$35:J$71,_xlfn.AGGREGATE(15,3,((Overall!$A$35:$A$71=4)/(Overall!$A$35:$A$71=4)*ROW(Overall!$A$35:$A$71))-ROW(Overall!$A$34), ROWS(Overall!$L$35:T39))),"")</f>
        <v/>
      </c>
      <c r="J33" s="53" t="str" cm="1">
        <f t="array" ref="J33">IFERROR(INDEX(Overall!K$35:K$71,_xlfn.AGGREGATE(15,3,((Overall!$A$35:$A$71=4)/(Overall!$A$35:$A$71=4)*ROW(Overall!$A$35:$A$71))-ROW(Overall!$A$34),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IFERROR(INDEX(Overall!B$35:B$71,_xlfn.AGGREGATE(15,3,((Overall!$A$35:$A$71=4)/(Overall!$A$35:$A$71=4)*ROW(Overall!$A$35:$A$71))-ROW(Overall!$A$34), ROWS(Overall!$L$35:L40))),"")</f>
        <v/>
      </c>
      <c r="B34" s="60" t="str" cm="1">
        <f t="array" ref="B34">IFERROR(INDEX(Overall!C$35:C$71,_xlfn.AGGREGATE(15,3,((Overall!$A$35:$A$71=4)/(Overall!$A$35:$A$71=4)*ROW(Overall!$A$35:$A$71))-ROW(Overall!$A$34), ROWS(Overall!$L$35:M40))),"")</f>
        <v/>
      </c>
      <c r="C34" s="87" t="str" cm="1">
        <f t="array" ref="C34">IFERROR(INDEX(Overall!D$35:D$71,_xlfn.AGGREGATE(15,3,((Overall!$A$35:$A$71=4)/(Overall!$A$35:$A$71=4)*ROW(Overall!$A$35:$A$71))-ROW(Overall!$A$34), ROWS(Overall!$L$35:N40))),"")</f>
        <v/>
      </c>
      <c r="D34" s="62" t="str" cm="1">
        <f t="array" ref="D34">IFERROR(INDEX(Overall!E$35:E$71,_xlfn.AGGREGATE(15,3,((Overall!$A$35:$A$71=4)/(Overall!$A$35:$A$71=4)*ROW(Overall!$A$35:$A$71))-ROW(Overall!$A$34), ROWS(Overall!$L$35:O40))),"")</f>
        <v/>
      </c>
      <c r="E34" s="128" t="str" cm="1">
        <f t="array" ref="E34">IFERROR(INDEX(Overall!F$35:F$71,_xlfn.AGGREGATE(15,3,((Overall!$A$35:$A$71=4)/(Overall!$A$35:$A$71=4)*ROW(Overall!$A$35:$A$71))-ROW(Overall!$A$34), ROWS(Overall!$L$35:P40))),"")</f>
        <v/>
      </c>
      <c r="F34" s="129" t="str" cm="1">
        <f t="array" ref="F34">IFERROR(INDEX(Overall!G$35:G$71,_xlfn.AGGREGATE(15,3,((Overall!$A$35:$A$71=4)/(Overall!$A$35:$A$71=4)*ROW(Overall!$A$35:$A$71))-ROW(Overall!$A$34), ROWS(Overall!$L$35:Q40))),"")</f>
        <v/>
      </c>
      <c r="G34" s="96" t="str" cm="1">
        <f t="array" ref="G34">IFERROR(INDEX(Overall!H$35:H$71,_xlfn.AGGREGATE(15,3,((Overall!$A$35:$A$71=4)/(Overall!$A$35:$A$71=4)*ROW(Overall!$A$35:$A$71))-ROW(Overall!$A$34), ROWS(Overall!$L$35:R40))),"")</f>
        <v/>
      </c>
      <c r="H34" s="96" t="str" cm="1">
        <f t="array" ref="H34">IFERROR(INDEX(Overall!I$35:I$71,_xlfn.AGGREGATE(15,3,((Overall!$A$35:$A$71=4)/(Overall!$A$35:$A$71=4)*ROW(Overall!$A$35:$A$71))-ROW(Overall!$A$34), ROWS(Overall!$L$35:S40))),"")</f>
        <v/>
      </c>
      <c r="I34" s="62" t="str" cm="1">
        <f t="array" ref="I34">IFERROR(INDEX(Overall!J$35:J$71,_xlfn.AGGREGATE(15,3,((Overall!$A$35:$A$71=4)/(Overall!$A$35:$A$71=4)*ROW(Overall!$A$35:$A$71))-ROW(Overall!$A$34), ROWS(Overall!$L$35:T40))),"")</f>
        <v/>
      </c>
      <c r="J34" s="53" t="str" cm="1">
        <f t="array" ref="J34">IFERROR(INDEX(Overall!K$35:K$71,_xlfn.AGGREGATE(15,3,((Overall!$A$35:$A$71=4)/(Overall!$A$35:$A$71=4)*ROW(Overall!$A$35:$A$71))-ROW(Overall!$A$34),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IFERROR(INDEX(Overall!B$35:B$71,_xlfn.AGGREGATE(15,3,((Overall!$A$35:$A$71=4)/(Overall!$A$35:$A$71=4)*ROW(Overall!$A$35:$A$71))-ROW(Overall!$A$34), ROWS(Overall!$L$35:L41))),"")</f>
        <v/>
      </c>
      <c r="B35" s="60" t="str" cm="1">
        <f t="array" ref="B35">IFERROR(INDEX(Overall!C$35:C$71,_xlfn.AGGREGATE(15,3,((Overall!$A$35:$A$71=4)/(Overall!$A$35:$A$71=4)*ROW(Overall!$A$35:$A$71))-ROW(Overall!$A$34), ROWS(Overall!$L$35:M41))),"")</f>
        <v/>
      </c>
      <c r="C35" s="87" t="str" cm="1">
        <f t="array" ref="C35">IFERROR(INDEX(Overall!D$35:D$71,_xlfn.AGGREGATE(15,3,((Overall!$A$35:$A$71=4)/(Overall!$A$35:$A$71=4)*ROW(Overall!$A$35:$A$71))-ROW(Overall!$A$34), ROWS(Overall!$L$35:N41))),"")</f>
        <v/>
      </c>
      <c r="D35" s="62" t="str" cm="1">
        <f t="array" ref="D35">IFERROR(INDEX(Overall!E$35:E$71,_xlfn.AGGREGATE(15,3,((Overall!$A$35:$A$71=4)/(Overall!$A$35:$A$71=4)*ROW(Overall!$A$35:$A$71))-ROW(Overall!$A$34), ROWS(Overall!$L$35:O41))),"")</f>
        <v/>
      </c>
      <c r="E35" s="128" t="str" cm="1">
        <f t="array" ref="E35">IFERROR(INDEX(Overall!F$35:F$71,_xlfn.AGGREGATE(15,3,((Overall!$A$35:$A$71=4)/(Overall!$A$35:$A$71=4)*ROW(Overall!$A$35:$A$71))-ROW(Overall!$A$34), ROWS(Overall!$L$35:P41))),"")</f>
        <v/>
      </c>
      <c r="F35" s="129" t="str" cm="1">
        <f t="array" ref="F35">IFERROR(INDEX(Overall!G$35:G$71,_xlfn.AGGREGATE(15,3,((Overall!$A$35:$A$71=4)/(Overall!$A$35:$A$71=4)*ROW(Overall!$A$35:$A$71))-ROW(Overall!$A$34), ROWS(Overall!$L$35:Q41))),"")</f>
        <v/>
      </c>
      <c r="G35" s="96" t="str" cm="1">
        <f t="array" ref="G35">IFERROR(INDEX(Overall!H$35:H$71,_xlfn.AGGREGATE(15,3,((Overall!$A$35:$A$71=4)/(Overall!$A$35:$A$71=4)*ROW(Overall!$A$35:$A$71))-ROW(Overall!$A$34), ROWS(Overall!$L$35:R41))),"")</f>
        <v/>
      </c>
      <c r="H35" s="96" t="str" cm="1">
        <f t="array" ref="H35">IFERROR(INDEX(Overall!I$35:I$71,_xlfn.AGGREGATE(15,3,((Overall!$A$35:$A$71=4)/(Overall!$A$35:$A$71=4)*ROW(Overall!$A$35:$A$71))-ROW(Overall!$A$34), ROWS(Overall!$L$35:S41))),"")</f>
        <v/>
      </c>
      <c r="I35" s="62" t="str" cm="1">
        <f t="array" ref="I35">IFERROR(INDEX(Overall!J$35:J$71,_xlfn.AGGREGATE(15,3,((Overall!$A$35:$A$71=4)/(Overall!$A$35:$A$71=4)*ROW(Overall!$A$35:$A$71))-ROW(Overall!$A$34), ROWS(Overall!$L$35:T41))),"")</f>
        <v/>
      </c>
      <c r="J35" s="53" t="str" cm="1">
        <f t="array" ref="J35">IFERROR(INDEX(Overall!K$35:K$71,_xlfn.AGGREGATE(15,3,((Overall!$A$35:$A$71=4)/(Overall!$A$35:$A$71=4)*ROW(Overall!$A$35:$A$71))-ROW(Overall!$A$34),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IFERROR(INDEX(Overall!B$35:B$71,_xlfn.AGGREGATE(15,3,((Overall!$A$35:$A$71=4)/(Overall!$A$35:$A$71=4)*ROW(Overall!$A$35:$A$71))-ROW(Overall!$A$34), ROWS(Overall!$L$35:L42))),"")</f>
        <v/>
      </c>
      <c r="B36" s="60" t="str" cm="1">
        <f t="array" ref="B36">IFERROR(INDEX(Overall!C$35:C$71,_xlfn.AGGREGATE(15,3,((Overall!$A$35:$A$71=4)/(Overall!$A$35:$A$71=4)*ROW(Overall!$A$35:$A$71))-ROW(Overall!$A$34), ROWS(Overall!$L$35:M42))),"")</f>
        <v/>
      </c>
      <c r="C36" s="87" t="str" cm="1">
        <f t="array" ref="C36">IFERROR(INDEX(Overall!D$35:D$71,_xlfn.AGGREGATE(15,3,((Overall!$A$35:$A$71=4)/(Overall!$A$35:$A$71=4)*ROW(Overall!$A$35:$A$71))-ROW(Overall!$A$34), ROWS(Overall!$L$35:N42))),"")</f>
        <v/>
      </c>
      <c r="D36" s="62" t="str" cm="1">
        <f t="array" ref="D36">IFERROR(INDEX(Overall!E$35:E$71,_xlfn.AGGREGATE(15,3,((Overall!$A$35:$A$71=4)/(Overall!$A$35:$A$71=4)*ROW(Overall!$A$35:$A$71))-ROW(Overall!$A$34), ROWS(Overall!$L$35:O42))),"")</f>
        <v/>
      </c>
      <c r="E36" s="128" t="str" cm="1">
        <f t="array" ref="E36">IFERROR(INDEX(Overall!F$35:F$71,_xlfn.AGGREGATE(15,3,((Overall!$A$35:$A$71=4)/(Overall!$A$35:$A$71=4)*ROW(Overall!$A$35:$A$71))-ROW(Overall!$A$34), ROWS(Overall!$L$35:P42))),"")</f>
        <v/>
      </c>
      <c r="F36" s="129" t="str" cm="1">
        <f t="array" ref="F36">IFERROR(INDEX(Overall!G$35:G$71,_xlfn.AGGREGATE(15,3,((Overall!$A$35:$A$71=4)/(Overall!$A$35:$A$71=4)*ROW(Overall!$A$35:$A$71))-ROW(Overall!$A$34), ROWS(Overall!$L$35:Q42))),"")</f>
        <v/>
      </c>
      <c r="G36" s="96" t="str" cm="1">
        <f t="array" ref="G36">IFERROR(INDEX(Overall!H$35:H$71,_xlfn.AGGREGATE(15,3,((Overall!$A$35:$A$71=4)/(Overall!$A$35:$A$71=4)*ROW(Overall!$A$35:$A$71))-ROW(Overall!$A$34), ROWS(Overall!$L$35:R42))),"")</f>
        <v/>
      </c>
      <c r="H36" s="96" t="str" cm="1">
        <f t="array" ref="H36">IFERROR(INDEX(Overall!I$35:I$71,_xlfn.AGGREGATE(15,3,((Overall!$A$35:$A$71=4)/(Overall!$A$35:$A$71=4)*ROW(Overall!$A$35:$A$71))-ROW(Overall!$A$34), ROWS(Overall!$L$35:S42))),"")</f>
        <v/>
      </c>
      <c r="I36" s="62" t="str" cm="1">
        <f t="array" ref="I36">IFERROR(INDEX(Overall!J$35:J$71,_xlfn.AGGREGATE(15,3,((Overall!$A$35:$A$71=4)/(Overall!$A$35:$A$71=4)*ROW(Overall!$A$35:$A$71))-ROW(Overall!$A$34), ROWS(Overall!$L$35:T42))),"")</f>
        <v/>
      </c>
      <c r="J36" s="53" t="str" cm="1">
        <f t="array" ref="J36">IFERROR(INDEX(Overall!K$35:K$71,_xlfn.AGGREGATE(15,3,((Overall!$A$35:$A$71=4)/(Overall!$A$35:$A$71=4)*ROW(Overall!$A$35:$A$71))-ROW(Overall!$A$34),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IFERROR(INDEX(Overall!B$35:B$71,_xlfn.AGGREGATE(15,3,((Overall!$A$35:$A$71=4)/(Overall!$A$35:$A$71=4)*ROW(Overall!$A$35:$A$71))-ROW(Overall!$A$34), ROWS(Overall!$L$35:L43))),"")</f>
        <v/>
      </c>
      <c r="B37" s="60" t="str" cm="1">
        <f t="array" ref="B37">IFERROR(INDEX(Overall!C$35:C$71,_xlfn.AGGREGATE(15,3,((Overall!$A$35:$A$71=4)/(Overall!$A$35:$A$71=4)*ROW(Overall!$A$35:$A$71))-ROW(Overall!$A$34), ROWS(Overall!$L$35:M43))),"")</f>
        <v/>
      </c>
      <c r="C37" s="87" t="str" cm="1">
        <f t="array" ref="C37">IFERROR(INDEX(Overall!D$35:D$71,_xlfn.AGGREGATE(15,3,((Overall!$A$35:$A$71=4)/(Overall!$A$35:$A$71=4)*ROW(Overall!$A$35:$A$71))-ROW(Overall!$A$34), ROWS(Overall!$L$35:N43))),"")</f>
        <v/>
      </c>
      <c r="D37" s="62" t="str" cm="1">
        <f t="array" ref="D37">IFERROR(INDEX(Overall!E$35:E$71,_xlfn.AGGREGATE(15,3,((Overall!$A$35:$A$71=4)/(Overall!$A$35:$A$71=4)*ROW(Overall!$A$35:$A$71))-ROW(Overall!$A$34), ROWS(Overall!$L$35:O43))),"")</f>
        <v/>
      </c>
      <c r="E37" s="128" t="str" cm="1">
        <f t="array" ref="E37">IFERROR(INDEX(Overall!F$35:F$71,_xlfn.AGGREGATE(15,3,((Overall!$A$35:$A$71=4)/(Overall!$A$35:$A$71=4)*ROW(Overall!$A$35:$A$71))-ROW(Overall!$A$34), ROWS(Overall!$L$35:P43))),"")</f>
        <v/>
      </c>
      <c r="F37" s="129" t="str" cm="1">
        <f t="array" ref="F37">IFERROR(INDEX(Overall!G$35:G$71,_xlfn.AGGREGATE(15,3,((Overall!$A$35:$A$71=4)/(Overall!$A$35:$A$71=4)*ROW(Overall!$A$35:$A$71))-ROW(Overall!$A$34), ROWS(Overall!$L$35:Q43))),"")</f>
        <v/>
      </c>
      <c r="G37" s="96" t="str" cm="1">
        <f t="array" ref="G37">IFERROR(INDEX(Overall!H$35:H$71,_xlfn.AGGREGATE(15,3,((Overall!$A$35:$A$71=4)/(Overall!$A$35:$A$71=4)*ROW(Overall!$A$35:$A$71))-ROW(Overall!$A$34), ROWS(Overall!$L$35:R43))),"")</f>
        <v/>
      </c>
      <c r="H37" s="96" t="str" cm="1">
        <f t="array" ref="H37">IFERROR(INDEX(Overall!I$35:I$71,_xlfn.AGGREGATE(15,3,((Overall!$A$35:$A$71=4)/(Overall!$A$35:$A$71=4)*ROW(Overall!$A$35:$A$71))-ROW(Overall!$A$34), ROWS(Overall!$L$35:S43))),"")</f>
        <v/>
      </c>
      <c r="I37" s="62" t="str" cm="1">
        <f t="array" ref="I37">IFERROR(INDEX(Overall!J$35:J$71,_xlfn.AGGREGATE(15,3,((Overall!$A$35:$A$71=4)/(Overall!$A$35:$A$71=4)*ROW(Overall!$A$35:$A$71))-ROW(Overall!$A$34), ROWS(Overall!$L$35:T43))),"")</f>
        <v/>
      </c>
      <c r="J37" s="53" t="str" cm="1">
        <f t="array" ref="J37">IFERROR(INDEX(Overall!K$35:K$71,_xlfn.AGGREGATE(15,3,((Overall!$A$35:$A$71=4)/(Overall!$A$35:$A$71=4)*ROW(Overall!$A$35:$A$71))-ROW(Overall!$A$34),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IFERROR(INDEX(Overall!B$35:B$71,_xlfn.AGGREGATE(15,3,((Overall!$A$35:$A$71=4)/(Overall!$A$35:$A$71=4)*ROW(Overall!$A$35:$A$71))-ROW(Overall!$A$34), ROWS(Overall!$L$35:L44))),"")</f>
        <v/>
      </c>
      <c r="B38" s="60" t="str" cm="1">
        <f t="array" ref="B38">IFERROR(INDEX(Overall!C$35:C$71,_xlfn.AGGREGATE(15,3,((Overall!$A$35:$A$71=4)/(Overall!$A$35:$A$71=4)*ROW(Overall!$A$35:$A$71))-ROW(Overall!$A$34), ROWS(Overall!$L$35:M44))),"")</f>
        <v/>
      </c>
      <c r="C38" s="87" t="str" cm="1">
        <f t="array" ref="C38">IFERROR(INDEX(Overall!D$35:D$71,_xlfn.AGGREGATE(15,3,((Overall!$A$35:$A$71=4)/(Overall!$A$35:$A$71=4)*ROW(Overall!$A$35:$A$71))-ROW(Overall!$A$34), ROWS(Overall!$L$35:N44))),"")</f>
        <v/>
      </c>
      <c r="D38" s="62" t="str" cm="1">
        <f t="array" ref="D38">IFERROR(INDEX(Overall!E$35:E$71,_xlfn.AGGREGATE(15,3,((Overall!$A$35:$A$71=4)/(Overall!$A$35:$A$71=4)*ROW(Overall!$A$35:$A$71))-ROW(Overall!$A$34), ROWS(Overall!$L$35:O44))),"")</f>
        <v/>
      </c>
      <c r="E38" s="128" t="str" cm="1">
        <f t="array" ref="E38">IFERROR(INDEX(Overall!F$35:F$71,_xlfn.AGGREGATE(15,3,((Overall!$A$35:$A$71=4)/(Overall!$A$35:$A$71=4)*ROW(Overall!$A$35:$A$71))-ROW(Overall!$A$34), ROWS(Overall!$L$35:P44))),"")</f>
        <v/>
      </c>
      <c r="F38" s="129" t="str" cm="1">
        <f t="array" ref="F38">IFERROR(INDEX(Overall!G$35:G$71,_xlfn.AGGREGATE(15,3,((Overall!$A$35:$A$71=4)/(Overall!$A$35:$A$71=4)*ROW(Overall!$A$35:$A$71))-ROW(Overall!$A$34), ROWS(Overall!$L$35:Q44))),"")</f>
        <v/>
      </c>
      <c r="G38" s="96" t="str" cm="1">
        <f t="array" ref="G38">IFERROR(INDEX(Overall!H$35:H$71,_xlfn.AGGREGATE(15,3,((Overall!$A$35:$A$71=4)/(Overall!$A$35:$A$71=4)*ROW(Overall!$A$35:$A$71))-ROW(Overall!$A$34),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IFERROR(INDEX(Overall!I$35:I$71,_xlfn.AGGREGATE(15,3,((Overall!$A$35:$A$71=4)/(Overall!$A$35:$A$71=4)*ROW(Overall!$A$35:$A$71))-ROW(Overall!$A$34), ROWS(Overall!$L$35:S44))),"")</f>
        <v/>
      </c>
      <c r="I38" s="62" t="str" cm="1">
        <f t="array" ref="I38">IFERROR(INDEX(Overall!J$35:J$71,_xlfn.AGGREGATE(15,3,((Overall!$A$35:$A$71=4)/(Overall!$A$35:$A$71=4)*ROW(Overall!$A$35:$A$71))-ROW(Overall!$A$34), ROWS(Overall!$L$35:T44))),"")</f>
        <v/>
      </c>
      <c r="J38" s="53" t="str" cm="1">
        <f t="array" ref="J38">IFERROR(INDEX(Overall!K$35:K$71,_xlfn.AGGREGATE(15,3,((Overall!$A$35:$A$71=4)/(Overall!$A$35:$A$71=4)*ROW(Overall!$A$35:$A$71))-ROW(Overall!$A$34),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IFERROR(INDEX(Overall!B$35:B$71,_xlfn.AGGREGATE(15,3,((Overall!$A$35:$A$71=4)/(Overall!$A$35:$A$71=4)*ROW(Overall!$A$35:$A$71))-ROW(Overall!$A$34), ROWS(Overall!$L$35:L45))),"")</f>
        <v/>
      </c>
      <c r="B39" s="60" t="str" cm="1">
        <f t="array" ref="B39">IFERROR(INDEX(Overall!C$35:C$71,_xlfn.AGGREGATE(15,3,((Overall!$A$35:$A$71=4)/(Overall!$A$35:$A$71=4)*ROW(Overall!$A$35:$A$71))-ROW(Overall!$A$34), ROWS(Overall!$L$35:M45))),"")</f>
        <v/>
      </c>
      <c r="C39" s="87" t="str" cm="1">
        <f t="array" ref="C39">IFERROR(INDEX(Overall!D$35:D$71,_xlfn.AGGREGATE(15,3,((Overall!$A$35:$A$71=4)/(Overall!$A$35:$A$71=4)*ROW(Overall!$A$35:$A$71))-ROW(Overall!$A$34), ROWS(Overall!$L$35:N45))),"")</f>
        <v/>
      </c>
      <c r="D39" s="62" t="str" cm="1">
        <f t="array" ref="D39">IFERROR(INDEX(Overall!E$35:E$71,_xlfn.AGGREGATE(15,3,((Overall!$A$35:$A$71=4)/(Overall!$A$35:$A$71=4)*ROW(Overall!$A$35:$A$71))-ROW(Overall!$A$34), ROWS(Overall!$L$35:O45))),"")</f>
        <v/>
      </c>
      <c r="E39" s="128" t="str" cm="1">
        <f t="array" ref="E39">IFERROR(INDEX(Overall!F$35:F$71,_xlfn.AGGREGATE(15,3,((Overall!$A$35:$A$71=4)/(Overall!$A$35:$A$71=4)*ROW(Overall!$A$35:$A$71))-ROW(Overall!$A$34), ROWS(Overall!$L$35:P45))),"")</f>
        <v/>
      </c>
      <c r="F39" s="129" t="str" cm="1">
        <f t="array" ref="F39">IFERROR(INDEX(Overall!G$35:G$71,_xlfn.AGGREGATE(15,3,((Overall!$A$35:$A$71=4)/(Overall!$A$35:$A$71=4)*ROW(Overall!$A$35:$A$71))-ROW(Overall!$A$34), ROWS(Overall!$L$35:Q45))),"")</f>
        <v/>
      </c>
      <c r="G39" s="96" t="str" cm="1">
        <f t="array" ref="G39">IFERROR(INDEX(Overall!H$35:H$71,_xlfn.AGGREGATE(15,3,((Overall!$A$35:$A$71=4)/(Overall!$A$35:$A$71=4)*ROW(Overall!$A$35:$A$71))-ROW(Overall!$A$34), ROWS(Overall!$L$35:R45))),"")</f>
        <v/>
      </c>
      <c r="H39" s="96" t="str" cm="1">
        <f t="array" ref="H39">IFERROR(INDEX(Overall!I$35:I$71,_xlfn.AGGREGATE(15,3,((Overall!$A$35:$A$71=4)/(Overall!$A$35:$A$71=4)*ROW(Overall!$A$35:$A$71))-ROW(Overall!$A$34), ROWS(Overall!$L$35:S45))),"")</f>
        <v/>
      </c>
      <c r="I39" s="62" t="str" cm="1">
        <f t="array" ref="I39">IFERROR(INDEX(Overall!J$35:J$71,_xlfn.AGGREGATE(15,3,((Overall!$A$35:$A$71=4)/(Overall!$A$35:$A$71=4)*ROW(Overall!$A$35:$A$71))-ROW(Overall!$A$34), ROWS(Overall!$L$35:T45))),"")</f>
        <v/>
      </c>
      <c r="J39" s="53" t="str" cm="1">
        <f t="array" ref="J39">IFERROR(INDEX(Overall!K$35:K$71,_xlfn.AGGREGATE(15,3,((Overall!$A$35:$A$71=4)/(Overall!$A$35:$A$71=4)*ROW(Overall!$A$35:$A$71))-ROW(Overall!$A$34),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IFERROR(INDEX(Overall!B$35:B$71,_xlfn.AGGREGATE(15,3,((Overall!$A$35:$A$71=4)/(Overall!$A$35:$A$71=4)*ROW(Overall!$A$35:$A$71))-ROW(Overall!$A$34), ROWS(Overall!$L$35:L46))),"")</f>
        <v/>
      </c>
      <c r="B40" s="60" t="str" cm="1">
        <f t="array" ref="B40">IFERROR(INDEX(Overall!C$35:C$71,_xlfn.AGGREGATE(15,3,((Overall!$A$35:$A$71=4)/(Overall!$A$35:$A$71=4)*ROW(Overall!$A$35:$A$71))-ROW(Overall!$A$34), ROWS(Overall!$L$35:M46))),"")</f>
        <v/>
      </c>
      <c r="C40" s="87" t="str" cm="1">
        <f t="array" ref="C40">IFERROR(INDEX(Overall!D$35:D$71,_xlfn.AGGREGATE(15,3,((Overall!$A$35:$A$71=4)/(Overall!$A$35:$A$71=4)*ROW(Overall!$A$35:$A$71))-ROW(Overall!$A$34), ROWS(Overall!$L$35:N46))),"")</f>
        <v/>
      </c>
      <c r="D40" s="62" t="str" cm="1">
        <f t="array" ref="D40">IFERROR(INDEX(Overall!E$35:E$71,_xlfn.AGGREGATE(15,3,((Overall!$A$35:$A$71=4)/(Overall!$A$35:$A$71=4)*ROW(Overall!$A$35:$A$71))-ROW(Overall!$A$34), ROWS(Overall!$L$35:O46))),"")</f>
        <v/>
      </c>
      <c r="E40" s="128" t="str" cm="1">
        <f t="array" ref="E40">IFERROR(INDEX(Overall!F$35:F$71,_xlfn.AGGREGATE(15,3,((Overall!$A$35:$A$71=4)/(Overall!$A$35:$A$71=4)*ROW(Overall!$A$35:$A$71))-ROW(Overall!$A$34), ROWS(Overall!$L$35:P46))),"")</f>
        <v/>
      </c>
      <c r="F40" s="129" t="str" cm="1">
        <f t="array" ref="F40">IFERROR(INDEX(Overall!G$35:G$71,_xlfn.AGGREGATE(15,3,((Overall!$A$35:$A$71=4)/(Overall!$A$35:$A$71=4)*ROW(Overall!$A$35:$A$71))-ROW(Overall!$A$34), ROWS(Overall!$L$35:Q46))),"")</f>
        <v/>
      </c>
      <c r="G40" s="96" t="str" cm="1">
        <f t="array" ref="G40">IFERROR(INDEX(Overall!H$35:H$71,_xlfn.AGGREGATE(15,3,((Overall!$A$35:$A$71=4)/(Overall!$A$35:$A$71=4)*ROW(Overall!$A$35:$A$71))-ROW(Overall!$A$34), ROWS(Overall!$L$35:R46))),"")</f>
        <v/>
      </c>
      <c r="H40" s="96" t="str" cm="1">
        <f t="array" ref="H40">IFERROR(INDEX(Overall!I$35:I$71,_xlfn.AGGREGATE(15,3,((Overall!$A$35:$A$71=4)/(Overall!$A$35:$A$71=4)*ROW(Overall!$A$35:$A$71))-ROW(Overall!$A$34), ROWS(Overall!$L$35:S46))),"")</f>
        <v/>
      </c>
      <c r="I40" s="62" t="str" cm="1">
        <f t="array" ref="I40">IFERROR(INDEX(Overall!J$35:J$71,_xlfn.AGGREGATE(15,3,((Overall!$A$35:$A$71=4)/(Overall!$A$35:$A$71=4)*ROW(Overall!$A$35:$A$71))-ROW(Overall!$A$34), ROWS(Overall!$L$35:T46))),"")</f>
        <v/>
      </c>
      <c r="J40" s="53" t="str" cm="1">
        <f t="array" ref="J40">IFERROR(INDEX(Overall!K$35:K$71,_xlfn.AGGREGATE(15,3,((Overall!$A$35:$A$71=4)/(Overall!$A$35:$A$71=4)*ROW(Overall!$A$35:$A$71))-ROW(Overall!$A$34),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IFERROR(INDEX(Overall!B$35:B$71,_xlfn.AGGREGATE(15,3,((Overall!$A$35:$A$71=4)/(Overall!$A$35:$A$71=4)*ROW(Overall!$A$35:$A$71))-ROW(Overall!$A$34), ROWS(Overall!$L$35:L47))),"")</f>
        <v/>
      </c>
      <c r="B41" s="60" t="str" cm="1">
        <f t="array" ref="B41">IFERROR(INDEX(Overall!C$35:C$71,_xlfn.AGGREGATE(15,3,((Overall!$A$35:$A$71=4)/(Overall!$A$35:$A$71=4)*ROW(Overall!$A$35:$A$71))-ROW(Overall!$A$34), ROWS(Overall!$L$35:M47))),"")</f>
        <v/>
      </c>
      <c r="C41" s="87" t="str" cm="1">
        <f t="array" ref="C41">IFERROR(INDEX(Overall!D$35:D$71,_xlfn.AGGREGATE(15,3,((Overall!$A$35:$A$71=4)/(Overall!$A$35:$A$71=4)*ROW(Overall!$A$35:$A$71))-ROW(Overall!$A$34), ROWS(Overall!$L$35:N47))),"")</f>
        <v/>
      </c>
      <c r="D41" s="62" t="str" cm="1">
        <f t="array" ref="D41">IFERROR(INDEX(Overall!E$35:E$71,_xlfn.AGGREGATE(15,3,((Overall!$A$35:$A$71=4)/(Overall!$A$35:$A$71=4)*ROW(Overall!$A$35:$A$71))-ROW(Overall!$A$34), ROWS(Overall!$L$35:O47))),"")</f>
        <v/>
      </c>
      <c r="E41" s="128" t="str" cm="1">
        <f t="array" ref="E41">IFERROR(INDEX(Overall!F$35:F$71,_xlfn.AGGREGATE(15,3,((Overall!$A$35:$A$71=4)/(Overall!$A$35:$A$71=4)*ROW(Overall!$A$35:$A$71))-ROW(Overall!$A$34), ROWS(Overall!$L$35:P47))),"")</f>
        <v/>
      </c>
      <c r="F41" s="129" t="str" cm="1">
        <f t="array" ref="F41">IFERROR(INDEX(Overall!G$35:G$71,_xlfn.AGGREGATE(15,3,((Overall!$A$35:$A$71=4)/(Overall!$A$35:$A$71=4)*ROW(Overall!$A$35:$A$71))-ROW(Overall!$A$34), ROWS(Overall!$L$35:Q47))),"")</f>
        <v/>
      </c>
      <c r="G41" s="96" t="str" cm="1">
        <f t="array" ref="G41">IFERROR(INDEX(Overall!H$35:H$71,_xlfn.AGGREGATE(15,3,((Overall!$A$35:$A$71=4)/(Overall!$A$35:$A$71=4)*ROW(Overall!$A$35:$A$71))-ROW(Overall!$A$34), ROWS(Overall!$L$35:R47))),"")</f>
        <v/>
      </c>
      <c r="H41" s="96" t="str" cm="1">
        <f t="array" ref="H41">IFERROR(INDEX(Overall!I$35:I$71,_xlfn.AGGREGATE(15,3,((Overall!$A$35:$A$71=4)/(Overall!$A$35:$A$71=4)*ROW(Overall!$A$35:$A$71))-ROW(Overall!$A$34), ROWS(Overall!$L$35:S47))),"")</f>
        <v/>
      </c>
      <c r="I41" s="62" t="str" cm="1">
        <f t="array" ref="I41">IFERROR(INDEX(Overall!J$35:J$71,_xlfn.AGGREGATE(15,3,((Overall!$A$35:$A$71=4)/(Overall!$A$35:$A$71=4)*ROW(Overall!$A$35:$A$71))-ROW(Overall!$A$34), ROWS(Overall!$L$35:T47))),"")</f>
        <v/>
      </c>
      <c r="J41" s="53" t="str" cm="1">
        <f t="array" ref="J41">IFERROR(INDEX(Overall!K$35:K$71,_xlfn.AGGREGATE(15,3,((Overall!$A$35:$A$71=4)/(Overall!$A$35:$A$71=4)*ROW(Overall!$A$35:$A$71))-ROW(Overall!$A$34),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IFERROR(INDEX(Overall!B$35:B$71,_xlfn.AGGREGATE(15,3,((Overall!$A$35:$A$71=4)/(Overall!$A$35:$A$71=4)*ROW(Overall!$A$35:$A$71))-ROW(Overall!$A$34), ROWS(Overall!$L$35:L48))),"")</f>
        <v/>
      </c>
      <c r="B42" s="60" t="str" cm="1">
        <f t="array" ref="B42">IFERROR(INDEX(Overall!C$35:C$71,_xlfn.AGGREGATE(15,3,((Overall!$A$35:$A$71=4)/(Overall!$A$35:$A$71=4)*ROW(Overall!$A$35:$A$71))-ROW(Overall!$A$34), ROWS(Overall!$L$35:M48))),"")</f>
        <v/>
      </c>
      <c r="C42" s="87" t="str" cm="1">
        <f t="array" ref="C42">IFERROR(INDEX(Overall!D$35:D$71,_xlfn.AGGREGATE(15,3,((Overall!$A$35:$A$71=4)/(Overall!$A$35:$A$71=4)*ROW(Overall!$A$35:$A$71))-ROW(Overall!$A$34), ROWS(Overall!$L$35:N48))),"")</f>
        <v/>
      </c>
      <c r="D42" s="62" t="str" cm="1">
        <f t="array" ref="D42">IFERROR(INDEX(Overall!E$35:E$71,_xlfn.AGGREGATE(15,3,((Overall!$A$35:$A$71=4)/(Overall!$A$35:$A$71=4)*ROW(Overall!$A$35:$A$71))-ROW(Overall!$A$34), ROWS(Overall!$L$35:O48))),"")</f>
        <v/>
      </c>
      <c r="E42" s="128" t="str" cm="1">
        <f t="array" ref="E42">IFERROR(INDEX(Overall!F$35:F$71,_xlfn.AGGREGATE(15,3,((Overall!$A$35:$A$71=4)/(Overall!$A$35:$A$71=4)*ROW(Overall!$A$35:$A$71))-ROW(Overall!$A$34), ROWS(Overall!$L$35:P48))),"")</f>
        <v/>
      </c>
      <c r="F42" s="129" t="str" cm="1">
        <f t="array" ref="F42">IFERROR(INDEX(Overall!G$35:G$71,_xlfn.AGGREGATE(15,3,((Overall!$A$35:$A$71=4)/(Overall!$A$35:$A$71=4)*ROW(Overall!$A$35:$A$71))-ROW(Overall!$A$34), ROWS(Overall!$L$35:Q48))),"")</f>
        <v/>
      </c>
      <c r="G42" s="96" t="str" cm="1">
        <f t="array" ref="G42">IFERROR(INDEX(Overall!H$35:H$71,_xlfn.AGGREGATE(15,3,((Overall!$A$35:$A$71=4)/(Overall!$A$35:$A$71=4)*ROW(Overall!$A$35:$A$71))-ROW(Overall!$A$34), ROWS(Overall!$L$35:R48))),"")</f>
        <v/>
      </c>
      <c r="H42" s="96" t="str" cm="1">
        <f t="array" ref="H42">IFERROR(INDEX(Overall!I$35:I$71,_xlfn.AGGREGATE(15,3,((Overall!$A$35:$A$71=4)/(Overall!$A$35:$A$71=4)*ROW(Overall!$A$35:$A$71))-ROW(Overall!$A$34), ROWS(Overall!$L$35:S48))),"")</f>
        <v/>
      </c>
      <c r="I42" s="62" t="str" cm="1">
        <f t="array" ref="I42">IFERROR(INDEX(Overall!J$35:J$71,_xlfn.AGGREGATE(15,3,((Overall!$A$35:$A$71=4)/(Overall!$A$35:$A$71=4)*ROW(Overall!$A$35:$A$71))-ROW(Overall!$A$34), ROWS(Overall!$L$35:T48))),"")</f>
        <v/>
      </c>
      <c r="J42" s="53" t="str" cm="1">
        <f t="array" ref="J42">IFERROR(INDEX(Overall!K$35:K$71,_xlfn.AGGREGATE(15,3,((Overall!$A$35:$A$71=4)/(Overall!$A$35:$A$71=4)*ROW(Overall!$A$35:$A$71))-ROW(Overall!$A$34),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IFERROR(INDEX(Overall!B$35:B$71,_xlfn.AGGREGATE(15,3,((Overall!$A$35:$A$71=4)/(Overall!$A$35:$A$71=4)*ROW(Overall!$A$35:$A$71))-ROW(Overall!$A$34), ROWS(Overall!$L$35:L49))),"")</f>
        <v/>
      </c>
      <c r="B43" s="60" t="str" cm="1">
        <f t="array" ref="B43">IFERROR(INDEX(Overall!C$35:C$71,_xlfn.AGGREGATE(15,3,((Overall!$A$35:$A$71=4)/(Overall!$A$35:$A$71=4)*ROW(Overall!$A$35:$A$71))-ROW(Overall!$A$34), ROWS(Overall!$L$35:M49))),"")</f>
        <v/>
      </c>
      <c r="C43" s="87" t="str" cm="1">
        <f t="array" ref="C43">IFERROR(INDEX(Overall!D$35:D$71,_xlfn.AGGREGATE(15,3,((Overall!$A$35:$A$71=4)/(Overall!$A$35:$A$71=4)*ROW(Overall!$A$35:$A$71))-ROW(Overall!$A$34), ROWS(Overall!$L$35:N49))),"")</f>
        <v/>
      </c>
      <c r="D43" s="62" t="str" cm="1">
        <f t="array" ref="D43">IFERROR(INDEX(Overall!E$35:E$71,_xlfn.AGGREGATE(15,3,((Overall!$A$35:$A$71=4)/(Overall!$A$35:$A$71=4)*ROW(Overall!$A$35:$A$71))-ROW(Overall!$A$34), ROWS(Overall!$L$35:O49))),"")</f>
        <v/>
      </c>
      <c r="E43" s="128" t="str" cm="1">
        <f t="array" ref="E43">IFERROR(INDEX(Overall!F$35:F$71,_xlfn.AGGREGATE(15,3,((Overall!$A$35:$A$71=4)/(Overall!$A$35:$A$71=4)*ROW(Overall!$A$35:$A$71))-ROW(Overall!$A$34), ROWS(Overall!$L$35:P49))),"")</f>
        <v/>
      </c>
      <c r="F43" s="129" t="str" cm="1">
        <f t="array" ref="F43">IFERROR(INDEX(Overall!G$35:G$71,_xlfn.AGGREGATE(15,3,((Overall!$A$35:$A$71=4)/(Overall!$A$35:$A$71=4)*ROW(Overall!$A$35:$A$71))-ROW(Overall!$A$34), ROWS(Overall!$L$35:Q49))),"")</f>
        <v/>
      </c>
      <c r="G43" s="96" t="str" cm="1">
        <f t="array" ref="G43">IFERROR(INDEX(Overall!H$35:H$71,_xlfn.AGGREGATE(15,3,((Overall!$A$35:$A$71=4)/(Overall!$A$35:$A$71=4)*ROW(Overall!$A$35:$A$71))-ROW(Overall!$A$34), ROWS(Overall!$L$35:R49))),"")</f>
        <v/>
      </c>
      <c r="H43" s="96" t="str" cm="1">
        <f t="array" ref="H43">IFERROR(INDEX(Overall!I$35:I$71,_xlfn.AGGREGATE(15,3,((Overall!$A$35:$A$71=4)/(Overall!$A$35:$A$71=4)*ROW(Overall!$A$35:$A$71))-ROW(Overall!$A$34), ROWS(Overall!$L$35:S49))),"")</f>
        <v/>
      </c>
      <c r="I43" s="62" t="str" cm="1">
        <f t="array" ref="I43">IFERROR(INDEX(Overall!J$35:J$71,_xlfn.AGGREGATE(15,3,((Overall!$A$35:$A$71=4)/(Overall!$A$35:$A$71=4)*ROW(Overall!$A$35:$A$71))-ROW(Overall!$A$34), ROWS(Overall!$L$35:T49))),"")</f>
        <v/>
      </c>
      <c r="J43" s="53" t="str" cm="1">
        <f t="array" ref="J43">IFERROR(INDEX(Overall!K$35:K$71,_xlfn.AGGREGATE(15,3,((Overall!$A$35:$A$71=4)/(Overall!$A$35:$A$71=4)*ROW(Overall!$A$35:$A$71))-ROW(Overall!$A$34),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IFERROR(INDEX(Overall!B$35:B$71,_xlfn.AGGREGATE(15,3,((Overall!$A$35:$A$71=4)/(Overall!$A$35:$A$71=4)*ROW(Overall!$A$35:$A$71))-ROW(Overall!$A$34), ROWS(Overall!$L$35:L50))),"")</f>
        <v/>
      </c>
      <c r="B44" s="61" t="str" cm="1">
        <f t="array" ref="B44">IFERROR(INDEX(Overall!C$35:C$71,_xlfn.AGGREGATE(15,3,((Overall!$A$35:$A$71=4)/(Overall!$A$35:$A$71=4)*ROW(Overall!$A$35:$A$71))-ROW(Overall!$A$34), ROWS(Overall!$L$35:M50))),"")</f>
        <v/>
      </c>
      <c r="C44" s="88" t="str" cm="1">
        <f t="array" ref="C44">IFERROR(INDEX(Overall!D$35:D$71,_xlfn.AGGREGATE(15,3,((Overall!$A$35:$A$71=4)/(Overall!$A$35:$A$71=4)*ROW(Overall!$A$35:$A$71))-ROW(Overall!$A$34), ROWS(Overall!$L$35:N50))),"")</f>
        <v/>
      </c>
      <c r="D44" s="63" t="str" cm="1">
        <f t="array" ref="D44">IFERROR(INDEX(Overall!E$35:E$71,_xlfn.AGGREGATE(15,3,((Overall!$A$35:$A$71=4)/(Overall!$A$35:$A$71=4)*ROW(Overall!$A$35:$A$71))-ROW(Overall!$A$34), ROWS(Overall!$L$35:O50))),"")</f>
        <v/>
      </c>
      <c r="E44" s="130" t="str" cm="1">
        <f t="array" ref="E44">IFERROR(INDEX(Overall!F$35:F$71,_xlfn.AGGREGATE(15,3,((Overall!$A$35:$A$71=4)/(Overall!$A$35:$A$71=4)*ROW(Overall!$A$35:$A$71))-ROW(Overall!$A$34), ROWS(Overall!$L$35:P50))),"")</f>
        <v/>
      </c>
      <c r="F44" s="131" t="str" cm="1">
        <f t="array" ref="F44">IFERROR(INDEX(Overall!G$35:G$71,_xlfn.AGGREGATE(15,3,((Overall!$A$35:$A$71=4)/(Overall!$A$35:$A$71=4)*ROW(Overall!$A$35:$A$71))-ROW(Overall!$A$34), ROWS(Overall!$L$35:Q50))),"")</f>
        <v/>
      </c>
      <c r="G44" s="97" t="str" cm="1">
        <f t="array" ref="G44">IFERROR(INDEX(Overall!H$35:H$71,_xlfn.AGGREGATE(15,3,((Overall!$A$35:$A$71=4)/(Overall!$A$35:$A$71=4)*ROW(Overall!$A$35:$A$71))-ROW(Overall!$A$34), ROWS(Overall!$L$35:R50))),"")</f>
        <v/>
      </c>
      <c r="H44" s="97" t="str" cm="1">
        <f t="array" ref="H44">IFERROR(INDEX(Overall!I$35:I$71,_xlfn.AGGREGATE(15,3,((Overall!$A$35:$A$71=4)/(Overall!$A$35:$A$71=4)*ROW(Overall!$A$35:$A$71))-ROW(Overall!$A$34), ROWS(Overall!$L$35:S50))),"")</f>
        <v/>
      </c>
      <c r="I44" s="65" t="str" cm="1">
        <f t="array" ref="I44">IFERROR(INDEX(Overall!J$35:J$71,_xlfn.AGGREGATE(15,3,((Overall!$A$35:$A$71=4)/(Overall!$A$35:$A$71=4)*ROW(Overall!$A$35:$A$71))-ROW(Overall!$A$34), ROWS(Overall!$L$35:T50))),"")</f>
        <v/>
      </c>
      <c r="J44" s="54" t="str" cm="1">
        <f t="array" ref="J44">IFERROR(INDEX(Overall!K$35:K$71,_xlfn.AGGREGATE(15,3,((Overall!$A$35:$A$71=4)/(Overall!$A$35:$A$71=4)*ROW(Overall!$A$35:$A$71))-ROW(Overall!$A$34),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/>
      <c r="J47" s="52"/>
    </row>
    <row r="48" spans="1:10" x14ac:dyDescent="0.25">
      <c r="A48" s="67"/>
      <c r="B48" s="72"/>
      <c r="C48" s="178"/>
      <c r="D48" s="179"/>
      <c r="H48" s="52"/>
      <c r="I48" s="50"/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 s="105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</sheetData>
  <mergeCells count="47"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A46:H46"/>
    <mergeCell ref="E47:H47"/>
    <mergeCell ref="C60:D60"/>
    <mergeCell ref="C61:D61"/>
    <mergeCell ref="C57:D57"/>
    <mergeCell ref="C58:D58"/>
    <mergeCell ref="C59:D59"/>
  </mergeCells>
  <conditionalFormatting sqref="A29:J43">
    <cfRule type="cellIs" dxfId="37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E98D-A1EF-4FCA-BAC2-F133E4DB0A60}">
  <sheetPr codeName="Sheet7">
    <pageSetUpPr autoPageBreaks="0"/>
  </sheetPr>
  <dimension ref="A1:J61"/>
  <sheetViews>
    <sheetView showGridLines="0" zoomScale="110" zoomScaleNormal="110" workbookViewId="0">
      <selection activeCell="L14" sqref="L14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22</v>
      </c>
      <c r="C3" s="175"/>
      <c r="F3" s="74">
        <f>IFERROR(VLOOKUP($B$3,Totals!$B$3:$C$11,2,0),0)</f>
        <v>2620</v>
      </c>
      <c r="G3" s="163" t="s">
        <v>4</v>
      </c>
      <c r="H3" s="163"/>
      <c r="I3" s="164"/>
    </row>
    <row r="4" spans="1:10" x14ac:dyDescent="0.25">
      <c r="F4" s="74">
        <f>VLOOKUP($B$3,Totals!$E$3:$F$12,2,0)</f>
        <v>3600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6485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1</v>
      </c>
      <c r="C6" s="71">
        <f>VLOOKUP($B$3,Totals!$V$48:$Y$57,3,0)</f>
        <v>1</v>
      </c>
      <c r="D6" s="77">
        <f>VLOOKUP($B$3,Totals!$V$48:$Y$57,4,0)</f>
        <v>1</v>
      </c>
    </row>
    <row r="7" spans="1:10" x14ac:dyDescent="0.25">
      <c r="G7" s="92" t="s">
        <v>6</v>
      </c>
      <c r="H7" s="93">
        <f>F3/F4</f>
        <v>0.72777777777777775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0</v>
      </c>
      <c r="C9" s="82">
        <f>IFERROR(VLOOKUP($B$3,Totals!$L$3:$N$11,3,0),0)</f>
        <v>40.400925212027758</v>
      </c>
      <c r="D9" s="83">
        <f>IFERROR(VLOOKUP('5'!$B$3,Totals!$P$4:$Y$12,10,0),0)</f>
        <v>29.675942487442867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0</v>
      </c>
      <c r="C22" s="163" t="str">
        <f>VLOOKUP($B$3&amp;A22,Totals!$G$49:$K$73,5,0)</f>
        <v>DNR</v>
      </c>
      <c r="D22" s="164"/>
      <c r="F22" s="66">
        <v>1</v>
      </c>
      <c r="G22" s="69">
        <f>VLOOKUP($B$3&amp;F22,Totals!$M$49:$Q$73,4,0)</f>
        <v>175</v>
      </c>
      <c r="H22" s="163" t="str">
        <f>VLOOKUP($B$3&amp;F22,Totals!$M$49:$Q$73,5,0)</f>
        <v>Unloader</v>
      </c>
      <c r="I22" s="164"/>
    </row>
    <row r="23" spans="1:10" x14ac:dyDescent="0.25">
      <c r="A23" s="67">
        <v>2</v>
      </c>
      <c r="B23" s="70">
        <f>VLOOKUP($B$3&amp;A23,Totals!$G$49:$K$73,4,0)</f>
        <v>0</v>
      </c>
      <c r="C23" s="163" t="str">
        <f>VLOOKUP($B$3&amp;A23,Totals!$G$49:$K$73,5,0)</f>
        <v>DNR</v>
      </c>
      <c r="D23" s="164"/>
      <c r="F23" s="67">
        <v>2</v>
      </c>
      <c r="G23" s="70">
        <f>VLOOKUP($B$3&amp;F23,Totals!$M$49:$Q$73,4,0)</f>
        <v>68</v>
      </c>
      <c r="H23" s="163" t="str">
        <f>VLOOKUP($B$3&amp;F23,Totals!$M$49:$Q$73,5,0)</f>
        <v>Capper</v>
      </c>
      <c r="I23" s="164"/>
    </row>
    <row r="24" spans="1:10" x14ac:dyDescent="0.25">
      <c r="A24" s="68">
        <v>3</v>
      </c>
      <c r="B24" s="71">
        <f>VLOOKUP($B$3&amp;A24,Totals!$G$49:$K$73,4,0)</f>
        <v>0</v>
      </c>
      <c r="C24" s="165" t="str">
        <f>VLOOKUP($B$3&amp;A24,Totals!$G$49:$K$73,5,0)</f>
        <v>DNR</v>
      </c>
      <c r="D24" s="166"/>
      <c r="F24" s="68">
        <v>3</v>
      </c>
      <c r="G24" s="71">
        <f>VLOOKUP($B$3&amp;F24,Totals!$M$49:$Q$73,4,0)</f>
        <v>67</v>
      </c>
      <c r="H24" s="165" t="str">
        <f>VLOOKUP($B$3&amp;F24,Totals!$M$49:$Q$73,5,0)</f>
        <v>Labeler</v>
      </c>
      <c r="I24" s="166"/>
    </row>
    <row r="27" spans="1:10" x14ac:dyDescent="0.25">
      <c r="A27" s="156" t="s">
        <v>10</v>
      </c>
      <c r="B27" s="156"/>
      <c r="C27" s="156"/>
      <c r="D27" s="156"/>
      <c r="E27" s="156"/>
      <c r="F27" s="156"/>
      <c r="G27" s="156"/>
      <c r="H27" s="156"/>
      <c r="I27" s="156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IFERROR(INDEX(Overall!B$35:B$71,_xlfn.AGGREGATE(15,3,((Overall!$A$35:$A$71=5)/(Overall!$A$35:$A$71=5)*ROW(Overall!$A$35:$A$71))-ROW(Overall!$A$34), ROWS(Overall!$L$35:L35))),"")</f>
        <v/>
      </c>
      <c r="B29" s="60" t="str" cm="1">
        <f t="array" ref="B29">IFERROR(INDEX(Overall!C$35:C$71,_xlfn.AGGREGATE(15,3,((Overall!$A$35:$A$71=5)/(Overall!$A$35:$A$71=5)*ROW(Overall!$A$35:$A$71))-ROW(Overall!$A$34), ROWS(Overall!$L$35:M35))),"")</f>
        <v/>
      </c>
      <c r="C29" s="87" t="str" cm="1">
        <f t="array" ref="C29">IFERROR(INDEX(Overall!D$35:D$71,_xlfn.AGGREGATE(15,3,((Overall!$A$35:$A$71=5)/(Overall!$A$35:$A$71=5)*ROW(Overall!$A$35:$A$71))-ROW(Overall!$A$34), ROWS(Overall!$L$35:N35))),"")</f>
        <v/>
      </c>
      <c r="D29" s="62" t="str" cm="1">
        <f t="array" ref="D29">IFERROR(INDEX(Overall!E$35:E$71,_xlfn.AGGREGATE(15,3,((Overall!$A$35:$A$71=5)/(Overall!$A$35:$A$71=5)*ROW(Overall!$A$35:$A$71))-ROW(Overall!$A$34), ROWS(Overall!$L$35:O35))),"")</f>
        <v/>
      </c>
      <c r="E29" s="128" t="str" cm="1">
        <f t="array" ref="E29">IFERROR(INDEX(Overall!F$35:F$71,_xlfn.AGGREGATE(15,3,((Overall!$A$35:$A$71=5)/(Overall!$A$35:$A$71=5)*ROW(Overall!$A$35:$A$71))-ROW(Overall!$A$34), ROWS(Overall!$L$35:P35))),"")</f>
        <v/>
      </c>
      <c r="F29" s="129" t="str" cm="1">
        <f t="array" ref="F29">IFERROR(INDEX(Overall!G$35:G$71,_xlfn.AGGREGATE(15,3,((Overall!$A$35:$A$71=5)/(Overall!$A$35:$A$71=5)*ROW(Overall!$A$35:$A$71))-ROW(Overall!$A$34), ROWS(Overall!$L$35:Q35))),"")</f>
        <v/>
      </c>
      <c r="G29" s="96" t="str" cm="1">
        <f t="array" ref="G29">IFERROR(INDEX(Overall!H$35:H$71,_xlfn.AGGREGATE(15,3,((Overall!$A$35:$A$71=5)/(Overall!$A$35:$A$71=5)*ROW(Overall!$A$35:$A$71))-ROW(Overall!$A$34), ROWS(Overall!$L$35:R35))),"")</f>
        <v/>
      </c>
      <c r="H29" s="96" t="str" cm="1">
        <f t="array" ref="H29">IFERROR(INDEX(Overall!I$35:I$71,_xlfn.AGGREGATE(15,3,((Overall!$A$35:$A$71=5)/(Overall!$A$35:$A$71=5)*ROW(Overall!$A$35:$A$71))-ROW(Overall!$A$34), ROWS(Overall!$L$35:S35))),"")</f>
        <v/>
      </c>
      <c r="I29" s="62" t="str" cm="1">
        <f t="array" ref="I29">IFERROR(INDEX(Overall!J$35:J$71,_xlfn.AGGREGATE(15,3,((Overall!$A$35:$A$71=5)/(Overall!$A$35:$A$71=5)*ROW(Overall!$A$35:$A$71))-ROW(Overall!$A$34), ROWS(Overall!$L$35:T35))),"")</f>
        <v/>
      </c>
      <c r="J29" s="53" t="str" cm="1">
        <f t="array" ref="J29">IFERROR(INDEX(Overall!K$35:K$71,_xlfn.AGGREGATE(15,3,((Overall!$A$35:$A$71=5)/(Overall!$A$35:$A$71=5)*ROW(Overall!$A$35:$A$71))-ROW(Overall!$A$34),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IFERROR(INDEX(Overall!B$35:B$71,_xlfn.AGGREGATE(15,3,((Overall!$A$35:$A$71=5)/(Overall!$A$35:$A$71=5)*ROW(Overall!$A$35:$A$71))-ROW(Overall!$A$34), ROWS(Overall!$L$35:L36))),"")</f>
        <v/>
      </c>
      <c r="B30" s="60" t="str" cm="1">
        <f t="array" ref="B30">IFERROR(INDEX(Overall!C$35:C$71,_xlfn.AGGREGATE(15,3,((Overall!$A$35:$A$71=5)/(Overall!$A$35:$A$71=5)*ROW(Overall!$A$35:$A$71))-ROW(Overall!$A$34), ROWS(Overall!$L$35:M36))),"")</f>
        <v/>
      </c>
      <c r="C30" s="87" t="str" cm="1">
        <f t="array" ref="C30">IFERROR(INDEX(Overall!D$35:D$71,_xlfn.AGGREGATE(15,3,((Overall!$A$35:$A$71=5)/(Overall!$A$35:$A$71=5)*ROW(Overall!$A$35:$A$71))-ROW(Overall!$A$34), ROWS(Overall!$L$35:N36))),"")</f>
        <v/>
      </c>
      <c r="D30" s="62" t="str" cm="1">
        <f t="array" ref="D30">IFERROR(INDEX(Overall!E$35:E$71,_xlfn.AGGREGATE(15,3,((Overall!$A$35:$A$71=5)/(Overall!$A$35:$A$71=5)*ROW(Overall!$A$35:$A$71))-ROW(Overall!$A$34), ROWS(Overall!$L$35:O36))),"")</f>
        <v/>
      </c>
      <c r="E30" s="128" t="str" cm="1">
        <f t="array" ref="E30">IFERROR(INDEX(Overall!F$35:F$71,_xlfn.AGGREGATE(15,3,((Overall!$A$35:$A$71=5)/(Overall!$A$35:$A$71=5)*ROW(Overall!$A$35:$A$71))-ROW(Overall!$A$34), ROWS(Overall!$L$35:P36))),"")</f>
        <v/>
      </c>
      <c r="F30" s="129" t="str" cm="1">
        <f t="array" ref="F30">IFERROR(INDEX(Overall!G$35:G$71,_xlfn.AGGREGATE(15,3,((Overall!$A$35:$A$71=5)/(Overall!$A$35:$A$71=5)*ROW(Overall!$A$35:$A$71))-ROW(Overall!$A$34), ROWS(Overall!$L$35:Q36))),"")</f>
        <v/>
      </c>
      <c r="G30" s="96" t="str" cm="1">
        <f t="array" ref="G30">IFERROR(INDEX(Overall!H$35:H$71,_xlfn.AGGREGATE(15,3,((Overall!$A$35:$A$71=5)/(Overall!$A$35:$A$71=5)*ROW(Overall!$A$35:$A$71))-ROW(Overall!$A$34), ROWS(Overall!$L$35:R36))),"")</f>
        <v/>
      </c>
      <c r="H30" s="96" t="str" cm="1">
        <f t="array" ref="H30">IFERROR(INDEX(Overall!I$35:I$71,_xlfn.AGGREGATE(15,3,((Overall!$A$35:$A$71=5)/(Overall!$A$35:$A$71=5)*ROW(Overall!$A$35:$A$71))-ROW(Overall!$A$34), ROWS(Overall!$L$35:S36))),"")</f>
        <v/>
      </c>
      <c r="I30" s="62" t="str" cm="1">
        <f t="array" ref="I30">IFERROR(INDEX(Overall!J$35:J$71,_xlfn.AGGREGATE(15,3,((Overall!$A$35:$A$71=5)/(Overall!$A$35:$A$71=5)*ROW(Overall!$A$35:$A$71))-ROW(Overall!$A$34), ROWS(Overall!$L$35:T36))),"")</f>
        <v/>
      </c>
      <c r="J30" s="53" t="str" cm="1">
        <f t="array" ref="J30">IFERROR(INDEX(Overall!K$35:K$71,_xlfn.AGGREGATE(15,3,((Overall!$A$35:$A$71=5)/(Overall!$A$35:$A$71=5)*ROW(Overall!$A$35:$A$71))-ROW(Overall!$A$34),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IFERROR(INDEX(Overall!B$35:B$71,_xlfn.AGGREGATE(15,3,((Overall!$A$35:$A$71=5)/(Overall!$A$35:$A$71=5)*ROW(Overall!$A$35:$A$71))-ROW(Overall!$A$34), ROWS(Overall!$L$35:L37))),"")</f>
        <v/>
      </c>
      <c r="B31" s="60" t="str" cm="1">
        <f t="array" ref="B31">IFERROR(INDEX(Overall!C$35:C$71,_xlfn.AGGREGATE(15,3,((Overall!$A$35:$A$71=5)/(Overall!$A$35:$A$71=5)*ROW(Overall!$A$35:$A$71))-ROW(Overall!$A$34), ROWS(Overall!$L$35:M37))),"")</f>
        <v/>
      </c>
      <c r="C31" s="87" t="str" cm="1">
        <f t="array" ref="C31">IFERROR(INDEX(Overall!D$35:D$71,_xlfn.AGGREGATE(15,3,((Overall!$A$35:$A$71=5)/(Overall!$A$35:$A$71=5)*ROW(Overall!$A$35:$A$71))-ROW(Overall!$A$34), ROWS(Overall!$L$35:N37))),"")</f>
        <v/>
      </c>
      <c r="D31" s="62" t="str" cm="1">
        <f t="array" ref="D31">IFERROR(INDEX(Overall!E$35:E$71,_xlfn.AGGREGATE(15,3,((Overall!$A$35:$A$71=5)/(Overall!$A$35:$A$71=5)*ROW(Overall!$A$35:$A$71))-ROW(Overall!$A$34), ROWS(Overall!$L$35:O37))),"")</f>
        <v/>
      </c>
      <c r="E31" s="128" t="str" cm="1">
        <f t="array" ref="E31">IFERROR(INDEX(Overall!F$35:F$71,_xlfn.AGGREGATE(15,3,((Overall!$A$35:$A$71=5)/(Overall!$A$35:$A$71=5)*ROW(Overall!$A$35:$A$71))-ROW(Overall!$A$34), ROWS(Overall!$L$35:P37))),"")</f>
        <v/>
      </c>
      <c r="F31" s="129" t="str" cm="1">
        <f t="array" ref="F31">IFERROR(INDEX(Overall!G$35:G$71,_xlfn.AGGREGATE(15,3,((Overall!$A$35:$A$71=5)/(Overall!$A$35:$A$71=5)*ROW(Overall!$A$35:$A$71))-ROW(Overall!$A$34), ROWS(Overall!$L$35:Q37))),"")</f>
        <v/>
      </c>
      <c r="G31" s="96" t="str" cm="1">
        <f t="array" ref="G31">IFERROR(INDEX(Overall!H$35:H$71,_xlfn.AGGREGATE(15,3,((Overall!$A$35:$A$71=5)/(Overall!$A$35:$A$71=5)*ROW(Overall!$A$35:$A$71))-ROW(Overall!$A$34), ROWS(Overall!$L$35:R37))),"")</f>
        <v/>
      </c>
      <c r="H31" s="96" t="str" cm="1">
        <f t="array" ref="H31">IFERROR(INDEX(Overall!I$35:I$71,_xlfn.AGGREGATE(15,3,((Overall!$A$35:$A$71=5)/(Overall!$A$35:$A$71=5)*ROW(Overall!$A$35:$A$71))-ROW(Overall!$A$34), ROWS(Overall!$L$35:S37))),"")</f>
        <v/>
      </c>
      <c r="I31" s="62" t="str" cm="1">
        <f t="array" ref="I31">IFERROR(INDEX(Overall!J$35:J$71,_xlfn.AGGREGATE(15,3,((Overall!$A$35:$A$71=5)/(Overall!$A$35:$A$71=5)*ROW(Overall!$A$35:$A$71))-ROW(Overall!$A$34), ROWS(Overall!$L$35:T37))),"")</f>
        <v/>
      </c>
      <c r="J31" s="53" t="str" cm="1">
        <f t="array" ref="J31">IFERROR(INDEX(Overall!K$35:K$71,_xlfn.AGGREGATE(15,3,((Overall!$A$35:$A$71=5)/(Overall!$A$35:$A$71=5)*ROW(Overall!$A$35:$A$71))-ROW(Overall!$A$34),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IFERROR(INDEX(Overall!B$35:B$71,_xlfn.AGGREGATE(15,3,((Overall!$A$35:$A$71=5)/(Overall!$A$35:$A$71=5)*ROW(Overall!$A$35:$A$71))-ROW(Overall!$A$34), ROWS(Overall!$L$35:L38))),"")</f>
        <v/>
      </c>
      <c r="B32" s="60" t="str" cm="1">
        <f t="array" ref="B32">IFERROR(INDEX(Overall!C$35:C$71,_xlfn.AGGREGATE(15,3,((Overall!$A$35:$A$71=5)/(Overall!$A$35:$A$71=5)*ROW(Overall!$A$35:$A$71))-ROW(Overall!$A$34), ROWS(Overall!$L$35:M38))),"")</f>
        <v/>
      </c>
      <c r="C32" s="87" t="str" cm="1">
        <f t="array" ref="C32">IFERROR(INDEX(Overall!D$35:D$71,_xlfn.AGGREGATE(15,3,((Overall!$A$35:$A$71=5)/(Overall!$A$35:$A$71=5)*ROW(Overall!$A$35:$A$71))-ROW(Overall!$A$34), ROWS(Overall!$L$35:N38))),"")</f>
        <v/>
      </c>
      <c r="D32" s="62" t="str" cm="1">
        <f t="array" ref="D32">IFERROR(INDEX(Overall!E$35:E$71,_xlfn.AGGREGATE(15,3,((Overall!$A$35:$A$71=5)/(Overall!$A$35:$A$71=5)*ROW(Overall!$A$35:$A$71))-ROW(Overall!$A$34), ROWS(Overall!$L$35:O38))),"")</f>
        <v/>
      </c>
      <c r="E32" s="128" t="str" cm="1">
        <f t="array" ref="E32">IFERROR(INDEX(Overall!F$35:F$71,_xlfn.AGGREGATE(15,3,((Overall!$A$35:$A$71=5)/(Overall!$A$35:$A$71=5)*ROW(Overall!$A$35:$A$71))-ROW(Overall!$A$34), ROWS(Overall!$L$35:P38))),"")</f>
        <v/>
      </c>
      <c r="F32" s="129" t="str" cm="1">
        <f t="array" ref="F32">IFERROR(INDEX(Overall!G$35:G$71,_xlfn.AGGREGATE(15,3,((Overall!$A$35:$A$71=5)/(Overall!$A$35:$A$71=5)*ROW(Overall!$A$35:$A$71))-ROW(Overall!$A$34), ROWS(Overall!$L$35:Q38))),"")</f>
        <v/>
      </c>
      <c r="G32" s="96" t="str" cm="1">
        <f t="array" ref="G32">IFERROR(INDEX(Overall!H$35:H$71,_xlfn.AGGREGATE(15,3,((Overall!$A$35:$A$71=5)/(Overall!$A$35:$A$71=5)*ROW(Overall!$A$35:$A$71))-ROW(Overall!$A$34), ROWS(Overall!$L$35:R38))),"")</f>
        <v/>
      </c>
      <c r="H32" s="96" t="str" cm="1">
        <f t="array" ref="H32">IFERROR(INDEX(Overall!I$35:I$71,_xlfn.AGGREGATE(15,3,((Overall!$A$35:$A$71=5)/(Overall!$A$35:$A$71=5)*ROW(Overall!$A$35:$A$71))-ROW(Overall!$A$34), ROWS(Overall!$L$35:S38))),"")</f>
        <v/>
      </c>
      <c r="I32" s="62" t="str" cm="1">
        <f t="array" ref="I32">IFERROR(INDEX(Overall!J$35:J$71,_xlfn.AGGREGATE(15,3,((Overall!$A$35:$A$71=5)/(Overall!$A$35:$A$71=5)*ROW(Overall!$A$35:$A$71))-ROW(Overall!$A$34), ROWS(Overall!$L$35:T38))),"")</f>
        <v/>
      </c>
      <c r="J32" s="53" t="str" cm="1">
        <f t="array" ref="J32">IFERROR(INDEX(Overall!K$35:K$71,_xlfn.AGGREGATE(15,3,((Overall!$A$35:$A$71=5)/(Overall!$A$35:$A$71=5)*ROW(Overall!$A$35:$A$71))-ROW(Overall!$A$34),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IFERROR(INDEX(Overall!B$35:B$71,_xlfn.AGGREGATE(15,3,((Overall!$A$35:$A$71=5)/(Overall!$A$35:$A$71=5)*ROW(Overall!$A$35:$A$71))-ROW(Overall!$A$34), ROWS(Overall!$L$35:L39))),"")</f>
        <v/>
      </c>
      <c r="B33" s="60" t="str" cm="1">
        <f t="array" ref="B33">IFERROR(INDEX(Overall!C$35:C$71,_xlfn.AGGREGATE(15,3,((Overall!$A$35:$A$71=5)/(Overall!$A$35:$A$71=5)*ROW(Overall!$A$35:$A$71))-ROW(Overall!$A$34), ROWS(Overall!$L$35:M39))),"")</f>
        <v/>
      </c>
      <c r="C33" s="87" t="str" cm="1">
        <f t="array" ref="C33">IFERROR(INDEX(Overall!D$35:D$71,_xlfn.AGGREGATE(15,3,((Overall!$A$35:$A$71=5)/(Overall!$A$35:$A$71=5)*ROW(Overall!$A$35:$A$71))-ROW(Overall!$A$34), ROWS(Overall!$L$35:N39))),"")</f>
        <v/>
      </c>
      <c r="D33" s="62" t="str" cm="1">
        <f t="array" ref="D33">IFERROR(INDEX(Overall!E$35:E$71,_xlfn.AGGREGATE(15,3,((Overall!$A$35:$A$71=5)/(Overall!$A$35:$A$71=5)*ROW(Overall!$A$35:$A$71))-ROW(Overall!$A$34), ROWS(Overall!$L$35:O39))),"")</f>
        <v/>
      </c>
      <c r="E33" s="128" t="str" cm="1">
        <f t="array" ref="E33">IFERROR(INDEX(Overall!F$35:F$71,_xlfn.AGGREGATE(15,3,((Overall!$A$35:$A$71=5)/(Overall!$A$35:$A$71=5)*ROW(Overall!$A$35:$A$71))-ROW(Overall!$A$34), ROWS(Overall!$L$35:P39))),"")</f>
        <v/>
      </c>
      <c r="F33" s="129" t="str" cm="1">
        <f t="array" ref="F33">IFERROR(INDEX(Overall!G$35:G$71,_xlfn.AGGREGATE(15,3,((Overall!$A$35:$A$71=5)/(Overall!$A$35:$A$71=5)*ROW(Overall!$A$35:$A$71))-ROW(Overall!$A$34), ROWS(Overall!$L$35:Q39))),"")</f>
        <v/>
      </c>
      <c r="G33" s="96" t="str" cm="1">
        <f t="array" ref="G33">IFERROR(INDEX(Overall!H$35:H$71,_xlfn.AGGREGATE(15,3,((Overall!$A$35:$A$71=5)/(Overall!$A$35:$A$71=5)*ROW(Overall!$A$35:$A$71))-ROW(Overall!$A$34), ROWS(Overall!$L$35:R39))),"")</f>
        <v/>
      </c>
      <c r="H33" s="96" t="str" cm="1">
        <f t="array" ref="H33">IFERROR(INDEX(Overall!I$35:I$71,_xlfn.AGGREGATE(15,3,((Overall!$A$35:$A$71=5)/(Overall!$A$35:$A$71=5)*ROW(Overall!$A$35:$A$71))-ROW(Overall!$A$34), ROWS(Overall!$L$35:S39))),"")</f>
        <v/>
      </c>
      <c r="I33" s="62" t="str" cm="1">
        <f t="array" ref="I33">IFERROR(INDEX(Overall!J$35:J$71,_xlfn.AGGREGATE(15,3,((Overall!$A$35:$A$71=5)/(Overall!$A$35:$A$71=5)*ROW(Overall!$A$35:$A$71))-ROW(Overall!$A$34), ROWS(Overall!$L$35:T39))),"")</f>
        <v/>
      </c>
      <c r="J33" s="53" t="str" cm="1">
        <f t="array" ref="J33">IFERROR(INDEX(Overall!K$35:K$71,_xlfn.AGGREGATE(15,3,((Overall!$A$35:$A$71=5)/(Overall!$A$35:$A$71=5)*ROW(Overall!$A$35:$A$71))-ROW(Overall!$A$34),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IFERROR(INDEX(Overall!B$35:B$71,_xlfn.AGGREGATE(15,3,((Overall!$A$35:$A$71=5)/(Overall!$A$35:$A$71=5)*ROW(Overall!$A$35:$A$71))-ROW(Overall!$A$34), ROWS(Overall!$L$35:L40))),"")</f>
        <v/>
      </c>
      <c r="B34" s="60" t="str" cm="1">
        <f t="array" ref="B34">IFERROR(INDEX(Overall!C$35:C$71,_xlfn.AGGREGATE(15,3,((Overall!$A$35:$A$71=5)/(Overall!$A$35:$A$71=5)*ROW(Overall!$A$35:$A$71))-ROW(Overall!$A$34), ROWS(Overall!$L$35:M40))),"")</f>
        <v/>
      </c>
      <c r="C34" s="87" t="str" cm="1">
        <f t="array" ref="C34">IFERROR(INDEX(Overall!D$35:D$71,_xlfn.AGGREGATE(15,3,((Overall!$A$35:$A$71=5)/(Overall!$A$35:$A$71=5)*ROW(Overall!$A$35:$A$71))-ROW(Overall!$A$34), ROWS(Overall!$L$35:N40))),"")</f>
        <v/>
      </c>
      <c r="D34" s="62" t="str" cm="1">
        <f t="array" ref="D34">IFERROR(INDEX(Overall!E$35:E$71,_xlfn.AGGREGATE(15,3,((Overall!$A$35:$A$71=5)/(Overall!$A$35:$A$71=5)*ROW(Overall!$A$35:$A$71))-ROW(Overall!$A$34), ROWS(Overall!$L$35:O40))),"")</f>
        <v/>
      </c>
      <c r="E34" s="128" t="str" cm="1">
        <f t="array" ref="E34">IFERROR(INDEX(Overall!F$35:F$71,_xlfn.AGGREGATE(15,3,((Overall!$A$35:$A$71=5)/(Overall!$A$35:$A$71=5)*ROW(Overall!$A$35:$A$71))-ROW(Overall!$A$34), ROWS(Overall!$L$35:P40))),"")</f>
        <v/>
      </c>
      <c r="F34" s="129" t="str" cm="1">
        <f t="array" ref="F34">IFERROR(INDEX(Overall!G$35:G$71,_xlfn.AGGREGATE(15,3,((Overall!$A$35:$A$71=5)/(Overall!$A$35:$A$71=5)*ROW(Overall!$A$35:$A$71))-ROW(Overall!$A$34), ROWS(Overall!$L$35:Q40))),"")</f>
        <v/>
      </c>
      <c r="G34" s="96" t="str" cm="1">
        <f t="array" ref="G34">IFERROR(INDEX(Overall!H$35:H$71,_xlfn.AGGREGATE(15,3,((Overall!$A$35:$A$71=5)/(Overall!$A$35:$A$71=5)*ROW(Overall!$A$35:$A$71))-ROW(Overall!$A$34), ROWS(Overall!$L$35:R40))),"")</f>
        <v/>
      </c>
      <c r="H34" s="96" t="str" cm="1">
        <f t="array" ref="H34">IFERROR(INDEX(Overall!I$35:I$71,_xlfn.AGGREGATE(15,3,((Overall!$A$35:$A$71=5)/(Overall!$A$35:$A$71=5)*ROW(Overall!$A$35:$A$71))-ROW(Overall!$A$34), ROWS(Overall!$L$35:S40))),"")</f>
        <v/>
      </c>
      <c r="I34" s="62" t="str" cm="1">
        <f t="array" ref="I34">IFERROR(INDEX(Overall!J$35:J$71,_xlfn.AGGREGATE(15,3,((Overall!$A$35:$A$71=5)/(Overall!$A$35:$A$71=5)*ROW(Overall!$A$35:$A$71))-ROW(Overall!$A$34), ROWS(Overall!$L$35:T40))),"")</f>
        <v/>
      </c>
      <c r="J34" s="53" t="str" cm="1">
        <f t="array" ref="J34">IFERROR(INDEX(Overall!K$35:K$71,_xlfn.AGGREGATE(15,3,((Overall!$A$35:$A$71=5)/(Overall!$A$35:$A$71=5)*ROW(Overall!$A$35:$A$71))-ROW(Overall!$A$34),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IFERROR(INDEX(Overall!B$35:B$71,_xlfn.AGGREGATE(15,3,((Overall!$A$35:$A$71=5)/(Overall!$A$35:$A$71=5)*ROW(Overall!$A$35:$A$71))-ROW(Overall!$A$34), ROWS(Overall!$L$35:L41))),"")</f>
        <v/>
      </c>
      <c r="B35" s="60" t="str" cm="1">
        <f t="array" ref="B35">IFERROR(INDEX(Overall!C$35:C$71,_xlfn.AGGREGATE(15,3,((Overall!$A$35:$A$71=5)/(Overall!$A$35:$A$71=5)*ROW(Overall!$A$35:$A$71))-ROW(Overall!$A$34), ROWS(Overall!$L$35:M41))),"")</f>
        <v/>
      </c>
      <c r="C35" s="87" t="str" cm="1">
        <f t="array" ref="C35">IFERROR(INDEX(Overall!D$35:D$71,_xlfn.AGGREGATE(15,3,((Overall!$A$35:$A$71=5)/(Overall!$A$35:$A$71=5)*ROW(Overall!$A$35:$A$71))-ROW(Overall!$A$34), ROWS(Overall!$L$35:N41))),"")</f>
        <v/>
      </c>
      <c r="D35" s="62" t="str" cm="1">
        <f t="array" ref="D35">IFERROR(INDEX(Overall!E$35:E$71,_xlfn.AGGREGATE(15,3,((Overall!$A$35:$A$71=5)/(Overall!$A$35:$A$71=5)*ROW(Overall!$A$35:$A$71))-ROW(Overall!$A$34), ROWS(Overall!$L$35:O41))),"")</f>
        <v/>
      </c>
      <c r="E35" s="128" t="str" cm="1">
        <f t="array" ref="E35">IFERROR(INDEX(Overall!F$35:F$71,_xlfn.AGGREGATE(15,3,((Overall!$A$35:$A$71=5)/(Overall!$A$35:$A$71=5)*ROW(Overall!$A$35:$A$71))-ROW(Overall!$A$34), ROWS(Overall!$L$35:P41))),"")</f>
        <v/>
      </c>
      <c r="F35" s="129" t="str" cm="1">
        <f t="array" ref="F35">IFERROR(INDEX(Overall!G$35:G$71,_xlfn.AGGREGATE(15,3,((Overall!$A$35:$A$71=5)/(Overall!$A$35:$A$71=5)*ROW(Overall!$A$35:$A$71))-ROW(Overall!$A$34), ROWS(Overall!$L$35:Q41))),"")</f>
        <v/>
      </c>
      <c r="G35" s="96" t="str" cm="1">
        <f t="array" ref="G35">IFERROR(INDEX(Overall!H$35:H$71,_xlfn.AGGREGATE(15,3,((Overall!$A$35:$A$71=5)/(Overall!$A$35:$A$71=5)*ROW(Overall!$A$35:$A$71))-ROW(Overall!$A$34), ROWS(Overall!$L$35:R41))),"")</f>
        <v/>
      </c>
      <c r="H35" s="96" t="str" cm="1">
        <f t="array" ref="H35">IFERROR(INDEX(Overall!I$35:I$71,_xlfn.AGGREGATE(15,3,((Overall!$A$35:$A$71=5)/(Overall!$A$35:$A$71=5)*ROW(Overall!$A$35:$A$71))-ROW(Overall!$A$34), ROWS(Overall!$L$35:S41))),"")</f>
        <v/>
      </c>
      <c r="I35" s="62" t="str" cm="1">
        <f t="array" ref="I35">IFERROR(INDEX(Overall!J$35:J$71,_xlfn.AGGREGATE(15,3,((Overall!$A$35:$A$71=5)/(Overall!$A$35:$A$71=5)*ROW(Overall!$A$35:$A$71))-ROW(Overall!$A$34), ROWS(Overall!$L$35:T41))),"")</f>
        <v/>
      </c>
      <c r="J35" s="53" t="str" cm="1">
        <f t="array" ref="J35">IFERROR(INDEX(Overall!K$35:K$71,_xlfn.AGGREGATE(15,3,((Overall!$A$35:$A$71=5)/(Overall!$A$35:$A$71=5)*ROW(Overall!$A$35:$A$71))-ROW(Overall!$A$34),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IFERROR(INDEX(Overall!B$35:B$71,_xlfn.AGGREGATE(15,3,((Overall!$A$35:$A$71=5)/(Overall!$A$35:$A$71=5)*ROW(Overall!$A$35:$A$71))-ROW(Overall!$A$34), ROWS(Overall!$L$35:L42))),"")</f>
        <v/>
      </c>
      <c r="B36" s="60" t="str" cm="1">
        <f t="array" ref="B36">IFERROR(INDEX(Overall!C$35:C$71,_xlfn.AGGREGATE(15,3,((Overall!$A$35:$A$71=5)/(Overall!$A$35:$A$71=5)*ROW(Overall!$A$35:$A$71))-ROW(Overall!$A$34), ROWS(Overall!$L$35:M42))),"")</f>
        <v/>
      </c>
      <c r="C36" s="87" t="str" cm="1">
        <f t="array" ref="C36">IFERROR(INDEX(Overall!D$35:D$71,_xlfn.AGGREGATE(15,3,((Overall!$A$35:$A$71=5)/(Overall!$A$35:$A$71=5)*ROW(Overall!$A$35:$A$71))-ROW(Overall!$A$34), ROWS(Overall!$L$35:N42))),"")</f>
        <v/>
      </c>
      <c r="D36" s="62" t="str" cm="1">
        <f t="array" ref="D36">IFERROR(INDEX(Overall!E$35:E$71,_xlfn.AGGREGATE(15,3,((Overall!$A$35:$A$71=5)/(Overall!$A$35:$A$71=5)*ROW(Overall!$A$35:$A$71))-ROW(Overall!$A$34), ROWS(Overall!$L$35:O42))),"")</f>
        <v/>
      </c>
      <c r="E36" s="128" t="str" cm="1">
        <f t="array" ref="E36">IFERROR(INDEX(Overall!F$35:F$71,_xlfn.AGGREGATE(15,3,((Overall!$A$35:$A$71=5)/(Overall!$A$35:$A$71=5)*ROW(Overall!$A$35:$A$71))-ROW(Overall!$A$34), ROWS(Overall!$L$35:P42))),"")</f>
        <v/>
      </c>
      <c r="F36" s="129" t="str" cm="1">
        <f t="array" ref="F36">IFERROR(INDEX(Overall!G$35:G$71,_xlfn.AGGREGATE(15,3,((Overall!$A$35:$A$71=5)/(Overall!$A$35:$A$71=5)*ROW(Overall!$A$35:$A$71))-ROW(Overall!$A$34), ROWS(Overall!$L$35:Q42))),"")</f>
        <v/>
      </c>
      <c r="G36" s="96" t="str" cm="1">
        <f t="array" ref="G36">IFERROR(INDEX(Overall!H$35:H$71,_xlfn.AGGREGATE(15,3,((Overall!$A$35:$A$71=5)/(Overall!$A$35:$A$71=5)*ROW(Overall!$A$35:$A$71))-ROW(Overall!$A$34), ROWS(Overall!$L$35:R42))),"")</f>
        <v/>
      </c>
      <c r="H36" s="96" t="str" cm="1">
        <f t="array" ref="H36">IFERROR(INDEX(Overall!I$35:I$71,_xlfn.AGGREGATE(15,3,((Overall!$A$35:$A$71=5)/(Overall!$A$35:$A$71=5)*ROW(Overall!$A$35:$A$71))-ROW(Overall!$A$34), ROWS(Overall!$L$35:S42))),"")</f>
        <v/>
      </c>
      <c r="I36" s="62" t="str" cm="1">
        <f t="array" ref="I36">IFERROR(INDEX(Overall!J$35:J$71,_xlfn.AGGREGATE(15,3,((Overall!$A$35:$A$71=5)/(Overall!$A$35:$A$71=5)*ROW(Overall!$A$35:$A$71))-ROW(Overall!$A$34), ROWS(Overall!$L$35:T42))),"")</f>
        <v/>
      </c>
      <c r="J36" s="53" t="str" cm="1">
        <f t="array" ref="J36">IFERROR(INDEX(Overall!K$35:K$71,_xlfn.AGGREGATE(15,3,((Overall!$A$35:$A$71=5)/(Overall!$A$35:$A$71=5)*ROW(Overall!$A$35:$A$71))-ROW(Overall!$A$34),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IFERROR(INDEX(Overall!B$35:B$71,_xlfn.AGGREGATE(15,3,((Overall!$A$35:$A$71=5)/(Overall!$A$35:$A$71=5)*ROW(Overall!$A$35:$A$71))-ROW(Overall!$A$34), ROWS(Overall!$L$35:L43))),"")</f>
        <v/>
      </c>
      <c r="B37" s="60" t="str" cm="1">
        <f t="array" ref="B37">IFERROR(INDEX(Overall!C$35:C$71,_xlfn.AGGREGATE(15,3,((Overall!$A$35:$A$71=5)/(Overall!$A$35:$A$71=5)*ROW(Overall!$A$35:$A$71))-ROW(Overall!$A$34), ROWS(Overall!$L$35:M43))),"")</f>
        <v/>
      </c>
      <c r="C37" s="87" t="str" cm="1">
        <f t="array" ref="C37">IFERROR(INDEX(Overall!D$35:D$71,_xlfn.AGGREGATE(15,3,((Overall!$A$35:$A$71=5)/(Overall!$A$35:$A$71=5)*ROW(Overall!$A$35:$A$71))-ROW(Overall!$A$34), ROWS(Overall!$L$35:N43))),"")</f>
        <v/>
      </c>
      <c r="D37" s="62" t="str" cm="1">
        <f t="array" ref="D37">IFERROR(INDEX(Overall!E$35:E$71,_xlfn.AGGREGATE(15,3,((Overall!$A$35:$A$71=5)/(Overall!$A$35:$A$71=5)*ROW(Overall!$A$35:$A$71))-ROW(Overall!$A$34), ROWS(Overall!$L$35:O43))),"")</f>
        <v/>
      </c>
      <c r="E37" s="128" t="str" cm="1">
        <f t="array" ref="E37">IFERROR(INDEX(Overall!F$35:F$71,_xlfn.AGGREGATE(15,3,((Overall!$A$35:$A$71=5)/(Overall!$A$35:$A$71=5)*ROW(Overall!$A$35:$A$71))-ROW(Overall!$A$34), ROWS(Overall!$L$35:P43))),"")</f>
        <v/>
      </c>
      <c r="F37" s="129" t="str" cm="1">
        <f t="array" ref="F37">IFERROR(INDEX(Overall!G$35:G$71,_xlfn.AGGREGATE(15,3,((Overall!$A$35:$A$71=5)/(Overall!$A$35:$A$71=5)*ROW(Overall!$A$35:$A$71))-ROW(Overall!$A$34), ROWS(Overall!$L$35:Q43))),"")</f>
        <v/>
      </c>
      <c r="G37" s="96" t="str" cm="1">
        <f t="array" ref="G37">IFERROR(INDEX(Overall!H$35:H$71,_xlfn.AGGREGATE(15,3,((Overall!$A$35:$A$71=5)/(Overall!$A$35:$A$71=5)*ROW(Overall!$A$35:$A$71))-ROW(Overall!$A$34), ROWS(Overall!$L$35:R43))),"")</f>
        <v/>
      </c>
      <c r="H37" s="96" t="str" cm="1">
        <f t="array" ref="H37">IFERROR(INDEX(Overall!I$35:I$71,_xlfn.AGGREGATE(15,3,((Overall!$A$35:$A$71=5)/(Overall!$A$35:$A$71=5)*ROW(Overall!$A$35:$A$71))-ROW(Overall!$A$34), ROWS(Overall!$L$35:S43))),"")</f>
        <v/>
      </c>
      <c r="I37" s="62" t="str" cm="1">
        <f t="array" ref="I37">IFERROR(INDEX(Overall!J$35:J$71,_xlfn.AGGREGATE(15,3,((Overall!$A$35:$A$71=5)/(Overall!$A$35:$A$71=5)*ROW(Overall!$A$35:$A$71))-ROW(Overall!$A$34), ROWS(Overall!$L$35:T43))),"")</f>
        <v/>
      </c>
      <c r="J37" s="53" t="str" cm="1">
        <f t="array" ref="J37">IFERROR(INDEX(Overall!K$35:K$71,_xlfn.AGGREGATE(15,3,((Overall!$A$35:$A$71=5)/(Overall!$A$35:$A$71=5)*ROW(Overall!$A$35:$A$71))-ROW(Overall!$A$34),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IFERROR(INDEX(Overall!B$35:B$71,_xlfn.AGGREGATE(15,3,((Overall!$A$35:$A$71=5)/(Overall!$A$35:$A$71=5)*ROW(Overall!$A$35:$A$71))-ROW(Overall!$A$34), ROWS(Overall!$L$35:L44))),"")</f>
        <v/>
      </c>
      <c r="B38" s="60" t="str" cm="1">
        <f t="array" ref="B38">IFERROR(INDEX(Overall!C$35:C$71,_xlfn.AGGREGATE(15,3,((Overall!$A$35:$A$71=5)/(Overall!$A$35:$A$71=5)*ROW(Overall!$A$35:$A$71))-ROW(Overall!$A$34), ROWS(Overall!$L$35:M44))),"")</f>
        <v/>
      </c>
      <c r="C38" s="87" t="str" cm="1">
        <f t="array" ref="C38">IFERROR(INDEX(Overall!D$35:D$71,_xlfn.AGGREGATE(15,3,((Overall!$A$35:$A$71=5)/(Overall!$A$35:$A$71=5)*ROW(Overall!$A$35:$A$71))-ROW(Overall!$A$34), ROWS(Overall!$L$35:N44))),"")</f>
        <v/>
      </c>
      <c r="D38" s="62" t="str" cm="1">
        <f t="array" ref="D38">IFERROR(INDEX(Overall!E$35:E$71,_xlfn.AGGREGATE(15,3,((Overall!$A$35:$A$71=5)/(Overall!$A$35:$A$71=5)*ROW(Overall!$A$35:$A$71))-ROW(Overall!$A$34), ROWS(Overall!$L$35:O44))),"")</f>
        <v/>
      </c>
      <c r="E38" s="128" t="str" cm="1">
        <f t="array" ref="E38">IFERROR(INDEX(Overall!F$35:F$71,_xlfn.AGGREGATE(15,3,((Overall!$A$35:$A$71=5)/(Overall!$A$35:$A$71=5)*ROW(Overall!$A$35:$A$71))-ROW(Overall!$A$34), ROWS(Overall!$L$35:P44))),"")</f>
        <v/>
      </c>
      <c r="F38" s="129" t="str" cm="1">
        <f t="array" ref="F38">IFERROR(INDEX(Overall!G$35:G$71,_xlfn.AGGREGATE(15,3,((Overall!$A$35:$A$71=5)/(Overall!$A$35:$A$71=5)*ROW(Overall!$A$35:$A$71))-ROW(Overall!$A$34), ROWS(Overall!$L$35:Q44))),"")</f>
        <v/>
      </c>
      <c r="G38" s="96" t="str" cm="1">
        <f t="array" ref="G38">IFERROR(INDEX(Overall!H$35:H$71,_xlfn.AGGREGATE(15,3,((Overall!$A$35:$A$71=5)/(Overall!$A$35:$A$71=5)*ROW(Overall!$A$35:$A$71))-ROW(Overall!$A$34), ROWS(Overall!$L$35:R44))),"")</f>
        <v/>
      </c>
      <c r="H38" s="96" t="str" cm="1">
        <f t="array" ref="H38">IFERROR(INDEX(Overall!I$35:I$71,_xlfn.AGGREGATE(15,3,((Overall!$A$35:$A$71=5)/(Overall!$A$35:$A$71=5)*ROW(Overall!$A$35:$A$71))-ROW(Overall!$A$34), ROWS(Overall!$L$35:S44))),"")</f>
        <v/>
      </c>
      <c r="I38" s="62" t="str" cm="1">
        <f t="array" ref="I38">IFERROR(INDEX(Overall!J$35:J$71,_xlfn.AGGREGATE(15,3,((Overall!$A$35:$A$71=5)/(Overall!$A$35:$A$71=5)*ROW(Overall!$A$35:$A$71))-ROW(Overall!$A$34), ROWS(Overall!$L$35:T44))),"")</f>
        <v/>
      </c>
      <c r="J38" s="53" t="str" cm="1">
        <f t="array" ref="J38">IFERROR(INDEX(Overall!K$35:K$71,_xlfn.AGGREGATE(15,3,((Overall!$A$35:$A$71=5)/(Overall!$A$35:$A$71=5)*ROW(Overall!$A$35:$A$71))-ROW(Overall!$A$34),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IFERROR(INDEX(Overall!B$35:B$71,_xlfn.AGGREGATE(15,3,((Overall!$A$35:$A$71=5)/(Overall!$A$35:$A$71=5)*ROW(Overall!$A$35:$A$71))-ROW(Overall!$A$34), ROWS(Overall!$L$35:L45))),"")</f>
        <v/>
      </c>
      <c r="B39" s="60" t="str" cm="1">
        <f t="array" ref="B39">IFERROR(INDEX(Overall!C$35:C$71,_xlfn.AGGREGATE(15,3,((Overall!$A$35:$A$71=5)/(Overall!$A$35:$A$71=5)*ROW(Overall!$A$35:$A$71))-ROW(Overall!$A$34), ROWS(Overall!$L$35:M45))),"")</f>
        <v/>
      </c>
      <c r="C39" s="87" t="str" cm="1">
        <f t="array" ref="C39">IFERROR(INDEX(Overall!D$35:D$71,_xlfn.AGGREGATE(15,3,((Overall!$A$35:$A$71=5)/(Overall!$A$35:$A$71=5)*ROW(Overall!$A$35:$A$71))-ROW(Overall!$A$34), ROWS(Overall!$L$35:N45))),"")</f>
        <v/>
      </c>
      <c r="D39" s="62" t="str" cm="1">
        <f t="array" ref="D39">IFERROR(INDEX(Overall!E$35:E$71,_xlfn.AGGREGATE(15,3,((Overall!$A$35:$A$71=5)/(Overall!$A$35:$A$71=5)*ROW(Overall!$A$35:$A$71))-ROW(Overall!$A$34), ROWS(Overall!$L$35:O45))),"")</f>
        <v/>
      </c>
      <c r="E39" s="128" t="str" cm="1">
        <f t="array" ref="E39">IFERROR(INDEX(Overall!F$35:F$71,_xlfn.AGGREGATE(15,3,((Overall!$A$35:$A$71=5)/(Overall!$A$35:$A$71=5)*ROW(Overall!$A$35:$A$71))-ROW(Overall!$A$34), ROWS(Overall!$L$35:P45))),"")</f>
        <v/>
      </c>
      <c r="F39" s="129" t="str" cm="1">
        <f t="array" ref="F39">IFERROR(INDEX(Overall!G$35:G$71,_xlfn.AGGREGATE(15,3,((Overall!$A$35:$A$71=5)/(Overall!$A$35:$A$71=5)*ROW(Overall!$A$35:$A$71))-ROW(Overall!$A$34), ROWS(Overall!$L$35:Q45))),"")</f>
        <v/>
      </c>
      <c r="G39" s="96" t="str" cm="1">
        <f t="array" ref="G39">IFERROR(INDEX(Overall!H$35:H$71,_xlfn.AGGREGATE(15,3,((Overall!$A$35:$A$71=5)/(Overall!$A$35:$A$71=5)*ROW(Overall!$A$35:$A$71))-ROW(Overall!$A$34), ROWS(Overall!$L$35:R45))),"")</f>
        <v/>
      </c>
      <c r="H39" s="96" t="str" cm="1">
        <f t="array" ref="H39">IFERROR(INDEX(Overall!I$35:I$71,_xlfn.AGGREGATE(15,3,((Overall!$A$35:$A$71=5)/(Overall!$A$35:$A$71=5)*ROW(Overall!$A$35:$A$71))-ROW(Overall!$A$34), ROWS(Overall!$L$35:S45))),"")</f>
        <v/>
      </c>
      <c r="I39" s="62" t="str" cm="1">
        <f t="array" ref="I39">IFERROR(INDEX(Overall!J$35:J$71,_xlfn.AGGREGATE(15,3,((Overall!$A$35:$A$71=5)/(Overall!$A$35:$A$71=5)*ROW(Overall!$A$35:$A$71))-ROW(Overall!$A$34), ROWS(Overall!$L$35:T45))),"")</f>
        <v/>
      </c>
      <c r="J39" s="53" t="str" cm="1">
        <f t="array" ref="J39">IFERROR(INDEX(Overall!K$35:K$71,_xlfn.AGGREGATE(15,3,((Overall!$A$35:$A$71=5)/(Overall!$A$35:$A$71=5)*ROW(Overall!$A$35:$A$71))-ROW(Overall!$A$34),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IFERROR(INDEX(Overall!B$35:B$71,_xlfn.AGGREGATE(15,3,((Overall!$A$35:$A$71=5)/(Overall!$A$35:$A$71=5)*ROW(Overall!$A$35:$A$71))-ROW(Overall!$A$34), ROWS(Overall!$L$35:L46))),"")</f>
        <v/>
      </c>
      <c r="B40" s="60" t="str" cm="1">
        <f t="array" ref="B40">IFERROR(INDEX(Overall!C$35:C$71,_xlfn.AGGREGATE(15,3,((Overall!$A$35:$A$71=5)/(Overall!$A$35:$A$71=5)*ROW(Overall!$A$35:$A$71))-ROW(Overall!$A$34), ROWS(Overall!$L$35:M46))),"")</f>
        <v/>
      </c>
      <c r="C40" s="87" t="str" cm="1">
        <f t="array" ref="C40">IFERROR(INDEX(Overall!D$35:D$71,_xlfn.AGGREGATE(15,3,((Overall!$A$35:$A$71=5)/(Overall!$A$35:$A$71=5)*ROW(Overall!$A$35:$A$71))-ROW(Overall!$A$34), ROWS(Overall!$L$35:N46))),"")</f>
        <v/>
      </c>
      <c r="D40" s="62" t="str" cm="1">
        <f t="array" ref="D40">IFERROR(INDEX(Overall!E$35:E$71,_xlfn.AGGREGATE(15,3,((Overall!$A$35:$A$71=5)/(Overall!$A$35:$A$71=5)*ROW(Overall!$A$35:$A$71))-ROW(Overall!$A$34), ROWS(Overall!$L$35:O46))),"")</f>
        <v/>
      </c>
      <c r="E40" s="128" t="str" cm="1">
        <f t="array" ref="E40">IFERROR(INDEX(Overall!F$35:F$71,_xlfn.AGGREGATE(15,3,((Overall!$A$35:$A$71=5)/(Overall!$A$35:$A$71=5)*ROW(Overall!$A$35:$A$71))-ROW(Overall!$A$34), ROWS(Overall!$L$35:P46))),"")</f>
        <v/>
      </c>
      <c r="F40" s="129" t="str" cm="1">
        <f t="array" ref="F40">IFERROR(INDEX(Overall!G$35:G$71,_xlfn.AGGREGATE(15,3,((Overall!$A$35:$A$71=5)/(Overall!$A$35:$A$71=5)*ROW(Overall!$A$35:$A$71))-ROW(Overall!$A$34), ROWS(Overall!$L$35:Q46))),"")</f>
        <v/>
      </c>
      <c r="G40" s="96" t="str" cm="1">
        <f t="array" ref="G40">IFERROR(INDEX(Overall!H$35:H$71,_xlfn.AGGREGATE(15,3,((Overall!$A$35:$A$71=5)/(Overall!$A$35:$A$71=5)*ROW(Overall!$A$35:$A$71))-ROW(Overall!$A$34), ROWS(Overall!$L$35:R46))),"")</f>
        <v/>
      </c>
      <c r="H40" s="96" t="str" cm="1">
        <f t="array" ref="H40">IFERROR(INDEX(Overall!I$35:I$71,_xlfn.AGGREGATE(15,3,((Overall!$A$35:$A$71=5)/(Overall!$A$35:$A$71=5)*ROW(Overall!$A$35:$A$71))-ROW(Overall!$A$34), ROWS(Overall!$L$35:S46))),"")</f>
        <v/>
      </c>
      <c r="I40" s="62" t="str" cm="1">
        <f t="array" ref="I40">IFERROR(INDEX(Overall!J$35:J$71,_xlfn.AGGREGATE(15,3,((Overall!$A$35:$A$71=5)/(Overall!$A$35:$A$71=5)*ROW(Overall!$A$35:$A$71))-ROW(Overall!$A$34), ROWS(Overall!$L$35:T46))),"")</f>
        <v/>
      </c>
      <c r="J40" s="53" t="str" cm="1">
        <f t="array" ref="J40">IFERROR(INDEX(Overall!K$35:K$71,_xlfn.AGGREGATE(15,3,((Overall!$A$35:$A$71=5)/(Overall!$A$35:$A$71=5)*ROW(Overall!$A$35:$A$71))-ROW(Overall!$A$34),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IFERROR(INDEX(Overall!B$35:B$71,_xlfn.AGGREGATE(15,3,((Overall!$A$35:$A$71=5)/(Overall!$A$35:$A$71=5)*ROW(Overall!$A$35:$A$71))-ROW(Overall!$A$34), ROWS(Overall!$L$35:L47))),"")</f>
        <v/>
      </c>
      <c r="B41" s="60" t="str" cm="1">
        <f t="array" ref="B41">IFERROR(INDEX(Overall!C$35:C$71,_xlfn.AGGREGATE(15,3,((Overall!$A$35:$A$71=5)/(Overall!$A$35:$A$71=5)*ROW(Overall!$A$35:$A$71))-ROW(Overall!$A$34), ROWS(Overall!$L$35:M47))),"")</f>
        <v/>
      </c>
      <c r="C41" s="87" t="str" cm="1">
        <f t="array" ref="C41">IFERROR(INDEX(Overall!D$35:D$71,_xlfn.AGGREGATE(15,3,((Overall!$A$35:$A$71=5)/(Overall!$A$35:$A$71=5)*ROW(Overall!$A$35:$A$71))-ROW(Overall!$A$34), ROWS(Overall!$L$35:N47))),"")</f>
        <v/>
      </c>
      <c r="D41" s="62" t="str" cm="1">
        <f t="array" ref="D41">IFERROR(INDEX(Overall!E$35:E$71,_xlfn.AGGREGATE(15,3,((Overall!$A$35:$A$71=5)/(Overall!$A$35:$A$71=5)*ROW(Overall!$A$35:$A$71))-ROW(Overall!$A$34), ROWS(Overall!$L$35:O47))),"")</f>
        <v/>
      </c>
      <c r="E41" s="128" t="str" cm="1">
        <f t="array" ref="E41">IFERROR(INDEX(Overall!F$35:F$71,_xlfn.AGGREGATE(15,3,((Overall!$A$35:$A$71=5)/(Overall!$A$35:$A$71=5)*ROW(Overall!$A$35:$A$71))-ROW(Overall!$A$34), ROWS(Overall!$L$35:P47))),"")</f>
        <v/>
      </c>
      <c r="F41" s="129" t="str" cm="1">
        <f t="array" ref="F41">IFERROR(INDEX(Overall!G$35:G$71,_xlfn.AGGREGATE(15,3,((Overall!$A$35:$A$71=5)/(Overall!$A$35:$A$71=5)*ROW(Overall!$A$35:$A$71))-ROW(Overall!$A$34), ROWS(Overall!$L$35:Q47))),"")</f>
        <v/>
      </c>
      <c r="G41" s="96" t="str" cm="1">
        <f t="array" ref="G41">IFERROR(INDEX(Overall!H$35:H$71,_xlfn.AGGREGATE(15,3,((Overall!$A$35:$A$71=5)/(Overall!$A$35:$A$71=5)*ROW(Overall!$A$35:$A$71))-ROW(Overall!$A$34), ROWS(Overall!$L$35:R47))),"")</f>
        <v/>
      </c>
      <c r="H41" s="96" t="str" cm="1">
        <f t="array" ref="H41">IFERROR(INDEX(Overall!I$35:I$71,_xlfn.AGGREGATE(15,3,((Overall!$A$35:$A$71=5)/(Overall!$A$35:$A$71=5)*ROW(Overall!$A$35:$A$71))-ROW(Overall!$A$34), ROWS(Overall!$L$35:S47))),"")</f>
        <v/>
      </c>
      <c r="I41" s="62" t="str" cm="1">
        <f t="array" ref="I41">IFERROR(INDEX(Overall!J$35:J$71,_xlfn.AGGREGATE(15,3,((Overall!$A$35:$A$71=5)/(Overall!$A$35:$A$71=5)*ROW(Overall!$A$35:$A$71))-ROW(Overall!$A$34), ROWS(Overall!$L$35:T47))),"")</f>
        <v/>
      </c>
      <c r="J41" s="53" t="str" cm="1">
        <f t="array" ref="J41">IFERROR(INDEX(Overall!K$35:K$71,_xlfn.AGGREGATE(15,3,((Overall!$A$35:$A$71=5)/(Overall!$A$35:$A$71=5)*ROW(Overall!$A$35:$A$71))-ROW(Overall!$A$34),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IFERROR(INDEX(Overall!B$35:B$71,_xlfn.AGGREGATE(15,3,((Overall!$A$35:$A$71=5)/(Overall!$A$35:$A$71=5)*ROW(Overall!$A$35:$A$71))-ROW(Overall!$A$34), ROWS(Overall!$L$35:L48))),"")</f>
        <v/>
      </c>
      <c r="B42" s="60" t="str" cm="1">
        <f t="array" ref="B42">IFERROR(INDEX(Overall!C$35:C$71,_xlfn.AGGREGATE(15,3,((Overall!$A$35:$A$71=5)/(Overall!$A$35:$A$71=5)*ROW(Overall!$A$35:$A$71))-ROW(Overall!$A$34), ROWS(Overall!$L$35:M48))),"")</f>
        <v/>
      </c>
      <c r="C42" s="87" t="str" cm="1">
        <f t="array" ref="C42">IFERROR(INDEX(Overall!D$35:D$71,_xlfn.AGGREGATE(15,3,((Overall!$A$35:$A$71=5)/(Overall!$A$35:$A$71=5)*ROW(Overall!$A$35:$A$71))-ROW(Overall!$A$34), ROWS(Overall!$L$35:N48))),"")</f>
        <v/>
      </c>
      <c r="D42" s="62" t="str" cm="1">
        <f t="array" ref="D42">IFERROR(INDEX(Overall!E$35:E$71,_xlfn.AGGREGATE(15,3,((Overall!$A$35:$A$71=5)/(Overall!$A$35:$A$71=5)*ROW(Overall!$A$35:$A$71))-ROW(Overall!$A$34), ROWS(Overall!$L$35:O48))),"")</f>
        <v/>
      </c>
      <c r="E42" s="128" t="str" cm="1">
        <f t="array" ref="E42">IFERROR(INDEX(Overall!F$35:F$71,_xlfn.AGGREGATE(15,3,((Overall!$A$35:$A$71=5)/(Overall!$A$35:$A$71=5)*ROW(Overall!$A$35:$A$71))-ROW(Overall!$A$34), ROWS(Overall!$L$35:P48))),"")</f>
        <v/>
      </c>
      <c r="F42" s="129" t="str" cm="1">
        <f t="array" ref="F42">IFERROR(INDEX(Overall!G$35:G$71,_xlfn.AGGREGATE(15,3,((Overall!$A$35:$A$71=5)/(Overall!$A$35:$A$71=5)*ROW(Overall!$A$35:$A$71))-ROW(Overall!$A$34), ROWS(Overall!$L$35:Q48))),"")</f>
        <v/>
      </c>
      <c r="G42" s="96" t="str" cm="1">
        <f t="array" ref="G42">IFERROR(INDEX(Overall!H$35:H$71,_xlfn.AGGREGATE(15,3,((Overall!$A$35:$A$71=5)/(Overall!$A$35:$A$71=5)*ROW(Overall!$A$35:$A$71))-ROW(Overall!$A$34), ROWS(Overall!$L$35:R48))),"")</f>
        <v/>
      </c>
      <c r="H42" s="96" t="str" cm="1">
        <f t="array" ref="H42">IFERROR(INDEX(Overall!I$35:I$71,_xlfn.AGGREGATE(15,3,((Overall!$A$35:$A$71=5)/(Overall!$A$35:$A$71=5)*ROW(Overall!$A$35:$A$71))-ROW(Overall!$A$34), ROWS(Overall!$L$35:S48))),"")</f>
        <v/>
      </c>
      <c r="I42" s="62" t="str" cm="1">
        <f t="array" ref="I42">IFERROR(INDEX(Overall!J$35:J$71,_xlfn.AGGREGATE(15,3,((Overall!$A$35:$A$71=5)/(Overall!$A$35:$A$71=5)*ROW(Overall!$A$35:$A$71))-ROW(Overall!$A$34), ROWS(Overall!$L$35:T48))),"")</f>
        <v/>
      </c>
      <c r="J42" s="53" t="str" cm="1">
        <f t="array" ref="J42">IFERROR(INDEX(Overall!K$35:K$71,_xlfn.AGGREGATE(15,3,((Overall!$A$35:$A$71=5)/(Overall!$A$35:$A$71=5)*ROW(Overall!$A$35:$A$71))-ROW(Overall!$A$34),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IFERROR(INDEX(Overall!B$35:B$71,_xlfn.AGGREGATE(15,3,((Overall!$A$35:$A$71=5)/(Overall!$A$35:$A$71=5)*ROW(Overall!$A$35:$A$71))-ROW(Overall!$A$34), ROWS(Overall!$L$35:L49))),"")</f>
        <v/>
      </c>
      <c r="B43" s="60" t="str" cm="1">
        <f t="array" ref="B43">IFERROR(INDEX(Overall!C$35:C$71,_xlfn.AGGREGATE(15,3,((Overall!$A$35:$A$71=5)/(Overall!$A$35:$A$71=5)*ROW(Overall!$A$35:$A$71))-ROW(Overall!$A$34), ROWS(Overall!$L$35:M49))),"")</f>
        <v/>
      </c>
      <c r="C43" s="87" t="str" cm="1">
        <f t="array" ref="C43">IFERROR(INDEX(Overall!D$35:D$71,_xlfn.AGGREGATE(15,3,((Overall!$A$35:$A$71=5)/(Overall!$A$35:$A$71=5)*ROW(Overall!$A$35:$A$71))-ROW(Overall!$A$34), ROWS(Overall!$L$35:N49))),"")</f>
        <v/>
      </c>
      <c r="D43" s="62" t="str" cm="1">
        <f t="array" ref="D43">IFERROR(INDEX(Overall!E$35:E$71,_xlfn.AGGREGATE(15,3,((Overall!$A$35:$A$71=5)/(Overall!$A$35:$A$71=5)*ROW(Overall!$A$35:$A$71))-ROW(Overall!$A$34), ROWS(Overall!$L$35:O49))),"")</f>
        <v/>
      </c>
      <c r="E43" s="128" t="str" cm="1">
        <f t="array" ref="E43">IFERROR(INDEX(Overall!F$35:F$71,_xlfn.AGGREGATE(15,3,((Overall!$A$35:$A$71=5)/(Overall!$A$35:$A$71=5)*ROW(Overall!$A$35:$A$71))-ROW(Overall!$A$34), ROWS(Overall!$L$35:P49))),"")</f>
        <v/>
      </c>
      <c r="F43" s="129" t="str" cm="1">
        <f t="array" ref="F43">IFERROR(INDEX(Overall!G$35:G$71,_xlfn.AGGREGATE(15,3,((Overall!$A$35:$A$71=5)/(Overall!$A$35:$A$71=5)*ROW(Overall!$A$35:$A$71))-ROW(Overall!$A$34), ROWS(Overall!$L$35:Q49))),"")</f>
        <v/>
      </c>
      <c r="G43" s="96" t="str" cm="1">
        <f t="array" ref="G43">IFERROR(INDEX(Overall!H$35:H$71,_xlfn.AGGREGATE(15,3,((Overall!$A$35:$A$71=5)/(Overall!$A$35:$A$71=5)*ROW(Overall!$A$35:$A$71))-ROW(Overall!$A$34), ROWS(Overall!$L$35:R49))),"")</f>
        <v/>
      </c>
      <c r="H43" s="96" t="str" cm="1">
        <f t="array" ref="H43">IFERROR(INDEX(Overall!I$35:I$71,_xlfn.AGGREGATE(15,3,((Overall!$A$35:$A$71=5)/(Overall!$A$35:$A$71=5)*ROW(Overall!$A$35:$A$71))-ROW(Overall!$A$34), ROWS(Overall!$L$35:S49))),"")</f>
        <v/>
      </c>
      <c r="I43" s="62" t="str" cm="1">
        <f t="array" ref="I43">IFERROR(INDEX(Overall!J$35:J$71,_xlfn.AGGREGATE(15,3,((Overall!$A$35:$A$71=5)/(Overall!$A$35:$A$71=5)*ROW(Overall!$A$35:$A$71))-ROW(Overall!$A$34), ROWS(Overall!$L$35:T49))),"")</f>
        <v/>
      </c>
      <c r="J43" s="53" t="str" cm="1">
        <f t="array" ref="J43">IFERROR(INDEX(Overall!K$35:K$71,_xlfn.AGGREGATE(15,3,((Overall!$A$35:$A$71=5)/(Overall!$A$35:$A$71=5)*ROW(Overall!$A$35:$A$71))-ROW(Overall!$A$34),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IFERROR(INDEX(Overall!B$35:B$71,_xlfn.AGGREGATE(15,3,((Overall!$A$35:$A$71=5)/(Overall!$A$35:$A$71=5)*ROW(Overall!$A$35:$A$71))-ROW(Overall!$A$34), ROWS(Overall!$L$35:L50))),"")</f>
        <v/>
      </c>
      <c r="B44" s="61" t="str" cm="1">
        <f t="array" ref="B44">IFERROR(INDEX(Overall!C$35:C$71,_xlfn.AGGREGATE(15,3,((Overall!$A$35:$A$71=5)/(Overall!$A$35:$A$71=5)*ROW(Overall!$A$35:$A$71))-ROW(Overall!$A$34), ROWS(Overall!$L$35:M50))),"")</f>
        <v/>
      </c>
      <c r="C44" s="88" t="str" cm="1">
        <f t="array" ref="C44">IFERROR(INDEX(Overall!D$35:D$71,_xlfn.AGGREGATE(15,3,((Overall!$A$35:$A$71=5)/(Overall!$A$35:$A$71=5)*ROW(Overall!$A$35:$A$71))-ROW(Overall!$A$34), ROWS(Overall!$L$35:N50))),"")</f>
        <v/>
      </c>
      <c r="D44" s="63" t="str" cm="1">
        <f t="array" ref="D44">IFERROR(INDEX(Overall!E$35:E$71,_xlfn.AGGREGATE(15,3,((Overall!$A$35:$A$71=5)/(Overall!$A$35:$A$71=5)*ROW(Overall!$A$35:$A$71))-ROW(Overall!$A$34), ROWS(Overall!$L$35:O50))),"")</f>
        <v/>
      </c>
      <c r="E44" s="130" t="str" cm="1">
        <f t="array" ref="E44">IFERROR(INDEX(Overall!F$35:F$71,_xlfn.AGGREGATE(15,3,((Overall!$A$35:$A$71=5)/(Overall!$A$35:$A$71=5)*ROW(Overall!$A$35:$A$71))-ROW(Overall!$A$34), ROWS(Overall!$L$35:P50))),"")</f>
        <v/>
      </c>
      <c r="F44" s="131" t="str" cm="1">
        <f t="array" ref="F44">IFERROR(INDEX(Overall!G$35:G$71,_xlfn.AGGREGATE(15,3,((Overall!$A$35:$A$71=5)/(Overall!$A$35:$A$71=5)*ROW(Overall!$A$35:$A$71))-ROW(Overall!$A$34), ROWS(Overall!$L$35:Q50))),"")</f>
        <v/>
      </c>
      <c r="G44" s="97" t="str" cm="1">
        <f t="array" ref="G44">IFERROR(INDEX(Overall!H$35:H$71,_xlfn.AGGREGATE(15,3,((Overall!$A$35:$A$71=5)/(Overall!$A$35:$A$71=5)*ROW(Overall!$A$35:$A$71))-ROW(Overall!$A$34), ROWS(Overall!$L$35:R50))),"")</f>
        <v/>
      </c>
      <c r="H44" s="97" t="str" cm="1">
        <f t="array" ref="H44">IFERROR(INDEX(Overall!I$35:I$71,_xlfn.AGGREGATE(15,3,((Overall!$A$35:$A$71=5)/(Overall!$A$35:$A$71=5)*ROW(Overall!$A$35:$A$71))-ROW(Overall!$A$34), ROWS(Overall!$L$35:S50))),"")</f>
        <v/>
      </c>
      <c r="I44" s="65" t="str" cm="1">
        <f t="array" ref="I44">IFERROR(INDEX(Overall!J$35:J$71,_xlfn.AGGREGATE(15,3,((Overall!$A$35:$A$71=5)/(Overall!$A$35:$A$71=5)*ROW(Overall!$A$35:$A$71))-ROW(Overall!$A$34), ROWS(Overall!$L$35:T50))),"")</f>
        <v/>
      </c>
      <c r="J44" s="54" t="str" cm="1">
        <f t="array" ref="J44">IFERROR(INDEX(Overall!K$35:K$71,_xlfn.AGGREGATE(15,3,((Overall!$A$35:$A$71=5)/(Overall!$A$35:$A$71=5)*ROW(Overall!$A$35:$A$71))-ROW(Overall!$A$34),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/>
      <c r="J47" s="52"/>
    </row>
    <row r="48" spans="1:10" x14ac:dyDescent="0.25">
      <c r="A48" s="67"/>
      <c r="B48" s="72"/>
      <c r="C48" s="178"/>
      <c r="D48" s="179"/>
      <c r="H48" s="52"/>
      <c r="I48" s="50"/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 s="105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</sheetData>
  <mergeCells count="47"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A46:H46"/>
    <mergeCell ref="E47:H47"/>
    <mergeCell ref="C60:D60"/>
    <mergeCell ref="C61:D61"/>
    <mergeCell ref="C57:D57"/>
    <mergeCell ref="C58:D58"/>
    <mergeCell ref="C59:D59"/>
  </mergeCells>
  <conditionalFormatting sqref="A29:J43">
    <cfRule type="cellIs" dxfId="36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6C70-88CF-4124-8356-ED6C62EA2168}">
  <sheetPr codeName="Sheet8">
    <pageSetUpPr autoPageBreaks="0"/>
  </sheetPr>
  <dimension ref="A1:J61"/>
  <sheetViews>
    <sheetView showGridLines="0" zoomScale="110" zoomScaleNormal="110" workbookViewId="0">
      <selection activeCell="L16" sqref="L16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23</v>
      </c>
      <c r="C3" s="175"/>
      <c r="F3" s="74">
        <f>IFERROR(VLOOKUP($B$3,Totals!$B$3:$C$11,2,0),0)</f>
        <v>0</v>
      </c>
      <c r="G3" s="163" t="s">
        <v>4</v>
      </c>
      <c r="H3" s="163"/>
      <c r="I3" s="164"/>
    </row>
    <row r="4" spans="1:10" x14ac:dyDescent="0.25">
      <c r="F4" s="74">
        <f>VLOOKUP($B$3,Totals!$E$3:$F$12,2,0)</f>
        <v>0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0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0</v>
      </c>
      <c r="C6" s="71">
        <f>VLOOKUP($B$3,Totals!$V$48:$Y$57,3,0)</f>
        <v>0</v>
      </c>
      <c r="D6" s="77">
        <f>VLOOKUP($B$3,Totals!$V$48:$Y$57,4,0)</f>
        <v>0</v>
      </c>
    </row>
    <row r="7" spans="1:10" x14ac:dyDescent="0.25">
      <c r="G7" s="92" t="s">
        <v>6</v>
      </c>
      <c r="H7" s="93" t="e">
        <f>F3/F4</f>
        <v>#DIV/0!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0</v>
      </c>
      <c r="C9" s="82">
        <f>IFERROR(VLOOKUP($B$3,Totals!$L$3:$N$11,3,0),0)</f>
        <v>0</v>
      </c>
      <c r="D9" s="83">
        <f>IFERROR(VLOOKUP('9'!$B$3,Totals!$P$4:$Y$12,10,0),0)</f>
        <v>28.190913604766632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0</v>
      </c>
      <c r="C22" s="163" t="str">
        <f>VLOOKUP($B$3&amp;A22,Totals!$G$49:$K$73,5,0)</f>
        <v>DNR</v>
      </c>
      <c r="D22" s="164"/>
      <c r="F22" s="66">
        <v>1</v>
      </c>
      <c r="G22" s="69">
        <f>VLOOKUP($B$3&amp;F22,Totals!$M$49:$Q$73,4,0)</f>
        <v>0</v>
      </c>
      <c r="H22" s="163" t="str">
        <f>VLOOKUP($B$3&amp;F22,Totals!$M$49:$Q$73,5,0)</f>
        <v>DNR</v>
      </c>
      <c r="I22" s="164"/>
    </row>
    <row r="23" spans="1:10" x14ac:dyDescent="0.25">
      <c r="A23" s="67">
        <v>2</v>
      </c>
      <c r="B23" s="70">
        <f>VLOOKUP($B$3&amp;A23,Totals!$G$49:$K$73,4,0)</f>
        <v>0</v>
      </c>
      <c r="C23" s="163" t="str">
        <f>VLOOKUP($B$3&amp;A23,Totals!$G$49:$K$73,5,0)</f>
        <v>DNR</v>
      </c>
      <c r="D23" s="164"/>
      <c r="F23" s="67">
        <v>2</v>
      </c>
      <c r="G23" s="70">
        <f>VLOOKUP($B$3&amp;F23,Totals!$M$49:$Q$73,4,0)</f>
        <v>0</v>
      </c>
      <c r="H23" s="163" t="str">
        <f>VLOOKUP($B$3&amp;F23,Totals!$M$49:$Q$73,5,0)</f>
        <v>DNR</v>
      </c>
      <c r="I23" s="164"/>
    </row>
    <row r="24" spans="1:10" x14ac:dyDescent="0.25">
      <c r="A24" s="68">
        <v>3</v>
      </c>
      <c r="B24" s="71">
        <f>VLOOKUP($B$3&amp;A24,Totals!$G$49:$K$73,4,0)</f>
        <v>0</v>
      </c>
      <c r="C24" s="165" t="str">
        <f>VLOOKUP($B$3&amp;A24,Totals!$G$49:$K$73,5,0)</f>
        <v>DNR</v>
      </c>
      <c r="D24" s="166"/>
      <c r="F24" s="68">
        <v>3</v>
      </c>
      <c r="G24" s="71">
        <f>VLOOKUP($B$3&amp;F24,Totals!$M$49:$Q$73,4,0)</f>
        <v>0</v>
      </c>
      <c r="H24" s="165" t="str">
        <f>VLOOKUP($B$3&amp;F24,Totals!$M$49:$Q$73,5,0)</f>
        <v>DNR</v>
      </c>
      <c r="I24" s="166"/>
    </row>
    <row r="27" spans="1:10" x14ac:dyDescent="0.25">
      <c r="A27" s="158" t="s">
        <v>10</v>
      </c>
      <c r="B27" s="159"/>
      <c r="C27" s="159"/>
      <c r="D27" s="159"/>
      <c r="E27" s="159"/>
      <c r="F27" s="159"/>
      <c r="G27" s="159"/>
      <c r="H27" s="159"/>
      <c r="I27" s="159"/>
      <c r="J27" s="160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IFERROR(INDEX(Overall!B$35:B$71,_xlfn.AGGREGATE(15,3,((Overall!$A$35:$A$71=9)/(Overall!$A$35:$A$71=9)*ROW(Overall!$A$35:$A$71))-ROW(Overall!$A$34), ROWS(Overall!$L$35:L35))),"")</f>
        <v/>
      </c>
      <c r="B29" s="60" t="str" cm="1">
        <f t="array" ref="B29">IFERROR(INDEX(Overall!C$35:C$71,_xlfn.AGGREGATE(15,3,((Overall!$A$35:$A$71=9)/(Overall!$A$35:$A$71=9)*ROW(Overall!$A$35:$A$71))-ROW(Overall!$A$34), ROWS(Overall!$L$35:M35))),"")</f>
        <v/>
      </c>
      <c r="C29" s="87" t="str" cm="1">
        <f t="array" ref="C29">IFERROR(INDEX(Overall!D$35:D$71,_xlfn.AGGREGATE(15,3,((Overall!$A$35:$A$71=9)/(Overall!$A$35:$A$71=9)*ROW(Overall!$A$35:$A$71))-ROW(Overall!$A$34), ROWS(Overall!$L$35:N35))),"")</f>
        <v/>
      </c>
      <c r="D29" s="62" t="str" cm="1">
        <f t="array" ref="D29">IFERROR(INDEX(Overall!E$35:E$71,_xlfn.AGGREGATE(15,3,((Overall!$A$35:$A$71=9)/(Overall!$A$35:$A$71=9)*ROW(Overall!$A$35:$A$71))-ROW(Overall!$A$34), ROWS(Overall!$L$35:O35))),"")</f>
        <v/>
      </c>
      <c r="E29" s="128" t="str" cm="1">
        <f t="array" ref="E29">IFERROR(INDEX(Overall!F$35:F$71,_xlfn.AGGREGATE(15,3,((Overall!$A$35:$A$71=9)/(Overall!$A$35:$A$71=9)*ROW(Overall!$A$35:$A$71))-ROW(Overall!$A$34), ROWS(Overall!$L$35:P35))),"")</f>
        <v/>
      </c>
      <c r="F29" s="129" t="str" cm="1">
        <f t="array" ref="F29">IFERROR(INDEX(Overall!G$35:G$71,_xlfn.AGGREGATE(15,3,((Overall!$A$35:$A$71=9)/(Overall!$A$35:$A$71=9)*ROW(Overall!$A$35:$A$71))-ROW(Overall!$A$34), ROWS(Overall!$L$35:Q35))),"")</f>
        <v/>
      </c>
      <c r="G29" s="96" t="str" cm="1">
        <f t="array" ref="G29">IFERROR(INDEX(Overall!H$35:H$71,_xlfn.AGGREGATE(15,3,((Overall!$A$35:$A$71=9)/(Overall!$A$35:$A$71=9)*ROW(Overall!$A$35:$A$71))-ROW(Overall!$A$34), ROWS(Overall!$L$35:R35))),"")</f>
        <v/>
      </c>
      <c r="H29" s="96" t="str" cm="1">
        <f t="array" ref="H29">IFERROR(INDEX(Overall!I$35:I$71,_xlfn.AGGREGATE(15,3,((Overall!$A$35:$A$71=9)/(Overall!$A$35:$A$71=9)*ROW(Overall!$A$35:$A$71))-ROW(Overall!$A$34), ROWS(Overall!$L$35:S35))),"")</f>
        <v/>
      </c>
      <c r="I29" s="62" t="str" cm="1">
        <f t="array" ref="I29">IFERROR(INDEX(Overall!J$35:J$71,_xlfn.AGGREGATE(15,3,((Overall!$A$35:$A$71=9)/(Overall!$A$35:$A$71=9)*ROW(Overall!$A$35:$A$71))-ROW(Overall!$A$34), ROWS(Overall!$L$35:T35))),"")</f>
        <v/>
      </c>
      <c r="J29" s="53" t="str" cm="1">
        <f t="array" ref="J29">IFERROR(INDEX(Overall!K$35:K$71,_xlfn.AGGREGATE(15,3,((Overall!$A$35:$A$71=9)/(Overall!$A$35:$A$71=9)*ROW(Overall!$A$35:$A$71))-ROW(Overall!$A$34),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IFERROR(INDEX(Overall!B$35:B$71,_xlfn.AGGREGATE(15,3,((Overall!$A$35:$A$71=9)/(Overall!$A$35:$A$71=9)*ROW(Overall!$A$35:$A$71))-ROW(Overall!$A$34), ROWS(Overall!$L$35:L36))),"")</f>
        <v/>
      </c>
      <c r="B30" s="60" t="str" cm="1">
        <f t="array" ref="B30">IFERROR(INDEX(Overall!C$35:C$71,_xlfn.AGGREGATE(15,3,((Overall!$A$35:$A$71=9)/(Overall!$A$35:$A$71=9)*ROW(Overall!$A$35:$A$71))-ROW(Overall!$A$34), ROWS(Overall!$L$35:M36))),"")</f>
        <v/>
      </c>
      <c r="C30" s="87" t="str" cm="1">
        <f t="array" ref="C30">IFERROR(INDEX(Overall!D$35:D$71,_xlfn.AGGREGATE(15,3,((Overall!$A$35:$A$71=9)/(Overall!$A$35:$A$71=9)*ROW(Overall!$A$35:$A$71))-ROW(Overall!$A$34), ROWS(Overall!$L$35:N36))),"")</f>
        <v/>
      </c>
      <c r="D30" s="62" t="str" cm="1">
        <f t="array" ref="D30">IFERROR(INDEX(Overall!E$35:E$71,_xlfn.AGGREGATE(15,3,((Overall!$A$35:$A$71=9)/(Overall!$A$35:$A$71=9)*ROW(Overall!$A$35:$A$71))-ROW(Overall!$A$34), ROWS(Overall!$L$35:O36))),"")</f>
        <v/>
      </c>
      <c r="E30" s="128" t="str" cm="1">
        <f t="array" ref="E30">IFERROR(INDEX(Overall!F$35:F$71,_xlfn.AGGREGATE(15,3,((Overall!$A$35:$A$71=9)/(Overall!$A$35:$A$71=9)*ROW(Overall!$A$35:$A$71))-ROW(Overall!$A$34), ROWS(Overall!$L$35:P36))),"")</f>
        <v/>
      </c>
      <c r="F30" s="129" t="str" cm="1">
        <f t="array" ref="F30">IFERROR(INDEX(Overall!G$35:G$71,_xlfn.AGGREGATE(15,3,((Overall!$A$35:$A$71=9)/(Overall!$A$35:$A$71=9)*ROW(Overall!$A$35:$A$71))-ROW(Overall!$A$34), ROWS(Overall!$L$35:Q36))),"")</f>
        <v/>
      </c>
      <c r="G30" s="96" t="str" cm="1">
        <f t="array" ref="G30">IFERROR(INDEX(Overall!H$35:H$71,_xlfn.AGGREGATE(15,3,((Overall!$A$35:$A$71=9)/(Overall!$A$35:$A$71=9)*ROW(Overall!$A$35:$A$71))-ROW(Overall!$A$34), ROWS(Overall!$L$35:R36))),"")</f>
        <v/>
      </c>
      <c r="H30" s="96" t="str" cm="1">
        <f t="array" ref="H30">IFERROR(INDEX(Overall!I$35:I$71,_xlfn.AGGREGATE(15,3,((Overall!$A$35:$A$71=9)/(Overall!$A$35:$A$71=9)*ROW(Overall!$A$35:$A$71))-ROW(Overall!$A$34), ROWS(Overall!$L$35:S36))),"")</f>
        <v/>
      </c>
      <c r="I30" s="62" t="str" cm="1">
        <f t="array" ref="I30">IFERROR(INDEX(Overall!J$35:J$71,_xlfn.AGGREGATE(15,3,((Overall!$A$35:$A$71=9)/(Overall!$A$35:$A$71=9)*ROW(Overall!$A$35:$A$71))-ROW(Overall!$A$34), ROWS(Overall!$L$35:T36))),"")</f>
        <v/>
      </c>
      <c r="J30" s="53" t="str" cm="1">
        <f t="array" ref="J30">IFERROR(INDEX(Overall!K$35:K$71,_xlfn.AGGREGATE(15,3,((Overall!$A$35:$A$71=9)/(Overall!$A$35:$A$71=9)*ROW(Overall!$A$35:$A$71))-ROW(Overall!$A$34),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IFERROR(INDEX(Overall!B$35:B$71,_xlfn.AGGREGATE(15,3,((Overall!$A$35:$A$71=9)/(Overall!$A$35:$A$71=9)*ROW(Overall!$A$35:$A$71))-ROW(Overall!$A$34), ROWS(Overall!$L$35:L37))),"")</f>
        <v/>
      </c>
      <c r="B31" s="60" t="str" cm="1">
        <f t="array" ref="B31">IFERROR(INDEX(Overall!C$35:C$71,_xlfn.AGGREGATE(15,3,((Overall!$A$35:$A$71=9)/(Overall!$A$35:$A$71=9)*ROW(Overall!$A$35:$A$71))-ROW(Overall!$A$34), ROWS(Overall!$L$35:M37))),"")</f>
        <v/>
      </c>
      <c r="C31" s="87" t="str" cm="1">
        <f t="array" ref="C31">IFERROR(INDEX(Overall!D$35:D$71,_xlfn.AGGREGATE(15,3,((Overall!$A$35:$A$71=9)/(Overall!$A$35:$A$71=9)*ROW(Overall!$A$35:$A$71))-ROW(Overall!$A$34), ROWS(Overall!$L$35:N37))),"")</f>
        <v/>
      </c>
      <c r="D31" s="62" t="str" cm="1">
        <f t="array" ref="D31">IFERROR(INDEX(Overall!E$35:E$71,_xlfn.AGGREGATE(15,3,((Overall!$A$35:$A$71=9)/(Overall!$A$35:$A$71=9)*ROW(Overall!$A$35:$A$71))-ROW(Overall!$A$34), ROWS(Overall!$L$35:O37))),"")</f>
        <v/>
      </c>
      <c r="E31" s="128" t="str" cm="1">
        <f t="array" ref="E31">IFERROR(INDEX(Overall!F$35:F$71,_xlfn.AGGREGATE(15,3,((Overall!$A$35:$A$71=9)/(Overall!$A$35:$A$71=9)*ROW(Overall!$A$35:$A$71))-ROW(Overall!$A$34), ROWS(Overall!$L$35:P37))),"")</f>
        <v/>
      </c>
      <c r="F31" s="129" t="str" cm="1">
        <f t="array" ref="F31">IFERROR(INDEX(Overall!G$35:G$71,_xlfn.AGGREGATE(15,3,((Overall!$A$35:$A$71=9)/(Overall!$A$35:$A$71=9)*ROW(Overall!$A$35:$A$71))-ROW(Overall!$A$34), ROWS(Overall!$L$35:Q37))),"")</f>
        <v/>
      </c>
      <c r="G31" s="96" t="str" cm="1">
        <f t="array" ref="G31">IFERROR(INDEX(Overall!H$35:H$71,_xlfn.AGGREGATE(15,3,((Overall!$A$35:$A$71=9)/(Overall!$A$35:$A$71=9)*ROW(Overall!$A$35:$A$71))-ROW(Overall!$A$34), ROWS(Overall!$L$35:R37))),"")</f>
        <v/>
      </c>
      <c r="H31" s="96" t="str" cm="1">
        <f t="array" ref="H31">IFERROR(INDEX(Overall!I$35:I$71,_xlfn.AGGREGATE(15,3,((Overall!$A$35:$A$71=9)/(Overall!$A$35:$A$71=9)*ROW(Overall!$A$35:$A$71))-ROW(Overall!$A$34), ROWS(Overall!$L$35:S37))),"")</f>
        <v/>
      </c>
      <c r="I31" s="62" t="str" cm="1">
        <f t="array" ref="I31">IFERROR(INDEX(Overall!J$35:J$71,_xlfn.AGGREGATE(15,3,((Overall!$A$35:$A$71=9)/(Overall!$A$35:$A$71=9)*ROW(Overall!$A$35:$A$71))-ROW(Overall!$A$34), ROWS(Overall!$L$35:T37))),"")</f>
        <v/>
      </c>
      <c r="J31" s="53" t="str" cm="1">
        <f t="array" ref="J31">IFERROR(INDEX(Overall!K$35:K$71,_xlfn.AGGREGATE(15,3,((Overall!$A$35:$A$71=9)/(Overall!$A$35:$A$71=9)*ROW(Overall!$A$35:$A$71))-ROW(Overall!$A$34),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IFERROR(INDEX(Overall!B$35:B$71,_xlfn.AGGREGATE(15,3,((Overall!$A$35:$A$71=9)/(Overall!$A$35:$A$71=9)*ROW(Overall!$A$35:$A$71))-ROW(Overall!$A$34), ROWS(Overall!$L$35:L38))),"")</f>
        <v/>
      </c>
      <c r="B32" s="60" t="str" cm="1">
        <f t="array" ref="B32">IFERROR(INDEX(Overall!C$35:C$71,_xlfn.AGGREGATE(15,3,((Overall!$A$35:$A$71=9)/(Overall!$A$35:$A$71=9)*ROW(Overall!$A$35:$A$71))-ROW(Overall!$A$34), ROWS(Overall!$L$35:M38))),"")</f>
        <v/>
      </c>
      <c r="C32" s="87" t="str" cm="1">
        <f t="array" ref="C32">IFERROR(INDEX(Overall!D$35:D$71,_xlfn.AGGREGATE(15,3,((Overall!$A$35:$A$71=9)/(Overall!$A$35:$A$71=9)*ROW(Overall!$A$35:$A$71))-ROW(Overall!$A$34), ROWS(Overall!$L$35:N38))),"")</f>
        <v/>
      </c>
      <c r="D32" s="62" t="str" cm="1">
        <f t="array" ref="D32">IFERROR(INDEX(Overall!E$35:E$71,_xlfn.AGGREGATE(15,3,((Overall!$A$35:$A$71=9)/(Overall!$A$35:$A$71=9)*ROW(Overall!$A$35:$A$71))-ROW(Overall!$A$34), ROWS(Overall!$L$35:O38))),"")</f>
        <v/>
      </c>
      <c r="E32" s="128" t="str" cm="1">
        <f t="array" ref="E32">IFERROR(INDEX(Overall!F$35:F$71,_xlfn.AGGREGATE(15,3,((Overall!$A$35:$A$71=9)/(Overall!$A$35:$A$71=9)*ROW(Overall!$A$35:$A$71))-ROW(Overall!$A$34), ROWS(Overall!$L$35:P38))),"")</f>
        <v/>
      </c>
      <c r="F32" s="129" t="str" cm="1">
        <f t="array" ref="F32">IFERROR(INDEX(Overall!G$35:G$71,_xlfn.AGGREGATE(15,3,((Overall!$A$35:$A$71=9)/(Overall!$A$35:$A$71=9)*ROW(Overall!$A$35:$A$71))-ROW(Overall!$A$34), ROWS(Overall!$L$35:Q38))),"")</f>
        <v/>
      </c>
      <c r="G32" s="96" t="str" cm="1">
        <f t="array" ref="G32">IFERROR(INDEX(Overall!H$35:H$71,_xlfn.AGGREGATE(15,3,((Overall!$A$35:$A$71=9)/(Overall!$A$35:$A$71=9)*ROW(Overall!$A$35:$A$71))-ROW(Overall!$A$34), ROWS(Overall!$L$35:R38))),"")</f>
        <v/>
      </c>
      <c r="H32" s="96" t="str" cm="1">
        <f t="array" ref="H32">IFERROR(INDEX(Overall!I$35:I$71,_xlfn.AGGREGATE(15,3,((Overall!$A$35:$A$71=9)/(Overall!$A$35:$A$71=9)*ROW(Overall!$A$35:$A$71))-ROW(Overall!$A$34), ROWS(Overall!$L$35:S38))),"")</f>
        <v/>
      </c>
      <c r="I32" s="62" t="str" cm="1">
        <f t="array" ref="I32">IFERROR(INDEX(Overall!J$35:J$71,_xlfn.AGGREGATE(15,3,((Overall!$A$35:$A$71=9)/(Overall!$A$35:$A$71=9)*ROW(Overall!$A$35:$A$71))-ROW(Overall!$A$34), ROWS(Overall!$L$35:T38))),"")</f>
        <v/>
      </c>
      <c r="J32" s="53" t="str" cm="1">
        <f t="array" ref="J32">IFERROR(INDEX(Overall!K$35:K$71,_xlfn.AGGREGATE(15,3,((Overall!$A$35:$A$71=9)/(Overall!$A$35:$A$71=9)*ROW(Overall!$A$35:$A$71))-ROW(Overall!$A$34),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IFERROR(INDEX(Overall!B$35:B$71,_xlfn.AGGREGATE(15,3,((Overall!$A$35:$A$71=9)/(Overall!$A$35:$A$71=9)*ROW(Overall!$A$35:$A$71))-ROW(Overall!$A$34), ROWS(Overall!$L$35:L39))),"")</f>
        <v/>
      </c>
      <c r="B33" s="60" t="str" cm="1">
        <f t="array" ref="B33">IFERROR(INDEX(Overall!C$35:C$71,_xlfn.AGGREGATE(15,3,((Overall!$A$35:$A$71=9)/(Overall!$A$35:$A$71=9)*ROW(Overall!$A$35:$A$71))-ROW(Overall!$A$34), ROWS(Overall!$L$35:M39))),"")</f>
        <v/>
      </c>
      <c r="C33" s="87" t="str" cm="1">
        <f t="array" ref="C33">IFERROR(INDEX(Overall!D$35:D$71,_xlfn.AGGREGATE(15,3,((Overall!$A$35:$A$71=9)/(Overall!$A$35:$A$71=9)*ROW(Overall!$A$35:$A$71))-ROW(Overall!$A$34), ROWS(Overall!$L$35:N39))),"")</f>
        <v/>
      </c>
      <c r="D33" s="62" t="str" cm="1">
        <f t="array" ref="D33">IFERROR(INDEX(Overall!E$35:E$71,_xlfn.AGGREGATE(15,3,((Overall!$A$35:$A$71=9)/(Overall!$A$35:$A$71=9)*ROW(Overall!$A$35:$A$71))-ROW(Overall!$A$34), ROWS(Overall!$L$35:O39))),"")</f>
        <v/>
      </c>
      <c r="E33" s="128" t="str" cm="1">
        <f t="array" ref="E33">IFERROR(INDEX(Overall!F$35:F$71,_xlfn.AGGREGATE(15,3,((Overall!$A$35:$A$71=9)/(Overall!$A$35:$A$71=9)*ROW(Overall!$A$35:$A$71))-ROW(Overall!$A$34), ROWS(Overall!$L$35:P39))),"")</f>
        <v/>
      </c>
      <c r="F33" s="129" t="str" cm="1">
        <f t="array" ref="F33">IFERROR(INDEX(Overall!G$35:G$71,_xlfn.AGGREGATE(15,3,((Overall!$A$35:$A$71=9)/(Overall!$A$35:$A$71=9)*ROW(Overall!$A$35:$A$71))-ROW(Overall!$A$34), ROWS(Overall!$L$35:Q39))),"")</f>
        <v/>
      </c>
      <c r="G33" s="96" t="str" cm="1">
        <f t="array" ref="G33">IFERROR(INDEX(Overall!H$35:H$71,_xlfn.AGGREGATE(15,3,((Overall!$A$35:$A$71=9)/(Overall!$A$35:$A$71=9)*ROW(Overall!$A$35:$A$71))-ROW(Overall!$A$34), ROWS(Overall!$L$35:R39))),"")</f>
        <v/>
      </c>
      <c r="H33" s="96" t="str" cm="1">
        <f t="array" ref="H33">IFERROR(INDEX(Overall!I$35:I$71,_xlfn.AGGREGATE(15,3,((Overall!$A$35:$A$71=9)/(Overall!$A$35:$A$71=9)*ROW(Overall!$A$35:$A$71))-ROW(Overall!$A$34), ROWS(Overall!$L$35:S39))),"")</f>
        <v/>
      </c>
      <c r="I33" s="62" t="str" cm="1">
        <f t="array" ref="I33">IFERROR(INDEX(Overall!J$35:J$71,_xlfn.AGGREGATE(15,3,((Overall!$A$35:$A$71=9)/(Overall!$A$35:$A$71=9)*ROW(Overall!$A$35:$A$71))-ROW(Overall!$A$34), ROWS(Overall!$L$35:T39))),"")</f>
        <v/>
      </c>
      <c r="J33" s="53" t="str" cm="1">
        <f t="array" ref="J33">IFERROR(INDEX(Overall!K$35:K$71,_xlfn.AGGREGATE(15,3,((Overall!$A$35:$A$71=9)/(Overall!$A$35:$A$71=9)*ROW(Overall!$A$35:$A$71))-ROW(Overall!$A$34),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IFERROR(INDEX(Overall!B$35:B$71,_xlfn.AGGREGATE(15,3,((Overall!$A$35:$A$71=9)/(Overall!$A$35:$A$71=9)*ROW(Overall!$A$35:$A$71))-ROW(Overall!$A$34), ROWS(Overall!$L$35:L40))),"")</f>
        <v/>
      </c>
      <c r="B34" s="60" t="str" cm="1">
        <f t="array" ref="B34">IFERROR(INDEX(Overall!C$35:C$71,_xlfn.AGGREGATE(15,3,((Overall!$A$35:$A$71=9)/(Overall!$A$35:$A$71=9)*ROW(Overall!$A$35:$A$71))-ROW(Overall!$A$34), ROWS(Overall!$L$35:M40))),"")</f>
        <v/>
      </c>
      <c r="C34" s="87" t="str" cm="1">
        <f t="array" ref="C34">IFERROR(INDEX(Overall!D$35:D$71,_xlfn.AGGREGATE(15,3,((Overall!$A$35:$A$71=9)/(Overall!$A$35:$A$71=9)*ROW(Overall!$A$35:$A$71))-ROW(Overall!$A$34), ROWS(Overall!$L$35:N40))),"")</f>
        <v/>
      </c>
      <c r="D34" s="62" t="str" cm="1">
        <f t="array" ref="D34">IFERROR(INDEX(Overall!E$35:E$71,_xlfn.AGGREGATE(15,3,((Overall!$A$35:$A$71=9)/(Overall!$A$35:$A$71=9)*ROW(Overall!$A$35:$A$71))-ROW(Overall!$A$34), ROWS(Overall!$L$35:O40))),"")</f>
        <v/>
      </c>
      <c r="E34" s="128" t="str" cm="1">
        <f t="array" ref="E34">IFERROR(INDEX(Overall!F$35:F$71,_xlfn.AGGREGATE(15,3,((Overall!$A$35:$A$71=9)/(Overall!$A$35:$A$71=9)*ROW(Overall!$A$35:$A$71))-ROW(Overall!$A$34), ROWS(Overall!$L$35:P40))),"")</f>
        <v/>
      </c>
      <c r="F34" s="129" t="str" cm="1">
        <f t="array" ref="F34">IFERROR(INDEX(Overall!G$35:G$71,_xlfn.AGGREGATE(15,3,((Overall!$A$35:$A$71=9)/(Overall!$A$35:$A$71=9)*ROW(Overall!$A$35:$A$71))-ROW(Overall!$A$34), ROWS(Overall!$L$35:Q40))),"")</f>
        <v/>
      </c>
      <c r="G34" s="96" t="str" cm="1">
        <f t="array" ref="G34">IFERROR(INDEX(Overall!H$35:H$71,_xlfn.AGGREGATE(15,3,((Overall!$A$35:$A$71=9)/(Overall!$A$35:$A$71=9)*ROW(Overall!$A$35:$A$71))-ROW(Overall!$A$34), ROWS(Overall!$L$35:R40))),"")</f>
        <v/>
      </c>
      <c r="H34" s="96" t="str" cm="1">
        <f t="array" ref="H34">IFERROR(INDEX(Overall!I$35:I$71,_xlfn.AGGREGATE(15,3,((Overall!$A$35:$A$71=9)/(Overall!$A$35:$A$71=9)*ROW(Overall!$A$35:$A$71))-ROW(Overall!$A$34), ROWS(Overall!$L$35:S40))),"")</f>
        <v/>
      </c>
      <c r="I34" s="62" t="str" cm="1">
        <f t="array" ref="I34">IFERROR(INDEX(Overall!J$35:J$71,_xlfn.AGGREGATE(15,3,((Overall!$A$35:$A$71=9)/(Overall!$A$35:$A$71=9)*ROW(Overall!$A$35:$A$71))-ROW(Overall!$A$34), ROWS(Overall!$L$35:T40))),"")</f>
        <v/>
      </c>
      <c r="J34" s="53" t="str" cm="1">
        <f t="array" ref="J34">IFERROR(INDEX(Overall!K$35:K$71,_xlfn.AGGREGATE(15,3,((Overall!$A$35:$A$71=9)/(Overall!$A$35:$A$71=9)*ROW(Overall!$A$35:$A$71))-ROW(Overall!$A$34),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IFERROR(INDEX(Overall!B$35:B$71,_xlfn.AGGREGATE(15,3,((Overall!$A$35:$A$71=9)/(Overall!$A$35:$A$71=9)*ROW(Overall!$A$35:$A$71))-ROW(Overall!$A$34), ROWS(Overall!$L$35:L41))),"")</f>
        <v/>
      </c>
      <c r="B35" s="60" t="str" cm="1">
        <f t="array" ref="B35">IFERROR(INDEX(Overall!C$35:C$71,_xlfn.AGGREGATE(15,3,((Overall!$A$35:$A$71=9)/(Overall!$A$35:$A$71=9)*ROW(Overall!$A$35:$A$71))-ROW(Overall!$A$34), ROWS(Overall!$L$35:M41))),"")</f>
        <v/>
      </c>
      <c r="C35" s="87" t="str" cm="1">
        <f t="array" ref="C35">IFERROR(INDEX(Overall!D$35:D$71,_xlfn.AGGREGATE(15,3,((Overall!$A$35:$A$71=9)/(Overall!$A$35:$A$71=9)*ROW(Overall!$A$35:$A$71))-ROW(Overall!$A$34), ROWS(Overall!$L$35:N41))),"")</f>
        <v/>
      </c>
      <c r="D35" s="62" t="str" cm="1">
        <f t="array" ref="D35">IFERROR(INDEX(Overall!E$35:E$71,_xlfn.AGGREGATE(15,3,((Overall!$A$35:$A$71=9)/(Overall!$A$35:$A$71=9)*ROW(Overall!$A$35:$A$71))-ROW(Overall!$A$34), ROWS(Overall!$L$35:O41))),"")</f>
        <v/>
      </c>
      <c r="E35" s="128" t="str" cm="1">
        <f t="array" ref="E35">IFERROR(INDEX(Overall!F$35:F$71,_xlfn.AGGREGATE(15,3,((Overall!$A$35:$A$71=9)/(Overall!$A$35:$A$71=9)*ROW(Overall!$A$35:$A$71))-ROW(Overall!$A$34), ROWS(Overall!$L$35:P41))),"")</f>
        <v/>
      </c>
      <c r="F35" s="129" t="str" cm="1">
        <f t="array" ref="F35">IFERROR(INDEX(Overall!G$35:G$71,_xlfn.AGGREGATE(15,3,((Overall!$A$35:$A$71=9)/(Overall!$A$35:$A$71=9)*ROW(Overall!$A$35:$A$71))-ROW(Overall!$A$34), ROWS(Overall!$L$35:Q41))),"")</f>
        <v/>
      </c>
      <c r="G35" s="96" t="str" cm="1">
        <f t="array" ref="G35">IFERROR(INDEX(Overall!H$35:H$71,_xlfn.AGGREGATE(15,3,((Overall!$A$35:$A$71=9)/(Overall!$A$35:$A$71=9)*ROW(Overall!$A$35:$A$71))-ROW(Overall!$A$34), ROWS(Overall!$L$35:R41))),"")</f>
        <v/>
      </c>
      <c r="H35" s="96" t="str" cm="1">
        <f t="array" ref="H35">IFERROR(INDEX(Overall!I$35:I$71,_xlfn.AGGREGATE(15,3,((Overall!$A$35:$A$71=9)/(Overall!$A$35:$A$71=9)*ROW(Overall!$A$35:$A$71))-ROW(Overall!$A$34), ROWS(Overall!$L$35:S41))),"")</f>
        <v/>
      </c>
      <c r="I35" s="62" t="str" cm="1">
        <f t="array" ref="I35">IFERROR(INDEX(Overall!J$35:J$71,_xlfn.AGGREGATE(15,3,((Overall!$A$35:$A$71=9)/(Overall!$A$35:$A$71=9)*ROW(Overall!$A$35:$A$71))-ROW(Overall!$A$34), ROWS(Overall!$L$35:T41))),"")</f>
        <v/>
      </c>
      <c r="J35" s="53" t="str" cm="1">
        <f t="array" ref="J35">IFERROR(INDEX(Overall!K$35:K$71,_xlfn.AGGREGATE(15,3,((Overall!$A$35:$A$71=9)/(Overall!$A$35:$A$71=9)*ROW(Overall!$A$35:$A$71))-ROW(Overall!$A$34),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IFERROR(INDEX(Overall!B$35:B$71,_xlfn.AGGREGATE(15,3,((Overall!$A$35:$A$71=9)/(Overall!$A$35:$A$71=9)*ROW(Overall!$A$35:$A$71))-ROW(Overall!$A$34), ROWS(Overall!$L$35:L42))),"")</f>
        <v/>
      </c>
      <c r="B36" s="60" t="str" cm="1">
        <f t="array" ref="B36">IFERROR(INDEX(Overall!C$35:C$71,_xlfn.AGGREGATE(15,3,((Overall!$A$35:$A$71=9)/(Overall!$A$35:$A$71=9)*ROW(Overall!$A$35:$A$71))-ROW(Overall!$A$34), ROWS(Overall!$L$35:M42))),"")</f>
        <v/>
      </c>
      <c r="C36" s="87" t="str" cm="1">
        <f t="array" ref="C36">IFERROR(INDEX(Overall!D$35:D$71,_xlfn.AGGREGATE(15,3,((Overall!$A$35:$A$71=9)/(Overall!$A$35:$A$71=9)*ROW(Overall!$A$35:$A$71))-ROW(Overall!$A$34), ROWS(Overall!$L$35:N42))),"")</f>
        <v/>
      </c>
      <c r="D36" s="62" t="str" cm="1">
        <f t="array" ref="D36">IFERROR(INDEX(Overall!E$35:E$71,_xlfn.AGGREGATE(15,3,((Overall!$A$35:$A$71=9)/(Overall!$A$35:$A$71=9)*ROW(Overall!$A$35:$A$71))-ROW(Overall!$A$34), ROWS(Overall!$L$35:O42))),"")</f>
        <v/>
      </c>
      <c r="E36" s="128" t="str" cm="1">
        <f t="array" ref="E36">IFERROR(INDEX(Overall!F$35:F$71,_xlfn.AGGREGATE(15,3,((Overall!$A$35:$A$71=9)/(Overall!$A$35:$A$71=9)*ROW(Overall!$A$35:$A$71))-ROW(Overall!$A$34), ROWS(Overall!$L$35:P42))),"")</f>
        <v/>
      </c>
      <c r="F36" s="129" t="str" cm="1">
        <f t="array" ref="F36">IFERROR(INDEX(Overall!G$35:G$71,_xlfn.AGGREGATE(15,3,((Overall!$A$35:$A$71=9)/(Overall!$A$35:$A$71=9)*ROW(Overall!$A$35:$A$71))-ROW(Overall!$A$34), ROWS(Overall!$L$35:Q42))),"")</f>
        <v/>
      </c>
      <c r="G36" s="96" t="str" cm="1">
        <f t="array" ref="G36">IFERROR(INDEX(Overall!H$35:H$71,_xlfn.AGGREGATE(15,3,((Overall!$A$35:$A$71=9)/(Overall!$A$35:$A$71=9)*ROW(Overall!$A$35:$A$71))-ROW(Overall!$A$34), ROWS(Overall!$L$35:R42))),"")</f>
        <v/>
      </c>
      <c r="H36" s="96" t="str" cm="1">
        <f t="array" ref="H36">IFERROR(INDEX(Overall!I$35:I$71,_xlfn.AGGREGATE(15,3,((Overall!$A$35:$A$71=9)/(Overall!$A$35:$A$71=9)*ROW(Overall!$A$35:$A$71))-ROW(Overall!$A$34), ROWS(Overall!$L$35:S42))),"")</f>
        <v/>
      </c>
      <c r="I36" s="62" t="str" cm="1">
        <f t="array" ref="I36">IFERROR(INDEX(Overall!J$35:J$71,_xlfn.AGGREGATE(15,3,((Overall!$A$35:$A$71=9)/(Overall!$A$35:$A$71=9)*ROW(Overall!$A$35:$A$71))-ROW(Overall!$A$34), ROWS(Overall!$L$35:T42))),"")</f>
        <v/>
      </c>
      <c r="J36" s="53" t="str" cm="1">
        <f t="array" ref="J36">IFERROR(INDEX(Overall!K$35:K$71,_xlfn.AGGREGATE(15,3,((Overall!$A$35:$A$71=9)/(Overall!$A$35:$A$71=9)*ROW(Overall!$A$35:$A$71))-ROW(Overall!$A$34),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IFERROR(INDEX(Overall!B$35:B$71,_xlfn.AGGREGATE(15,3,((Overall!$A$35:$A$71=9)/(Overall!$A$35:$A$71=9)*ROW(Overall!$A$35:$A$71))-ROW(Overall!$A$34), ROWS(Overall!$L$35:L43))),"")</f>
        <v/>
      </c>
      <c r="B37" s="60" t="str" cm="1">
        <f t="array" ref="B37">IFERROR(INDEX(Overall!C$35:C$71,_xlfn.AGGREGATE(15,3,((Overall!$A$35:$A$71=9)/(Overall!$A$35:$A$71=9)*ROW(Overall!$A$35:$A$71))-ROW(Overall!$A$34), ROWS(Overall!$L$35:M43))),"")</f>
        <v/>
      </c>
      <c r="C37" s="87" t="str" cm="1">
        <f t="array" ref="C37">IFERROR(INDEX(Overall!D$35:D$71,_xlfn.AGGREGATE(15,3,((Overall!$A$35:$A$71=9)/(Overall!$A$35:$A$71=9)*ROW(Overall!$A$35:$A$71))-ROW(Overall!$A$34), ROWS(Overall!$L$35:N43))),"")</f>
        <v/>
      </c>
      <c r="D37" s="62" t="str" cm="1">
        <f t="array" ref="D37">IFERROR(INDEX(Overall!E$35:E$71,_xlfn.AGGREGATE(15,3,((Overall!$A$35:$A$71=9)/(Overall!$A$35:$A$71=9)*ROW(Overall!$A$35:$A$71))-ROW(Overall!$A$34), ROWS(Overall!$L$35:O43))),"")</f>
        <v/>
      </c>
      <c r="E37" s="128" t="str" cm="1">
        <f t="array" ref="E37">IFERROR(INDEX(Overall!F$35:F$71,_xlfn.AGGREGATE(15,3,((Overall!$A$35:$A$71=9)/(Overall!$A$35:$A$71=9)*ROW(Overall!$A$35:$A$71))-ROW(Overall!$A$34), ROWS(Overall!$L$35:P43))),"")</f>
        <v/>
      </c>
      <c r="F37" s="129" t="str" cm="1">
        <f t="array" ref="F37">IFERROR(INDEX(Overall!G$35:G$71,_xlfn.AGGREGATE(15,3,((Overall!$A$35:$A$71=9)/(Overall!$A$35:$A$71=9)*ROW(Overall!$A$35:$A$71))-ROW(Overall!$A$34), ROWS(Overall!$L$35:Q43))),"")</f>
        <v/>
      </c>
      <c r="G37" s="96" t="str" cm="1">
        <f t="array" ref="G37">IFERROR(INDEX(Overall!H$35:H$71,_xlfn.AGGREGATE(15,3,((Overall!$A$35:$A$71=9)/(Overall!$A$35:$A$71=9)*ROW(Overall!$A$35:$A$71))-ROW(Overall!$A$34), ROWS(Overall!$L$35:R43))),"")</f>
        <v/>
      </c>
      <c r="H37" s="96" t="str" cm="1">
        <f t="array" ref="H37">IFERROR(INDEX(Overall!I$35:I$71,_xlfn.AGGREGATE(15,3,((Overall!$A$35:$A$71=9)/(Overall!$A$35:$A$71=9)*ROW(Overall!$A$35:$A$71))-ROW(Overall!$A$34), ROWS(Overall!$L$35:S43))),"")</f>
        <v/>
      </c>
      <c r="I37" s="62" t="str" cm="1">
        <f t="array" ref="I37">IFERROR(INDEX(Overall!J$35:J$71,_xlfn.AGGREGATE(15,3,((Overall!$A$35:$A$71=9)/(Overall!$A$35:$A$71=9)*ROW(Overall!$A$35:$A$71))-ROW(Overall!$A$34), ROWS(Overall!$L$35:T43))),"")</f>
        <v/>
      </c>
      <c r="J37" s="53" t="str" cm="1">
        <f t="array" ref="J37">IFERROR(INDEX(Overall!K$35:K$71,_xlfn.AGGREGATE(15,3,((Overall!$A$35:$A$71=9)/(Overall!$A$35:$A$71=9)*ROW(Overall!$A$35:$A$71))-ROW(Overall!$A$34),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IFERROR(INDEX(Overall!B$35:B$71,_xlfn.AGGREGATE(15,3,((Overall!$A$35:$A$71=9)/(Overall!$A$35:$A$71=9)*ROW(Overall!$A$35:$A$71))-ROW(Overall!$A$34), ROWS(Overall!$L$35:L44))),"")</f>
        <v/>
      </c>
      <c r="B38" s="60" t="str" cm="1">
        <f t="array" ref="B38">IFERROR(INDEX(Overall!C$35:C$71,_xlfn.AGGREGATE(15,3,((Overall!$A$35:$A$71=9)/(Overall!$A$35:$A$71=9)*ROW(Overall!$A$35:$A$71))-ROW(Overall!$A$34), ROWS(Overall!$L$35:M44))),"")</f>
        <v/>
      </c>
      <c r="C38" s="87" t="str" cm="1">
        <f t="array" ref="C38">IFERROR(INDEX(Overall!D$35:D$71,_xlfn.AGGREGATE(15,3,((Overall!$A$35:$A$71=9)/(Overall!$A$35:$A$71=9)*ROW(Overall!$A$35:$A$71))-ROW(Overall!$A$34), ROWS(Overall!$L$35:N44))),"")</f>
        <v/>
      </c>
      <c r="D38" s="62" t="str" cm="1">
        <f t="array" ref="D38">IFERROR(INDEX(Overall!E$35:E$71,_xlfn.AGGREGATE(15,3,((Overall!$A$35:$A$71=9)/(Overall!$A$35:$A$71=9)*ROW(Overall!$A$35:$A$71))-ROW(Overall!$A$34), ROWS(Overall!$L$35:O44))),"")</f>
        <v/>
      </c>
      <c r="E38" s="128" t="str" cm="1">
        <f t="array" ref="E38">IFERROR(INDEX(Overall!F$35:F$71,_xlfn.AGGREGATE(15,3,((Overall!$A$35:$A$71=9)/(Overall!$A$35:$A$71=9)*ROW(Overall!$A$35:$A$71))-ROW(Overall!$A$34), ROWS(Overall!$L$35:P44))),"")</f>
        <v/>
      </c>
      <c r="F38" s="129" t="str" cm="1">
        <f t="array" ref="F38">IFERROR(INDEX(Overall!G$35:G$71,_xlfn.AGGREGATE(15,3,((Overall!$A$35:$A$71=9)/(Overall!$A$35:$A$71=9)*ROW(Overall!$A$35:$A$71))-ROW(Overall!$A$34), ROWS(Overall!$L$35:Q44))),"")</f>
        <v/>
      </c>
      <c r="G38" s="96" t="str" cm="1">
        <f t="array" ref="G38">IFERROR(INDEX(Overall!H$35:H$71,_xlfn.AGGREGATE(15,3,((Overall!$A$35:$A$71=9)/(Overall!$A$35:$A$71=9)*ROW(Overall!$A$35:$A$71))-ROW(Overall!$A$34), ROWS(Overall!$L$35:R44))),"")</f>
        <v/>
      </c>
      <c r="H38" s="96" t="str" cm="1">
        <f t="array" ref="H38">IFERROR(INDEX(Overall!I$35:I$71,_xlfn.AGGREGATE(15,3,((Overall!$A$35:$A$71=9)/(Overall!$A$35:$A$71=9)*ROW(Overall!$A$35:$A$71))-ROW(Overall!$A$34), ROWS(Overall!$L$35:S44))),"")</f>
        <v/>
      </c>
      <c r="I38" s="62" t="str" cm="1">
        <f t="array" ref="I38">IFERROR(INDEX(Overall!J$35:J$71,_xlfn.AGGREGATE(15,3,((Overall!$A$35:$A$71=9)/(Overall!$A$35:$A$71=9)*ROW(Overall!$A$35:$A$71))-ROW(Overall!$A$34), ROWS(Overall!$L$35:T44))),"")</f>
        <v/>
      </c>
      <c r="J38" s="53" t="str" cm="1">
        <f t="array" ref="J38">IFERROR(INDEX(Overall!K$35:K$71,_xlfn.AGGREGATE(15,3,((Overall!$A$35:$A$71=9)/(Overall!$A$35:$A$71=9)*ROW(Overall!$A$35:$A$71))-ROW(Overall!$A$34),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IFERROR(INDEX(Overall!B$35:B$71,_xlfn.AGGREGATE(15,3,((Overall!$A$35:$A$71=9)/(Overall!$A$35:$A$71=9)*ROW(Overall!$A$35:$A$71))-ROW(Overall!$A$34), ROWS(Overall!$L$35:L45))),"")</f>
        <v/>
      </c>
      <c r="B39" s="60" t="str" cm="1">
        <f t="array" ref="B39">IFERROR(INDEX(Overall!C$35:C$71,_xlfn.AGGREGATE(15,3,((Overall!$A$35:$A$71=9)/(Overall!$A$35:$A$71=9)*ROW(Overall!$A$35:$A$71))-ROW(Overall!$A$34), ROWS(Overall!$L$35:M45))),"")</f>
        <v/>
      </c>
      <c r="C39" s="87" t="str" cm="1">
        <f t="array" ref="C39">IFERROR(INDEX(Overall!D$35:D$71,_xlfn.AGGREGATE(15,3,((Overall!$A$35:$A$71=9)/(Overall!$A$35:$A$71=9)*ROW(Overall!$A$35:$A$71))-ROW(Overall!$A$34), ROWS(Overall!$L$35:N45))),"")</f>
        <v/>
      </c>
      <c r="D39" s="62" t="str" cm="1">
        <f t="array" ref="D39">IFERROR(INDEX(Overall!E$35:E$71,_xlfn.AGGREGATE(15,3,((Overall!$A$35:$A$71=9)/(Overall!$A$35:$A$71=9)*ROW(Overall!$A$35:$A$71))-ROW(Overall!$A$34), ROWS(Overall!$L$35:O45))),"")</f>
        <v/>
      </c>
      <c r="E39" s="128" t="str" cm="1">
        <f t="array" ref="E39">IFERROR(INDEX(Overall!F$35:F$71,_xlfn.AGGREGATE(15,3,((Overall!$A$35:$A$71=9)/(Overall!$A$35:$A$71=9)*ROW(Overall!$A$35:$A$71))-ROW(Overall!$A$34), ROWS(Overall!$L$35:P45))),"")</f>
        <v/>
      </c>
      <c r="F39" s="129" t="str" cm="1">
        <f t="array" ref="F39">IFERROR(INDEX(Overall!G$35:G$71,_xlfn.AGGREGATE(15,3,((Overall!$A$35:$A$71=9)/(Overall!$A$35:$A$71=9)*ROW(Overall!$A$35:$A$71))-ROW(Overall!$A$34), ROWS(Overall!$L$35:Q45))),"")</f>
        <v/>
      </c>
      <c r="G39" s="96" t="str" cm="1">
        <f t="array" ref="G39">IFERROR(INDEX(Overall!H$35:H$71,_xlfn.AGGREGATE(15,3,((Overall!$A$35:$A$71=9)/(Overall!$A$35:$A$71=9)*ROW(Overall!$A$35:$A$71))-ROW(Overall!$A$34), ROWS(Overall!$L$35:R45))),"")</f>
        <v/>
      </c>
      <c r="H39" s="96" t="str" cm="1">
        <f t="array" ref="H39">IFERROR(INDEX(Overall!I$35:I$71,_xlfn.AGGREGATE(15,3,((Overall!$A$35:$A$71=9)/(Overall!$A$35:$A$71=9)*ROW(Overall!$A$35:$A$71))-ROW(Overall!$A$34), ROWS(Overall!$L$35:S45))),"")</f>
        <v/>
      </c>
      <c r="I39" s="62" t="str" cm="1">
        <f t="array" ref="I39">IFERROR(INDEX(Overall!J$35:J$71,_xlfn.AGGREGATE(15,3,((Overall!$A$35:$A$71=9)/(Overall!$A$35:$A$71=9)*ROW(Overall!$A$35:$A$71))-ROW(Overall!$A$34), ROWS(Overall!$L$35:T45))),"")</f>
        <v/>
      </c>
      <c r="J39" s="53" t="str" cm="1">
        <f t="array" ref="J39">IFERROR(INDEX(Overall!K$35:K$71,_xlfn.AGGREGATE(15,3,((Overall!$A$35:$A$71=9)/(Overall!$A$35:$A$71=9)*ROW(Overall!$A$35:$A$71))-ROW(Overall!$A$34),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IFERROR(INDEX(Overall!B$35:B$71,_xlfn.AGGREGATE(15,3,((Overall!$A$35:$A$71=9)/(Overall!$A$35:$A$71=9)*ROW(Overall!$A$35:$A$71))-ROW(Overall!$A$34), ROWS(Overall!$L$35:L46))),"")</f>
        <v/>
      </c>
      <c r="B40" s="60" t="str" cm="1">
        <f t="array" ref="B40">IFERROR(INDEX(Overall!C$35:C$71,_xlfn.AGGREGATE(15,3,((Overall!$A$35:$A$71=9)/(Overall!$A$35:$A$71=9)*ROW(Overall!$A$35:$A$71))-ROW(Overall!$A$34), ROWS(Overall!$L$35:M46))),"")</f>
        <v/>
      </c>
      <c r="C40" s="87" t="str" cm="1">
        <f t="array" ref="C40">IFERROR(INDEX(Overall!D$35:D$71,_xlfn.AGGREGATE(15,3,((Overall!$A$35:$A$71=9)/(Overall!$A$35:$A$71=9)*ROW(Overall!$A$35:$A$71))-ROW(Overall!$A$34), ROWS(Overall!$L$35:N46))),"")</f>
        <v/>
      </c>
      <c r="D40" s="62" t="str" cm="1">
        <f t="array" ref="D40">IFERROR(INDEX(Overall!E$35:E$71,_xlfn.AGGREGATE(15,3,((Overall!$A$35:$A$71=9)/(Overall!$A$35:$A$71=9)*ROW(Overall!$A$35:$A$71))-ROW(Overall!$A$34), ROWS(Overall!$L$35:O46))),"")</f>
        <v/>
      </c>
      <c r="E40" s="128" t="str" cm="1">
        <f t="array" ref="E40">IFERROR(INDEX(Overall!F$35:F$71,_xlfn.AGGREGATE(15,3,((Overall!$A$35:$A$71=9)/(Overall!$A$35:$A$71=9)*ROW(Overall!$A$35:$A$71))-ROW(Overall!$A$34), ROWS(Overall!$L$35:P46))),"")</f>
        <v/>
      </c>
      <c r="F40" s="129" t="str" cm="1">
        <f t="array" ref="F40">IFERROR(INDEX(Overall!G$35:G$71,_xlfn.AGGREGATE(15,3,((Overall!$A$35:$A$71=9)/(Overall!$A$35:$A$71=9)*ROW(Overall!$A$35:$A$71))-ROW(Overall!$A$34), ROWS(Overall!$L$35:Q46))),"")</f>
        <v/>
      </c>
      <c r="G40" s="96" t="str" cm="1">
        <f t="array" ref="G40">IFERROR(INDEX(Overall!H$35:H$71,_xlfn.AGGREGATE(15,3,((Overall!$A$35:$A$71=9)/(Overall!$A$35:$A$71=9)*ROW(Overall!$A$35:$A$71))-ROW(Overall!$A$34), ROWS(Overall!$L$35:R46))),"")</f>
        <v/>
      </c>
      <c r="H40" s="96" t="str" cm="1">
        <f t="array" ref="H40">IFERROR(INDEX(Overall!I$35:I$71,_xlfn.AGGREGATE(15,3,((Overall!$A$35:$A$71=9)/(Overall!$A$35:$A$71=9)*ROW(Overall!$A$35:$A$71))-ROW(Overall!$A$34), ROWS(Overall!$L$35:S46))),"")</f>
        <v/>
      </c>
      <c r="I40" s="62" t="str" cm="1">
        <f t="array" ref="I40">IFERROR(INDEX(Overall!J$35:J$71,_xlfn.AGGREGATE(15,3,((Overall!$A$35:$A$71=9)/(Overall!$A$35:$A$71=9)*ROW(Overall!$A$35:$A$71))-ROW(Overall!$A$34), ROWS(Overall!$L$35:T46))),"")</f>
        <v/>
      </c>
      <c r="J40" s="53" t="str" cm="1">
        <f t="array" ref="J40">IFERROR(INDEX(Overall!K$35:K$71,_xlfn.AGGREGATE(15,3,((Overall!$A$35:$A$71=9)/(Overall!$A$35:$A$71=9)*ROW(Overall!$A$35:$A$71))-ROW(Overall!$A$34),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IFERROR(INDEX(Overall!B$35:B$71,_xlfn.AGGREGATE(15,3,((Overall!$A$35:$A$71=9)/(Overall!$A$35:$A$71=9)*ROW(Overall!$A$35:$A$71))-ROW(Overall!$A$34), ROWS(Overall!$L$35:L47))),"")</f>
        <v/>
      </c>
      <c r="B41" s="60" t="str" cm="1">
        <f t="array" ref="B41">IFERROR(INDEX(Overall!C$35:C$71,_xlfn.AGGREGATE(15,3,((Overall!$A$35:$A$71=9)/(Overall!$A$35:$A$71=9)*ROW(Overall!$A$35:$A$71))-ROW(Overall!$A$34), ROWS(Overall!$L$35:M47))),"")</f>
        <v/>
      </c>
      <c r="C41" s="87" t="str" cm="1">
        <f t="array" ref="C41">IFERROR(INDEX(Overall!D$35:D$71,_xlfn.AGGREGATE(15,3,((Overall!$A$35:$A$71=9)/(Overall!$A$35:$A$71=9)*ROW(Overall!$A$35:$A$71))-ROW(Overall!$A$34), ROWS(Overall!$L$35:N47))),"")</f>
        <v/>
      </c>
      <c r="D41" s="62" t="str" cm="1">
        <f t="array" ref="D41">IFERROR(INDEX(Overall!E$35:E$71,_xlfn.AGGREGATE(15,3,((Overall!$A$35:$A$71=9)/(Overall!$A$35:$A$71=9)*ROW(Overall!$A$35:$A$71))-ROW(Overall!$A$34), ROWS(Overall!$L$35:O47))),"")</f>
        <v/>
      </c>
      <c r="E41" s="128" t="str" cm="1">
        <f t="array" ref="E41">IFERROR(INDEX(Overall!F$35:F$71,_xlfn.AGGREGATE(15,3,((Overall!$A$35:$A$71=9)/(Overall!$A$35:$A$71=9)*ROW(Overall!$A$35:$A$71))-ROW(Overall!$A$34), ROWS(Overall!$L$35:P47))),"")</f>
        <v/>
      </c>
      <c r="F41" s="129" t="str" cm="1">
        <f t="array" ref="F41">IFERROR(INDEX(Overall!G$35:G$71,_xlfn.AGGREGATE(15,3,((Overall!$A$35:$A$71=9)/(Overall!$A$35:$A$71=9)*ROW(Overall!$A$35:$A$71))-ROW(Overall!$A$34), ROWS(Overall!$L$35:Q47))),"")</f>
        <v/>
      </c>
      <c r="G41" s="96" t="str" cm="1">
        <f t="array" ref="G41">IFERROR(INDEX(Overall!H$35:H$71,_xlfn.AGGREGATE(15,3,((Overall!$A$35:$A$71=9)/(Overall!$A$35:$A$71=9)*ROW(Overall!$A$35:$A$71))-ROW(Overall!$A$34), ROWS(Overall!$L$35:R47))),"")</f>
        <v/>
      </c>
      <c r="H41" s="96" t="str" cm="1">
        <f t="array" ref="H41">IFERROR(INDEX(Overall!I$35:I$71,_xlfn.AGGREGATE(15,3,((Overall!$A$35:$A$71=9)/(Overall!$A$35:$A$71=9)*ROW(Overall!$A$35:$A$71))-ROW(Overall!$A$34), ROWS(Overall!$L$35:S47))),"")</f>
        <v/>
      </c>
      <c r="I41" s="62" t="str" cm="1">
        <f t="array" ref="I41">IFERROR(INDEX(Overall!J$35:J$71,_xlfn.AGGREGATE(15,3,((Overall!$A$35:$A$71=9)/(Overall!$A$35:$A$71=9)*ROW(Overall!$A$35:$A$71))-ROW(Overall!$A$34), ROWS(Overall!$L$35:T47))),"")</f>
        <v/>
      </c>
      <c r="J41" s="53" t="str" cm="1">
        <f t="array" ref="J41">IFERROR(INDEX(Overall!K$35:K$71,_xlfn.AGGREGATE(15,3,((Overall!$A$35:$A$71=9)/(Overall!$A$35:$A$71=9)*ROW(Overall!$A$35:$A$71))-ROW(Overall!$A$34),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IFERROR(INDEX(Overall!B$35:B$71,_xlfn.AGGREGATE(15,3,((Overall!$A$35:$A$71=9)/(Overall!$A$35:$A$71=9)*ROW(Overall!$A$35:$A$71))-ROW(Overall!$A$34), ROWS(Overall!$L$35:L48))),"")</f>
        <v/>
      </c>
      <c r="B42" s="60" t="str" cm="1">
        <f t="array" ref="B42">IFERROR(INDEX(Overall!C$35:C$71,_xlfn.AGGREGATE(15,3,((Overall!$A$35:$A$71=9)/(Overall!$A$35:$A$71=9)*ROW(Overall!$A$35:$A$71))-ROW(Overall!$A$34), ROWS(Overall!$L$35:M48))),"")</f>
        <v/>
      </c>
      <c r="C42" s="87" t="str" cm="1">
        <f t="array" ref="C42">IFERROR(INDEX(Overall!D$35:D$71,_xlfn.AGGREGATE(15,3,((Overall!$A$35:$A$71=9)/(Overall!$A$35:$A$71=9)*ROW(Overall!$A$35:$A$71))-ROW(Overall!$A$34), ROWS(Overall!$L$35:N48))),"")</f>
        <v/>
      </c>
      <c r="D42" s="62" t="str" cm="1">
        <f t="array" ref="D42">IFERROR(INDEX(Overall!E$35:E$71,_xlfn.AGGREGATE(15,3,((Overall!$A$35:$A$71=9)/(Overall!$A$35:$A$71=9)*ROW(Overall!$A$35:$A$71))-ROW(Overall!$A$34), ROWS(Overall!$L$35:O48))),"")</f>
        <v/>
      </c>
      <c r="E42" s="128" t="str" cm="1">
        <f t="array" ref="E42">IFERROR(INDEX(Overall!F$35:F$71,_xlfn.AGGREGATE(15,3,((Overall!$A$35:$A$71=9)/(Overall!$A$35:$A$71=9)*ROW(Overall!$A$35:$A$71))-ROW(Overall!$A$34), ROWS(Overall!$L$35:P48))),"")</f>
        <v/>
      </c>
      <c r="F42" s="129" t="str" cm="1">
        <f t="array" ref="F42">IFERROR(INDEX(Overall!G$35:G$71,_xlfn.AGGREGATE(15,3,((Overall!$A$35:$A$71=9)/(Overall!$A$35:$A$71=9)*ROW(Overall!$A$35:$A$71))-ROW(Overall!$A$34), ROWS(Overall!$L$35:Q48))),"")</f>
        <v/>
      </c>
      <c r="G42" s="96" t="str" cm="1">
        <f t="array" ref="G42">IFERROR(INDEX(Overall!H$35:H$71,_xlfn.AGGREGATE(15,3,((Overall!$A$35:$A$71=9)/(Overall!$A$35:$A$71=9)*ROW(Overall!$A$35:$A$71))-ROW(Overall!$A$34), ROWS(Overall!$L$35:R48))),"")</f>
        <v/>
      </c>
      <c r="H42" s="96" t="str" cm="1">
        <f t="array" ref="H42">IFERROR(INDEX(Overall!I$35:I$71,_xlfn.AGGREGATE(15,3,((Overall!$A$35:$A$71=9)/(Overall!$A$35:$A$71=9)*ROW(Overall!$A$35:$A$71))-ROW(Overall!$A$34), ROWS(Overall!$L$35:S48))),"")</f>
        <v/>
      </c>
      <c r="I42" s="62" t="str" cm="1">
        <f t="array" ref="I42">IFERROR(INDEX(Overall!J$35:J$71,_xlfn.AGGREGATE(15,3,((Overall!$A$35:$A$71=9)/(Overall!$A$35:$A$71=9)*ROW(Overall!$A$35:$A$71))-ROW(Overall!$A$34), ROWS(Overall!$L$35:T48))),"")</f>
        <v/>
      </c>
      <c r="J42" s="53" t="str" cm="1">
        <f t="array" ref="J42">IFERROR(INDEX(Overall!K$35:K$71,_xlfn.AGGREGATE(15,3,((Overall!$A$35:$A$71=9)/(Overall!$A$35:$A$71=9)*ROW(Overall!$A$35:$A$71))-ROW(Overall!$A$34),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IFERROR(INDEX(Overall!B$35:B$71,_xlfn.AGGREGATE(15,3,((Overall!$A$35:$A$71=9)/(Overall!$A$35:$A$71=9)*ROW(Overall!$A$35:$A$71))-ROW(Overall!$A$34), ROWS(Overall!$L$35:L49))),"")</f>
        <v/>
      </c>
      <c r="B43" s="60" t="str" cm="1">
        <f t="array" ref="B43">IFERROR(INDEX(Overall!C$35:C$71,_xlfn.AGGREGATE(15,3,((Overall!$A$35:$A$71=9)/(Overall!$A$35:$A$71=9)*ROW(Overall!$A$35:$A$71))-ROW(Overall!$A$34), ROWS(Overall!$L$35:M49))),"")</f>
        <v/>
      </c>
      <c r="C43" s="87" t="str" cm="1">
        <f t="array" ref="C43">IFERROR(INDEX(Overall!D$35:D$71,_xlfn.AGGREGATE(15,3,((Overall!$A$35:$A$71=9)/(Overall!$A$35:$A$71=9)*ROW(Overall!$A$35:$A$71))-ROW(Overall!$A$34), ROWS(Overall!$L$35:N49))),"")</f>
        <v/>
      </c>
      <c r="D43" s="62" t="str" cm="1">
        <f t="array" ref="D43">IFERROR(INDEX(Overall!E$35:E$71,_xlfn.AGGREGATE(15,3,((Overall!$A$35:$A$71=9)/(Overall!$A$35:$A$71=9)*ROW(Overall!$A$35:$A$71))-ROW(Overall!$A$34), ROWS(Overall!$L$35:O49))),"")</f>
        <v/>
      </c>
      <c r="E43" s="128" t="str" cm="1">
        <f t="array" ref="E43">IFERROR(INDEX(Overall!F$35:F$71,_xlfn.AGGREGATE(15,3,((Overall!$A$35:$A$71=9)/(Overall!$A$35:$A$71=9)*ROW(Overall!$A$35:$A$71))-ROW(Overall!$A$34), ROWS(Overall!$L$35:P49))),"")</f>
        <v/>
      </c>
      <c r="F43" s="129" t="str" cm="1">
        <f t="array" ref="F43">IFERROR(INDEX(Overall!G$35:G$71,_xlfn.AGGREGATE(15,3,((Overall!$A$35:$A$71=9)/(Overall!$A$35:$A$71=9)*ROW(Overall!$A$35:$A$71))-ROW(Overall!$A$34), ROWS(Overall!$L$35:Q49))),"")</f>
        <v/>
      </c>
      <c r="G43" s="96" t="str" cm="1">
        <f t="array" ref="G43">IFERROR(INDEX(Overall!H$35:H$71,_xlfn.AGGREGATE(15,3,((Overall!$A$35:$A$71=9)/(Overall!$A$35:$A$71=9)*ROW(Overall!$A$35:$A$71))-ROW(Overall!$A$34), ROWS(Overall!$L$35:R49))),"")</f>
        <v/>
      </c>
      <c r="H43" s="96" t="str" cm="1">
        <f t="array" ref="H43">IFERROR(INDEX(Overall!I$35:I$71,_xlfn.AGGREGATE(15,3,((Overall!$A$35:$A$71=9)/(Overall!$A$35:$A$71=9)*ROW(Overall!$A$35:$A$71))-ROW(Overall!$A$34), ROWS(Overall!$L$35:S49))),"")</f>
        <v/>
      </c>
      <c r="I43" s="62" t="str" cm="1">
        <f t="array" ref="I43">IFERROR(INDEX(Overall!J$35:J$71,_xlfn.AGGREGATE(15,3,((Overall!$A$35:$A$71=9)/(Overall!$A$35:$A$71=9)*ROW(Overall!$A$35:$A$71))-ROW(Overall!$A$34), ROWS(Overall!$L$35:T49))),"")</f>
        <v/>
      </c>
      <c r="J43" s="53" t="str" cm="1">
        <f t="array" ref="J43">IFERROR(INDEX(Overall!K$35:K$71,_xlfn.AGGREGATE(15,3,((Overall!$A$35:$A$71=9)/(Overall!$A$35:$A$71=9)*ROW(Overall!$A$35:$A$71))-ROW(Overall!$A$34),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IFERROR(INDEX(Overall!B$35:B$71,_xlfn.AGGREGATE(15,3,((Overall!$A$35:$A$71=9)/(Overall!$A$35:$A$71=9)*ROW(Overall!$A$35:$A$71))-ROW(Overall!$A$34), ROWS(Overall!$L$35:L50))),"")</f>
        <v/>
      </c>
      <c r="B44" s="61" t="str" cm="1">
        <f t="array" ref="B44">IFERROR(INDEX(Overall!C$35:C$71,_xlfn.AGGREGATE(15,3,((Overall!$A$35:$A$71=9)/(Overall!$A$35:$A$71=9)*ROW(Overall!$A$35:$A$71))-ROW(Overall!$A$34), ROWS(Overall!$L$35:M50))),"")</f>
        <v/>
      </c>
      <c r="C44" s="88" t="str" cm="1">
        <f t="array" ref="C44">IFERROR(INDEX(Overall!D$35:D$71,_xlfn.AGGREGATE(15,3,((Overall!$A$35:$A$71=9)/(Overall!$A$35:$A$71=9)*ROW(Overall!$A$35:$A$71))-ROW(Overall!$A$34), ROWS(Overall!$L$35:N50))),"")</f>
        <v/>
      </c>
      <c r="D44" s="63" t="str" cm="1">
        <f t="array" ref="D44">IFERROR(INDEX(Overall!E$35:E$71,_xlfn.AGGREGATE(15,3,((Overall!$A$35:$A$71=9)/(Overall!$A$35:$A$71=9)*ROW(Overall!$A$35:$A$71))-ROW(Overall!$A$34), ROWS(Overall!$L$35:O50))),"")</f>
        <v/>
      </c>
      <c r="E44" s="130" t="str" cm="1">
        <f t="array" ref="E44">IFERROR(INDEX(Overall!F$35:F$71,_xlfn.AGGREGATE(15,3,((Overall!$A$35:$A$71=9)/(Overall!$A$35:$A$71=9)*ROW(Overall!$A$35:$A$71))-ROW(Overall!$A$34), ROWS(Overall!$L$35:P50))),"")</f>
        <v/>
      </c>
      <c r="F44" s="131" t="str" cm="1">
        <f t="array" ref="F44">IFERROR(INDEX(Overall!G$35:G$71,_xlfn.AGGREGATE(15,3,((Overall!$A$35:$A$71=9)/(Overall!$A$35:$A$71=9)*ROW(Overall!$A$35:$A$71))-ROW(Overall!$A$34), ROWS(Overall!$L$35:Q50))),"")</f>
        <v/>
      </c>
      <c r="G44" s="97" t="str" cm="1">
        <f t="array" ref="G44">IFERROR(INDEX(Overall!H$35:H$71,_xlfn.AGGREGATE(15,3,((Overall!$A$35:$A$71=9)/(Overall!$A$35:$A$71=9)*ROW(Overall!$A$35:$A$71))-ROW(Overall!$A$34), ROWS(Overall!$L$35:R50))),"")</f>
        <v/>
      </c>
      <c r="H44" s="97" t="str" cm="1">
        <f t="array" ref="H44">IFERROR(INDEX(Overall!I$35:I$71,_xlfn.AGGREGATE(15,3,((Overall!$A$35:$A$71=9)/(Overall!$A$35:$A$71=9)*ROW(Overall!$A$35:$A$71))-ROW(Overall!$A$34), ROWS(Overall!$L$35:S50))),"")</f>
        <v/>
      </c>
      <c r="I44" s="65" t="str" cm="1">
        <f t="array" ref="I44">IFERROR(INDEX(Overall!J$35:J$71,_xlfn.AGGREGATE(15,3,((Overall!$A$35:$A$71=9)/(Overall!$A$35:$A$71=9)*ROW(Overall!$A$35:$A$71))-ROW(Overall!$A$34), ROWS(Overall!$L$35:T50))),"")</f>
        <v/>
      </c>
      <c r="J44" s="54" t="str" cm="1">
        <f t="array" ref="J44">IFERROR(INDEX(Overall!K$35:K$71,_xlfn.AGGREGATE(15,3,((Overall!$A$35:$A$71=9)/(Overall!$A$35:$A$71=9)*ROW(Overall!$A$35:$A$71))-ROW(Overall!$A$34),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 t="s">
        <v>183</v>
      </c>
      <c r="J47" s="52"/>
    </row>
    <row r="48" spans="1:10" x14ac:dyDescent="0.25">
      <c r="A48" s="67"/>
      <c r="B48" s="72"/>
      <c r="C48" s="178"/>
      <c r="D48" s="179"/>
      <c r="H48" s="52"/>
      <c r="I48" s="50" t="s">
        <v>184</v>
      </c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 s="105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</sheetData>
  <mergeCells count="47"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A46:H46"/>
    <mergeCell ref="E47:H47"/>
    <mergeCell ref="C60:D60"/>
    <mergeCell ref="C61:D61"/>
    <mergeCell ref="C57:D57"/>
    <mergeCell ref="C58:D58"/>
    <mergeCell ref="C59:D59"/>
  </mergeCells>
  <conditionalFormatting sqref="A29:J43">
    <cfRule type="cellIs" dxfId="35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EBCB-F425-4311-BD1F-CE568CE85637}">
  <sheetPr codeName="Sheet9">
    <pageSetUpPr autoPageBreaks="0"/>
  </sheetPr>
  <dimension ref="A1:J64"/>
  <sheetViews>
    <sheetView showGridLines="0" zoomScale="110" zoomScaleNormal="110" workbookViewId="0">
      <selection activeCell="K18" sqref="K18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24</v>
      </c>
      <c r="C3" s="175"/>
      <c r="F3" s="74">
        <f>IFERROR(VLOOKUP($B$3,Totals!$B$3:$C$11,2,0),0)</f>
        <v>24034</v>
      </c>
      <c r="G3" s="163" t="s">
        <v>4</v>
      </c>
      <c r="H3" s="163"/>
      <c r="I3" s="164"/>
    </row>
    <row r="4" spans="1:10" x14ac:dyDescent="0.25">
      <c r="F4" s="74">
        <f>VLOOKUP($B$3,Totals!$E$3:$F$12,2,0)</f>
        <v>48002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73992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3</v>
      </c>
    </row>
    <row r="7" spans="1:10" x14ac:dyDescent="0.25">
      <c r="G7" s="92" t="s">
        <v>6</v>
      </c>
      <c r="H7" s="93">
        <f>F3/F4</f>
        <v>0.50068747135536018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6.729712987817468</v>
      </c>
      <c r="C9" s="82">
        <f>IFERROR(VLOOKUP($B$3,Totals!$L$3:$N$11,3,0),0)</f>
        <v>32.481889934046926</v>
      </c>
      <c r="D9" s="83">
        <f>IFERROR(VLOOKUP('10'!$B$3,Totals!$P$4:$Y$12,10,0),0)</f>
        <v>30.087901592188302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105</v>
      </c>
      <c r="C22" s="163" t="str">
        <f>VLOOKUP($B$3&amp;A22,Totals!$G$49:$K$73,5,0)</f>
        <v>Cleaner</v>
      </c>
      <c r="D22" s="164"/>
      <c r="F22" s="66">
        <v>1</v>
      </c>
      <c r="G22" s="69">
        <f>VLOOKUP($B$3&amp;F22,Totals!$M$49:$Q$73,4,0)</f>
        <v>326</v>
      </c>
      <c r="H22" s="163" t="str">
        <f>VLOOKUP($B$3&amp;F22,Totals!$M$49:$Q$73,5,0)</f>
        <v>Labeler</v>
      </c>
      <c r="I22" s="164"/>
    </row>
    <row r="23" spans="1:10" x14ac:dyDescent="0.25">
      <c r="A23" s="67">
        <v>2</v>
      </c>
      <c r="B23" s="70">
        <f>VLOOKUP($B$3&amp;A23,Totals!$G$49:$K$73,4,0)</f>
        <v>75</v>
      </c>
      <c r="C23" s="163" t="str">
        <f>VLOOKUP($B$3&amp;A23,Totals!$G$49:$K$73,5,0)</f>
        <v>Labeler</v>
      </c>
      <c r="D23" s="164"/>
      <c r="F23" s="67">
        <v>2</v>
      </c>
      <c r="G23" s="70">
        <f>VLOOKUP($B$3&amp;F23,Totals!$M$49:$Q$73,4,0)</f>
        <v>143</v>
      </c>
      <c r="H23" s="163" t="str">
        <f>VLOOKUP($B$3&amp;F23,Totals!$M$49:$Q$73,5,0)</f>
        <v>Cleaner</v>
      </c>
      <c r="I23" s="164"/>
    </row>
    <row r="24" spans="1:10" x14ac:dyDescent="0.25">
      <c r="A24" s="68">
        <v>3</v>
      </c>
      <c r="B24" s="71">
        <f>VLOOKUP($B$3&amp;A24,Totals!$G$49:$K$73,4,0)</f>
        <v>46</v>
      </c>
      <c r="C24" s="165" t="str">
        <f>VLOOKUP($B$3&amp;A24,Totals!$G$49:$K$73,5,0)</f>
        <v>Wash</v>
      </c>
      <c r="D24" s="166"/>
      <c r="F24" s="68">
        <v>3</v>
      </c>
      <c r="G24" s="71">
        <f>VLOOKUP($B$3&amp;F24,Totals!$M$49:$Q$73,4,0)</f>
        <v>103</v>
      </c>
      <c r="H24" s="165" t="str">
        <f>VLOOKUP($B$3&amp;F24,Totals!$M$49:$Q$73,5,0)</f>
        <v>Partitioner</v>
      </c>
      <c r="I24" s="166"/>
    </row>
    <row r="27" spans="1:10" x14ac:dyDescent="0.25">
      <c r="A27" s="156" t="s">
        <v>10</v>
      </c>
      <c r="B27" s="156"/>
      <c r="C27" s="156"/>
      <c r="D27" s="156"/>
      <c r="E27" s="156"/>
      <c r="F27" s="156"/>
      <c r="G27" s="156"/>
      <c r="H27" s="156"/>
      <c r="I27" s="156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IFERROR(INDEX(Overall!B$35:B$71,_xlfn.AGGREGATE(15,3,((Overall!$A$35:$A$71=10)/(Overall!$A$35:$A$71=10)*ROW(Overall!$A$35:$A$71))-ROW(Overall!$A$34), ROWS(Overall!$L$35:L35))),"")</f>
        <v>C</v>
      </c>
      <c r="B29" s="60" cm="1">
        <f t="array" ref="B29">IFERROR(INDEX(Overall!C$35:C$71,_xlfn.AGGREGATE(15,3,((Overall!$A$35:$A$71=10)/(Overall!$A$35:$A$71=10)*ROW(Overall!$A$35:$A$71))-ROW(Overall!$A$34), ROWS(Overall!$L$35:M35))),"")</f>
        <v>45012</v>
      </c>
      <c r="C29" s="87" cm="1">
        <f t="array" ref="C29">IFERROR(INDEX(Overall!D$35:D$71,_xlfn.AGGREGATE(15,3,((Overall!$A$35:$A$71=10)/(Overall!$A$35:$A$71=10)*ROW(Overall!$A$35:$A$71))-ROW(Overall!$A$34), ROWS(Overall!$L$35:N35))),"")</f>
        <v>425872</v>
      </c>
      <c r="D29" s="62" t="str" cm="1">
        <f t="array" ref="D29">IFERROR(INDEX(Overall!E$35:E$71,_xlfn.AGGREGATE(15,3,((Overall!$A$35:$A$71=10)/(Overall!$A$35:$A$71=10)*ROW(Overall!$A$35:$A$71))-ROW(Overall!$A$34), ROWS(Overall!$L$35:O35))),"")</f>
        <v>BTL190907</v>
      </c>
      <c r="E29" s="128" cm="1">
        <f t="array" ref="E29">IFERROR(INDEX(Overall!F$35:F$71,_xlfn.AGGREGATE(15,3,((Overall!$A$35:$A$71=10)/(Overall!$A$35:$A$71=10)*ROW(Overall!$A$35:$A$71))-ROW(Overall!$A$34), ROWS(Overall!$L$35:P35))),"")</f>
        <v>0</v>
      </c>
      <c r="F29" s="129" cm="1">
        <f t="array" ref="F29">IFERROR(INDEX(Overall!G$35:G$71,_xlfn.AGGREGATE(15,3,((Overall!$A$35:$A$71=10)/(Overall!$A$35:$A$71=10)*ROW(Overall!$A$35:$A$71))-ROW(Overall!$A$34), ROWS(Overall!$L$35:Q35))),"")</f>
        <v>46414</v>
      </c>
      <c r="G29" s="96" cm="1">
        <f t="array" ref="G29">IFERROR(INDEX(Overall!H$35:H$71,_xlfn.AGGREGATE(15,3,((Overall!$A$35:$A$71=10)/(Overall!$A$35:$A$71=10)*ROW(Overall!$A$35:$A$71))-ROW(Overall!$A$34), ROWS(Overall!$L$35:R35))),"")</f>
        <v>33540</v>
      </c>
      <c r="H29" s="96" cm="1">
        <f t="array" ref="H29">IFERROR(INDEX(Overall!I$35:I$71,_xlfn.AGGREGATE(15,3,((Overall!$A$35:$A$71=10)/(Overall!$A$35:$A$71=10)*ROW(Overall!$A$35:$A$71))-ROW(Overall!$A$34), ROWS(Overall!$L$35:S35))),"")</f>
        <v>12874</v>
      </c>
      <c r="I29" s="62" t="str" cm="1">
        <f t="array" ref="I29">IFERROR(INDEX(Overall!J$35:J$71,_xlfn.AGGREGATE(15,3,((Overall!$A$35:$A$71=10)/(Overall!$A$35:$A$71=10)*ROW(Overall!$A$35:$A$71))-ROW(Overall!$A$34), ROWS(Overall!$L$35:T35))),"")</f>
        <v>DHOWAR01</v>
      </c>
      <c r="J29" s="53" cm="1">
        <f t="array" ref="J29">IFERROR(INDEX(Overall!K$35:K$71,_xlfn.AGGREGATE(15,3,((Overall!$A$35:$A$71=10)/(Overall!$A$35:$A$71=10)*ROW(Overall!$A$35:$A$71))-ROW(Overall!$A$34),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IFERROR(INDEX(Overall!B$35:B$71,_xlfn.AGGREGATE(15,3,((Overall!$A$35:$A$71=10)/(Overall!$A$35:$A$71=10)*ROW(Overall!$A$35:$A$71))-ROW(Overall!$A$34), ROWS(Overall!$L$35:L36))),"")</f>
        <v>C</v>
      </c>
      <c r="B30" s="60" cm="1">
        <f t="array" ref="B30">IFERROR(INDEX(Overall!C$35:C$71,_xlfn.AGGREGATE(15,3,((Overall!$A$35:$A$71=10)/(Overall!$A$35:$A$71=10)*ROW(Overall!$A$35:$A$71))-ROW(Overall!$A$34), ROWS(Overall!$L$35:M36))),"")</f>
        <v>45013</v>
      </c>
      <c r="C30" s="87" cm="1">
        <f t="array" ref="C30">IFERROR(INDEX(Overall!D$35:D$71,_xlfn.AGGREGATE(15,3,((Overall!$A$35:$A$71=10)/(Overall!$A$35:$A$71=10)*ROW(Overall!$A$35:$A$71))-ROW(Overall!$A$34), ROWS(Overall!$L$35:N36))),"")</f>
        <v>417516</v>
      </c>
      <c r="D30" s="62" t="str" cm="1">
        <f t="array" ref="D30">IFERROR(INDEX(Overall!E$35:E$71,_xlfn.AGGREGATE(15,3,((Overall!$A$35:$A$71=10)/(Overall!$A$35:$A$71=10)*ROW(Overall!$A$35:$A$71))-ROW(Overall!$A$34), ROWS(Overall!$L$35:O36))),"")</f>
        <v>CLO203435</v>
      </c>
      <c r="E30" s="128" cm="1">
        <f t="array" ref="E30">IFERROR(INDEX(Overall!F$35:F$71,_xlfn.AGGREGATE(15,3,((Overall!$A$35:$A$71=10)/(Overall!$A$35:$A$71=10)*ROW(Overall!$A$35:$A$71))-ROW(Overall!$A$34), ROWS(Overall!$L$35:P36))),"")</f>
        <v>0</v>
      </c>
      <c r="F30" s="129" cm="1">
        <f t="array" ref="F30">IFERROR(INDEX(Overall!G$35:G$71,_xlfn.AGGREGATE(15,3,((Overall!$A$35:$A$71=10)/(Overall!$A$35:$A$71=10)*ROW(Overall!$A$35:$A$71))-ROW(Overall!$A$34), ROWS(Overall!$L$35:Q36))),"")</f>
        <v>82405</v>
      </c>
      <c r="G30" s="96" cm="1">
        <f t="array" ref="G30">IFERROR(INDEX(Overall!H$35:H$71,_xlfn.AGGREGATE(15,3,((Overall!$A$35:$A$71=10)/(Overall!$A$35:$A$71=10)*ROW(Overall!$A$35:$A$71))-ROW(Overall!$A$34), ROWS(Overall!$L$35:R36))),"")</f>
        <v>88639</v>
      </c>
      <c r="H30" s="96" cm="1">
        <f t="array" ref="H30">IFERROR(INDEX(Overall!I$35:I$71,_xlfn.AGGREGATE(15,3,((Overall!$A$35:$A$71=10)/(Overall!$A$35:$A$71=10)*ROW(Overall!$A$35:$A$71))-ROW(Overall!$A$34), ROWS(Overall!$L$35:S36))),"")</f>
        <v>-6234</v>
      </c>
      <c r="I30" s="62" t="str" cm="1">
        <f t="array" ref="I30">IFERROR(INDEX(Overall!J$35:J$71,_xlfn.AGGREGATE(15,3,((Overall!$A$35:$A$71=10)/(Overall!$A$35:$A$71=10)*ROW(Overall!$A$35:$A$71))-ROW(Overall!$A$34), ROWS(Overall!$L$35:T36))),"")</f>
        <v>PR043354</v>
      </c>
      <c r="J30" s="53" cm="1">
        <f t="array" ref="J30">IFERROR(INDEX(Overall!K$35:K$71,_xlfn.AGGREGATE(15,3,((Overall!$A$35:$A$71=10)/(Overall!$A$35:$A$71=10)*ROW(Overall!$A$35:$A$71))-ROW(Overall!$A$34), ROWS(Overall!$L$35:U36))),"")</f>
        <v>0</v>
      </c>
    </row>
    <row r="31" spans="1:10" x14ac:dyDescent="0.25">
      <c r="A31" s="124" t="str" cm="1">
        <f t="array" ref="A31">IFERROR(INDEX(Overall!B$35:B$71,_xlfn.AGGREGATE(15,3,((Overall!$A$35:$A$71=10)/(Overall!$A$35:$A$71=10)*ROW(Overall!$A$35:$A$71))-ROW(Overall!$A$34), ROWS(Overall!$L$35:L37))),"")</f>
        <v>B &amp; C</v>
      </c>
      <c r="B31" s="60" cm="1">
        <f t="array" ref="B31">IFERROR(INDEX(Overall!C$35:C$71,_xlfn.AGGREGATE(15,3,((Overall!$A$35:$A$71=10)/(Overall!$A$35:$A$71=10)*ROW(Overall!$A$35:$A$71))-ROW(Overall!$A$34), ROWS(Overall!$L$35:M37))),"")</f>
        <v>45014</v>
      </c>
      <c r="C31" s="87" cm="1">
        <f t="array" ref="C31">IFERROR(INDEX(Overall!D$35:D$71,_xlfn.AGGREGATE(15,3,((Overall!$A$35:$A$71=10)/(Overall!$A$35:$A$71=10)*ROW(Overall!$A$35:$A$71))-ROW(Overall!$A$34), ROWS(Overall!$L$35:N37))),"")</f>
        <v>425332</v>
      </c>
      <c r="D31" s="62" t="str" cm="1">
        <f t="array" ref="D31">IFERROR(INDEX(Overall!E$35:E$71,_xlfn.AGGREGATE(15,3,((Overall!$A$35:$A$71=10)/(Overall!$A$35:$A$71=10)*ROW(Overall!$A$35:$A$71))-ROW(Overall!$A$34), ROWS(Overall!$L$35:O37))),"")</f>
        <v>PTN194560</v>
      </c>
      <c r="E31" s="128" cm="1">
        <f t="array" ref="E31">IFERROR(INDEX(Overall!F$35:F$71,_xlfn.AGGREGATE(15,3,((Overall!$A$35:$A$71=10)/(Overall!$A$35:$A$71=10)*ROW(Overall!$A$35:$A$71))-ROW(Overall!$A$34), ROWS(Overall!$L$35:P37))),"")</f>
        <v>0</v>
      </c>
      <c r="F31" s="129" cm="1">
        <f t="array" ref="F31">IFERROR(INDEX(Overall!G$35:G$71,_xlfn.AGGREGATE(15,3,((Overall!$A$35:$A$71=10)/(Overall!$A$35:$A$71=10)*ROW(Overall!$A$35:$A$71))-ROW(Overall!$A$34), ROWS(Overall!$L$35:Q37))),"")</f>
        <v>477</v>
      </c>
      <c r="G31" s="96" cm="1">
        <f t="array" ref="G31">IFERROR(INDEX(Overall!H$35:H$71,_xlfn.AGGREGATE(15,3,((Overall!$A$35:$A$71=10)/(Overall!$A$35:$A$71=10)*ROW(Overall!$A$35:$A$71))-ROW(Overall!$A$34), ROWS(Overall!$L$35:R37))),"")</f>
        <v>1391</v>
      </c>
      <c r="H31" s="96" cm="1">
        <f t="array" ref="H31">IFERROR(INDEX(Overall!I$35:I$71,_xlfn.AGGREGATE(15,3,((Overall!$A$35:$A$71=10)/(Overall!$A$35:$A$71=10)*ROW(Overall!$A$35:$A$71))-ROW(Overall!$A$34), ROWS(Overall!$L$35:S37))),"")</f>
        <v>-914</v>
      </c>
      <c r="I31" s="62" t="str" cm="1">
        <f t="array" ref="I31">IFERROR(INDEX(Overall!J$35:J$71,_xlfn.AGGREGATE(15,3,((Overall!$A$35:$A$71=10)/(Overall!$A$35:$A$71=10)*ROW(Overall!$A$35:$A$71))-ROW(Overall!$A$34), ROWS(Overall!$L$35:T37))),"")</f>
        <v>PR055469</v>
      </c>
      <c r="J31" s="53" cm="1">
        <f t="array" ref="J31">IFERROR(INDEX(Overall!K$35:K$71,_xlfn.AGGREGATE(15,3,((Overall!$A$35:$A$71=10)/(Overall!$A$35:$A$71=10)*ROW(Overall!$A$35:$A$71))-ROW(Overall!$A$34),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IFERROR(INDEX(Overall!B$35:B$71,_xlfn.AGGREGATE(15,3,((Overall!$A$35:$A$71=10)/(Overall!$A$35:$A$71=10)*ROW(Overall!$A$35:$A$71))-ROW(Overall!$A$34), ROWS(Overall!$L$35:L38))),"")</f>
        <v/>
      </c>
      <c r="B32" s="60" t="str" cm="1">
        <f t="array" ref="B32">IFERROR(INDEX(Overall!C$35:C$71,_xlfn.AGGREGATE(15,3,((Overall!$A$35:$A$71=10)/(Overall!$A$35:$A$71=10)*ROW(Overall!$A$35:$A$71))-ROW(Overall!$A$34), ROWS(Overall!$L$35:M38))),"")</f>
        <v/>
      </c>
      <c r="C32" s="87" t="str" cm="1">
        <f t="array" ref="C32">IFERROR(INDEX(Overall!D$35:D$71,_xlfn.AGGREGATE(15,3,((Overall!$A$35:$A$71=10)/(Overall!$A$35:$A$71=10)*ROW(Overall!$A$35:$A$71))-ROW(Overall!$A$34), ROWS(Overall!$L$35:N38))),"")</f>
        <v/>
      </c>
      <c r="D32" s="62" t="str" cm="1">
        <f t="array" ref="D32">IFERROR(INDEX(Overall!E$35:E$71,_xlfn.AGGREGATE(15,3,((Overall!$A$35:$A$71=10)/(Overall!$A$35:$A$71=10)*ROW(Overall!$A$35:$A$71))-ROW(Overall!$A$34), ROWS(Overall!$L$35:O38))),"")</f>
        <v/>
      </c>
      <c r="E32" s="128" t="str" cm="1">
        <f t="array" ref="E32">IFERROR(INDEX(Overall!F$35:F$71,_xlfn.AGGREGATE(15,3,((Overall!$A$35:$A$71=10)/(Overall!$A$35:$A$71=10)*ROW(Overall!$A$35:$A$71))-ROW(Overall!$A$34), ROWS(Overall!$L$35:P38))),"")</f>
        <v/>
      </c>
      <c r="F32" s="129" t="str" cm="1">
        <f t="array" ref="F32">IFERROR(INDEX(Overall!G$35:G$71,_xlfn.AGGREGATE(15,3,((Overall!$A$35:$A$71=10)/(Overall!$A$35:$A$71=10)*ROW(Overall!$A$35:$A$71))-ROW(Overall!$A$34), ROWS(Overall!$L$35:Q38))),"")</f>
        <v/>
      </c>
      <c r="G32" s="96" t="str" cm="1">
        <f t="array" ref="G32">IFERROR(INDEX(Overall!H$35:H$71,_xlfn.AGGREGATE(15,3,((Overall!$A$35:$A$71=10)/(Overall!$A$35:$A$71=10)*ROW(Overall!$A$35:$A$71))-ROW(Overall!$A$34), ROWS(Overall!$L$35:R38))),"")</f>
        <v/>
      </c>
      <c r="H32" s="96" t="str" cm="1">
        <f t="array" ref="H32">IFERROR(INDEX(Overall!I$35:I$71,_xlfn.AGGREGATE(15,3,((Overall!$A$35:$A$71=10)/(Overall!$A$35:$A$71=10)*ROW(Overall!$A$35:$A$71))-ROW(Overall!$A$34), ROWS(Overall!$L$35:S38))),"")</f>
        <v/>
      </c>
      <c r="I32" s="62" t="str" cm="1">
        <f t="array" ref="I32">IFERROR(INDEX(Overall!J$35:J$71,_xlfn.AGGREGATE(15,3,((Overall!$A$35:$A$71=10)/(Overall!$A$35:$A$71=10)*ROW(Overall!$A$35:$A$71))-ROW(Overall!$A$34), ROWS(Overall!$L$35:T38))),"")</f>
        <v/>
      </c>
      <c r="J32" s="53" t="str" cm="1">
        <f t="array" ref="J32">IFERROR(INDEX(Overall!K$35:K$71,_xlfn.AGGREGATE(15,3,((Overall!$A$35:$A$71=10)/(Overall!$A$35:$A$71=10)*ROW(Overall!$A$35:$A$71))-ROW(Overall!$A$34),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IFERROR(INDEX(Overall!B$35:B$71,_xlfn.AGGREGATE(15,3,((Overall!$A$35:$A$71=10)/(Overall!$A$35:$A$71=10)*ROW(Overall!$A$35:$A$71))-ROW(Overall!$A$34), ROWS(Overall!$L$35:L39))),"")</f>
        <v/>
      </c>
      <c r="B33" s="60" t="str" cm="1">
        <f t="array" ref="B33">IFERROR(INDEX(Overall!C$35:C$71,_xlfn.AGGREGATE(15,3,((Overall!$A$35:$A$71=10)/(Overall!$A$35:$A$71=10)*ROW(Overall!$A$35:$A$71))-ROW(Overall!$A$34), ROWS(Overall!$L$35:M39))),"")</f>
        <v/>
      </c>
      <c r="C33" s="87" t="str" cm="1">
        <f t="array" ref="C33">IFERROR(INDEX(Overall!D$35:D$71,_xlfn.AGGREGATE(15,3,((Overall!$A$35:$A$71=10)/(Overall!$A$35:$A$71=10)*ROW(Overall!$A$35:$A$71))-ROW(Overall!$A$34), ROWS(Overall!$L$35:N39))),"")</f>
        <v/>
      </c>
      <c r="D33" s="62" t="str" cm="1">
        <f t="array" ref="D33">IFERROR(INDEX(Overall!E$35:E$71,_xlfn.AGGREGATE(15,3,((Overall!$A$35:$A$71=10)/(Overall!$A$35:$A$71=10)*ROW(Overall!$A$35:$A$71))-ROW(Overall!$A$34), ROWS(Overall!$L$35:O39))),"")</f>
        <v/>
      </c>
      <c r="E33" s="128" t="str" cm="1">
        <f t="array" ref="E33">IFERROR(INDEX(Overall!F$35:F$71,_xlfn.AGGREGATE(15,3,((Overall!$A$35:$A$71=10)/(Overall!$A$35:$A$71=10)*ROW(Overall!$A$35:$A$71))-ROW(Overall!$A$34), ROWS(Overall!$L$35:P39))),"")</f>
        <v/>
      </c>
      <c r="F33" s="129" t="str" cm="1">
        <f t="array" ref="F33">IFERROR(INDEX(Overall!G$35:G$71,_xlfn.AGGREGATE(15,3,((Overall!$A$35:$A$71=10)/(Overall!$A$35:$A$71=10)*ROW(Overall!$A$35:$A$71))-ROW(Overall!$A$34), ROWS(Overall!$L$35:Q39))),"")</f>
        <v/>
      </c>
      <c r="G33" s="96" t="str" cm="1">
        <f t="array" ref="G33">IFERROR(INDEX(Overall!H$35:H$71,_xlfn.AGGREGATE(15,3,((Overall!$A$35:$A$71=10)/(Overall!$A$35:$A$71=10)*ROW(Overall!$A$35:$A$71))-ROW(Overall!$A$34), ROWS(Overall!$L$35:R39))),"")</f>
        <v/>
      </c>
      <c r="H33" s="96" t="str" cm="1">
        <f t="array" ref="H33">IFERROR(INDEX(Overall!I$35:I$71,_xlfn.AGGREGATE(15,3,((Overall!$A$35:$A$71=10)/(Overall!$A$35:$A$71=10)*ROW(Overall!$A$35:$A$71))-ROW(Overall!$A$34), ROWS(Overall!$L$35:S39))),"")</f>
        <v/>
      </c>
      <c r="I33" s="62" t="str" cm="1">
        <f t="array" ref="I33">IFERROR(INDEX(Overall!J$35:J$71,_xlfn.AGGREGATE(15,3,((Overall!$A$35:$A$71=10)/(Overall!$A$35:$A$71=10)*ROW(Overall!$A$35:$A$71))-ROW(Overall!$A$34), ROWS(Overall!$L$35:T39))),"")</f>
        <v/>
      </c>
      <c r="J33" s="53" t="str" cm="1">
        <f t="array" ref="J33">IFERROR(INDEX(Overall!K$35:K$71,_xlfn.AGGREGATE(15,3,((Overall!$A$35:$A$71=10)/(Overall!$A$35:$A$71=10)*ROW(Overall!$A$35:$A$71))-ROW(Overall!$A$34),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IFERROR(INDEX(Overall!B$35:B$71,_xlfn.AGGREGATE(15,3,((Overall!$A$35:$A$71=10)/(Overall!$A$35:$A$71=10)*ROW(Overall!$A$35:$A$71))-ROW(Overall!$A$34), ROWS(Overall!$L$35:L40))),"")</f>
        <v/>
      </c>
      <c r="B34" s="60" t="str" cm="1">
        <f t="array" ref="B34">IFERROR(INDEX(Overall!C$35:C$71,_xlfn.AGGREGATE(15,3,((Overall!$A$35:$A$71=10)/(Overall!$A$35:$A$71=10)*ROW(Overall!$A$35:$A$71))-ROW(Overall!$A$34), ROWS(Overall!$L$35:M40))),"")</f>
        <v/>
      </c>
      <c r="C34" s="87" t="str" cm="1">
        <f t="array" ref="C34">IFERROR(INDEX(Overall!D$35:D$71,_xlfn.AGGREGATE(15,3,((Overall!$A$35:$A$71=10)/(Overall!$A$35:$A$71=10)*ROW(Overall!$A$35:$A$71))-ROW(Overall!$A$34), ROWS(Overall!$L$35:N40))),"")</f>
        <v/>
      </c>
      <c r="D34" s="62" t="str" cm="1">
        <f t="array" ref="D34">IFERROR(INDEX(Overall!E$35:E$71,_xlfn.AGGREGATE(15,3,((Overall!$A$35:$A$71=10)/(Overall!$A$35:$A$71=10)*ROW(Overall!$A$35:$A$71))-ROW(Overall!$A$34), ROWS(Overall!$L$35:O40))),"")</f>
        <v/>
      </c>
      <c r="E34" s="128" t="str" cm="1">
        <f t="array" ref="E34">IFERROR(INDEX(Overall!F$35:F$71,_xlfn.AGGREGATE(15,3,((Overall!$A$35:$A$71=10)/(Overall!$A$35:$A$71=10)*ROW(Overall!$A$35:$A$71))-ROW(Overall!$A$34), ROWS(Overall!$L$35:P40))),"")</f>
        <v/>
      </c>
      <c r="F34" s="129" t="str" cm="1">
        <f t="array" ref="F34">IFERROR(INDEX(Overall!G$35:G$71,_xlfn.AGGREGATE(15,3,((Overall!$A$35:$A$71=10)/(Overall!$A$35:$A$71=10)*ROW(Overall!$A$35:$A$71))-ROW(Overall!$A$34), ROWS(Overall!$L$35:Q40))),"")</f>
        <v/>
      </c>
      <c r="G34" s="96" t="str" cm="1">
        <f t="array" ref="G34">IFERROR(INDEX(Overall!H$35:H$71,_xlfn.AGGREGATE(15,3,((Overall!$A$35:$A$71=10)/(Overall!$A$35:$A$71=10)*ROW(Overall!$A$35:$A$71))-ROW(Overall!$A$34), ROWS(Overall!$L$35:R40))),"")</f>
        <v/>
      </c>
      <c r="H34" s="96" t="str" cm="1">
        <f t="array" ref="H34">IFERROR(INDEX(Overall!I$35:I$71,_xlfn.AGGREGATE(15,3,((Overall!$A$35:$A$71=10)/(Overall!$A$35:$A$71=10)*ROW(Overall!$A$35:$A$71))-ROW(Overall!$A$34), ROWS(Overall!$L$35:S40))),"")</f>
        <v/>
      </c>
      <c r="I34" s="62" t="str" cm="1">
        <f t="array" ref="I34">IFERROR(INDEX(Overall!J$35:J$71,_xlfn.AGGREGATE(15,3,((Overall!$A$35:$A$71=10)/(Overall!$A$35:$A$71=10)*ROW(Overall!$A$35:$A$71))-ROW(Overall!$A$34), ROWS(Overall!$L$35:T40))),"")</f>
        <v/>
      </c>
      <c r="J34" s="53" t="str" cm="1">
        <f t="array" ref="J34">IFERROR(INDEX(Overall!K$35:K$71,_xlfn.AGGREGATE(15,3,((Overall!$A$35:$A$71=10)/(Overall!$A$35:$A$71=10)*ROW(Overall!$A$35:$A$71))-ROW(Overall!$A$34),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IFERROR(INDEX(Overall!B$35:B$71,_xlfn.AGGREGATE(15,3,((Overall!$A$35:$A$71=10)/(Overall!$A$35:$A$71=10)*ROW(Overall!$A$35:$A$71))-ROW(Overall!$A$34), ROWS(Overall!$L$35:L41))),"")</f>
        <v/>
      </c>
      <c r="B35" s="60" t="str" cm="1">
        <f t="array" ref="B35">IFERROR(INDEX(Overall!C$35:C$71,_xlfn.AGGREGATE(15,3,((Overall!$A$35:$A$71=10)/(Overall!$A$35:$A$71=10)*ROW(Overall!$A$35:$A$71))-ROW(Overall!$A$34), ROWS(Overall!$L$35:M41))),"")</f>
        <v/>
      </c>
      <c r="C35" s="87" t="str" cm="1">
        <f t="array" ref="C35">IFERROR(INDEX(Overall!D$35:D$71,_xlfn.AGGREGATE(15,3,((Overall!$A$35:$A$71=10)/(Overall!$A$35:$A$71=10)*ROW(Overall!$A$35:$A$71))-ROW(Overall!$A$34), ROWS(Overall!$L$35:N41))),"")</f>
        <v/>
      </c>
      <c r="D35" s="62" t="str" cm="1">
        <f t="array" ref="D35">IFERROR(INDEX(Overall!E$35:E$71,_xlfn.AGGREGATE(15,3,((Overall!$A$35:$A$71=10)/(Overall!$A$35:$A$71=10)*ROW(Overall!$A$35:$A$71))-ROW(Overall!$A$34), ROWS(Overall!$L$35:O41))),"")</f>
        <v/>
      </c>
      <c r="E35" s="128" t="str" cm="1">
        <f t="array" ref="E35">IFERROR(INDEX(Overall!F$35:F$71,_xlfn.AGGREGATE(15,3,((Overall!$A$35:$A$71=10)/(Overall!$A$35:$A$71=10)*ROW(Overall!$A$35:$A$71))-ROW(Overall!$A$34), ROWS(Overall!$L$35:P41))),"")</f>
        <v/>
      </c>
      <c r="F35" s="129" t="str" cm="1">
        <f t="array" ref="F35">IFERROR(INDEX(Overall!G$35:G$71,_xlfn.AGGREGATE(15,3,((Overall!$A$35:$A$71=10)/(Overall!$A$35:$A$71=10)*ROW(Overall!$A$35:$A$71))-ROW(Overall!$A$34), ROWS(Overall!$L$35:Q41))),"")</f>
        <v/>
      </c>
      <c r="G35" s="96" t="str" cm="1">
        <f t="array" ref="G35">IFERROR(INDEX(Overall!H$35:H$71,_xlfn.AGGREGATE(15,3,((Overall!$A$35:$A$71=10)/(Overall!$A$35:$A$71=10)*ROW(Overall!$A$35:$A$71))-ROW(Overall!$A$34), ROWS(Overall!$L$35:R41))),"")</f>
        <v/>
      </c>
      <c r="H35" s="96" t="str" cm="1">
        <f t="array" ref="H35">IFERROR(INDEX(Overall!I$35:I$71,_xlfn.AGGREGATE(15,3,((Overall!$A$35:$A$71=10)/(Overall!$A$35:$A$71=10)*ROW(Overall!$A$35:$A$71))-ROW(Overall!$A$34), ROWS(Overall!$L$35:S41))),"")</f>
        <v/>
      </c>
      <c r="I35" s="62" t="str" cm="1">
        <f t="array" ref="I35">IFERROR(INDEX(Overall!J$35:J$71,_xlfn.AGGREGATE(15,3,((Overall!$A$35:$A$71=10)/(Overall!$A$35:$A$71=10)*ROW(Overall!$A$35:$A$71))-ROW(Overall!$A$34), ROWS(Overall!$L$35:T41))),"")</f>
        <v/>
      </c>
      <c r="J35" s="53" t="str" cm="1">
        <f t="array" ref="J35">IFERROR(INDEX(Overall!K$35:K$71,_xlfn.AGGREGATE(15,3,((Overall!$A$35:$A$71=10)/(Overall!$A$35:$A$71=10)*ROW(Overall!$A$35:$A$71))-ROW(Overall!$A$34),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IFERROR(INDEX(Overall!B$35:B$71,_xlfn.AGGREGATE(15,3,((Overall!$A$35:$A$71=10)/(Overall!$A$35:$A$71=10)*ROW(Overall!$A$35:$A$71))-ROW(Overall!$A$34), ROWS(Overall!$L$35:L42))),"")</f>
        <v/>
      </c>
      <c r="B36" s="60" t="str" cm="1">
        <f t="array" ref="B36">IFERROR(INDEX(Overall!C$35:C$71,_xlfn.AGGREGATE(15,3,((Overall!$A$35:$A$71=10)/(Overall!$A$35:$A$71=10)*ROW(Overall!$A$35:$A$71))-ROW(Overall!$A$34), ROWS(Overall!$L$35:M42))),"")</f>
        <v/>
      </c>
      <c r="C36" s="87" t="str" cm="1">
        <f t="array" ref="C36">IFERROR(INDEX(Overall!D$35:D$71,_xlfn.AGGREGATE(15,3,((Overall!$A$35:$A$71=10)/(Overall!$A$35:$A$71=10)*ROW(Overall!$A$35:$A$71))-ROW(Overall!$A$34), ROWS(Overall!$L$35:N42))),"")</f>
        <v/>
      </c>
      <c r="D36" s="62" t="str" cm="1">
        <f t="array" ref="D36">IFERROR(INDEX(Overall!E$35:E$71,_xlfn.AGGREGATE(15,3,((Overall!$A$35:$A$71=10)/(Overall!$A$35:$A$71=10)*ROW(Overall!$A$35:$A$71))-ROW(Overall!$A$34), ROWS(Overall!$L$35:O42))),"")</f>
        <v/>
      </c>
      <c r="E36" s="128" t="str" cm="1">
        <f t="array" ref="E36">IFERROR(INDEX(Overall!F$35:F$71,_xlfn.AGGREGATE(15,3,((Overall!$A$35:$A$71=10)/(Overall!$A$35:$A$71=10)*ROW(Overall!$A$35:$A$71))-ROW(Overall!$A$34), ROWS(Overall!$L$35:P42))),"")</f>
        <v/>
      </c>
      <c r="F36" s="129" t="str" cm="1">
        <f t="array" ref="F36">IFERROR(INDEX(Overall!G$35:G$71,_xlfn.AGGREGATE(15,3,((Overall!$A$35:$A$71=10)/(Overall!$A$35:$A$71=10)*ROW(Overall!$A$35:$A$71))-ROW(Overall!$A$34), ROWS(Overall!$L$35:Q42))),"")</f>
        <v/>
      </c>
      <c r="G36" s="96" t="str" cm="1">
        <f t="array" ref="G36">IFERROR(INDEX(Overall!H$35:H$71,_xlfn.AGGREGATE(15,3,((Overall!$A$35:$A$71=10)/(Overall!$A$35:$A$71=10)*ROW(Overall!$A$35:$A$71))-ROW(Overall!$A$34), ROWS(Overall!$L$35:R42))),"")</f>
        <v/>
      </c>
      <c r="H36" s="96" t="str" cm="1">
        <f t="array" ref="H36">IFERROR(INDEX(Overall!I$35:I$71,_xlfn.AGGREGATE(15,3,((Overall!$A$35:$A$71=10)/(Overall!$A$35:$A$71=10)*ROW(Overall!$A$35:$A$71))-ROW(Overall!$A$34), ROWS(Overall!$L$35:S42))),"")</f>
        <v/>
      </c>
      <c r="I36" s="62" t="str" cm="1">
        <f t="array" ref="I36">IFERROR(INDEX(Overall!J$35:J$71,_xlfn.AGGREGATE(15,3,((Overall!$A$35:$A$71=10)/(Overall!$A$35:$A$71=10)*ROW(Overall!$A$35:$A$71))-ROW(Overall!$A$34), ROWS(Overall!$L$35:T42))),"")</f>
        <v/>
      </c>
      <c r="J36" s="53" t="str" cm="1">
        <f t="array" ref="J36">IFERROR(INDEX(Overall!K$35:K$71,_xlfn.AGGREGATE(15,3,((Overall!$A$35:$A$71=10)/(Overall!$A$35:$A$71=10)*ROW(Overall!$A$35:$A$71))-ROW(Overall!$A$34),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IFERROR(INDEX(Overall!B$35:B$71,_xlfn.AGGREGATE(15,3,((Overall!$A$35:$A$71=10)/(Overall!$A$35:$A$71=10)*ROW(Overall!$A$35:$A$71))-ROW(Overall!$A$34), ROWS(Overall!$L$35:L43))),"")</f>
        <v/>
      </c>
      <c r="B37" s="60" t="str" cm="1">
        <f t="array" ref="B37">IFERROR(INDEX(Overall!C$35:C$71,_xlfn.AGGREGATE(15,3,((Overall!$A$35:$A$71=10)/(Overall!$A$35:$A$71=10)*ROW(Overall!$A$35:$A$71))-ROW(Overall!$A$34), ROWS(Overall!$L$35:M43))),"")</f>
        <v/>
      </c>
      <c r="C37" s="87" t="str" cm="1">
        <f t="array" ref="C37">IFERROR(INDEX(Overall!D$35:D$71,_xlfn.AGGREGATE(15,3,((Overall!$A$35:$A$71=10)/(Overall!$A$35:$A$71=10)*ROW(Overall!$A$35:$A$71))-ROW(Overall!$A$34), ROWS(Overall!$L$35:N43))),"")</f>
        <v/>
      </c>
      <c r="D37" s="62" t="str" cm="1">
        <f t="array" ref="D37">IFERROR(INDEX(Overall!E$35:E$71,_xlfn.AGGREGATE(15,3,((Overall!$A$35:$A$71=10)/(Overall!$A$35:$A$71=10)*ROW(Overall!$A$35:$A$71))-ROW(Overall!$A$34), ROWS(Overall!$L$35:O43))),"")</f>
        <v/>
      </c>
      <c r="E37" s="128" t="str" cm="1">
        <f t="array" ref="E37">IFERROR(INDEX(Overall!F$35:F$71,_xlfn.AGGREGATE(15,3,((Overall!$A$35:$A$71=10)/(Overall!$A$35:$A$71=10)*ROW(Overall!$A$35:$A$71))-ROW(Overall!$A$34), ROWS(Overall!$L$35:P43))),"")</f>
        <v/>
      </c>
      <c r="F37" s="129" t="str" cm="1">
        <f t="array" ref="F37">IFERROR(INDEX(Overall!G$35:G$71,_xlfn.AGGREGATE(15,3,((Overall!$A$35:$A$71=10)/(Overall!$A$35:$A$71=10)*ROW(Overall!$A$35:$A$71))-ROW(Overall!$A$34), ROWS(Overall!$L$35:Q43))),"")</f>
        <v/>
      </c>
      <c r="G37" s="96" t="str" cm="1">
        <f t="array" ref="G37">IFERROR(INDEX(Overall!H$35:H$71,_xlfn.AGGREGATE(15,3,((Overall!$A$35:$A$71=10)/(Overall!$A$35:$A$71=10)*ROW(Overall!$A$35:$A$71))-ROW(Overall!$A$34), ROWS(Overall!$L$35:R43))),"")</f>
        <v/>
      </c>
      <c r="H37" s="96" t="str" cm="1">
        <f t="array" ref="H37">IFERROR(INDEX(Overall!I$35:I$71,_xlfn.AGGREGATE(15,3,((Overall!$A$35:$A$71=10)/(Overall!$A$35:$A$71=10)*ROW(Overall!$A$35:$A$71))-ROW(Overall!$A$34), ROWS(Overall!$L$35:S43))),"")</f>
        <v/>
      </c>
      <c r="I37" s="62" t="str" cm="1">
        <f t="array" ref="I37">IFERROR(INDEX(Overall!J$35:J$71,_xlfn.AGGREGATE(15,3,((Overall!$A$35:$A$71=10)/(Overall!$A$35:$A$71=10)*ROW(Overall!$A$35:$A$71))-ROW(Overall!$A$34), ROWS(Overall!$L$35:T43))),"")</f>
        <v/>
      </c>
      <c r="J37" s="53" t="str" cm="1">
        <f t="array" ref="J37">IFERROR(INDEX(Overall!K$35:K$71,_xlfn.AGGREGATE(15,3,((Overall!$A$35:$A$71=10)/(Overall!$A$35:$A$71=10)*ROW(Overall!$A$35:$A$71))-ROW(Overall!$A$34),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IFERROR(INDEX(Overall!B$35:B$71,_xlfn.AGGREGATE(15,3,((Overall!$A$35:$A$71=10)/(Overall!$A$35:$A$71=10)*ROW(Overall!$A$35:$A$71))-ROW(Overall!$A$34), ROWS(Overall!$L$35:L44))),"")</f>
        <v/>
      </c>
      <c r="B38" s="60" t="str" cm="1">
        <f t="array" ref="B38">IFERROR(INDEX(Overall!C$35:C$71,_xlfn.AGGREGATE(15,3,((Overall!$A$35:$A$71=10)/(Overall!$A$35:$A$71=10)*ROW(Overall!$A$35:$A$71))-ROW(Overall!$A$34), ROWS(Overall!$L$35:M44))),"")</f>
        <v/>
      </c>
      <c r="C38" s="87" t="str" cm="1">
        <f t="array" ref="C38">IFERROR(INDEX(Overall!D$35:D$71,_xlfn.AGGREGATE(15,3,((Overall!$A$35:$A$71=10)/(Overall!$A$35:$A$71=10)*ROW(Overall!$A$35:$A$71))-ROW(Overall!$A$34), ROWS(Overall!$L$35:N44))),"")</f>
        <v/>
      </c>
      <c r="D38" s="62" t="str" cm="1">
        <f t="array" ref="D38">IFERROR(INDEX(Overall!E$35:E$71,_xlfn.AGGREGATE(15,3,((Overall!$A$35:$A$71=10)/(Overall!$A$35:$A$71=10)*ROW(Overall!$A$35:$A$71))-ROW(Overall!$A$34), ROWS(Overall!$L$35:O44))),"")</f>
        <v/>
      </c>
      <c r="E38" s="128" t="str" cm="1">
        <f t="array" ref="E38">IFERROR(INDEX(Overall!F$35:F$71,_xlfn.AGGREGATE(15,3,((Overall!$A$35:$A$71=10)/(Overall!$A$35:$A$71=10)*ROW(Overall!$A$35:$A$71))-ROW(Overall!$A$34), ROWS(Overall!$L$35:P44))),"")</f>
        <v/>
      </c>
      <c r="F38" s="129" t="str" cm="1">
        <f t="array" ref="F38">IFERROR(INDEX(Overall!G$35:G$71,_xlfn.AGGREGATE(15,3,((Overall!$A$35:$A$71=10)/(Overall!$A$35:$A$71=10)*ROW(Overall!$A$35:$A$71))-ROW(Overall!$A$34), ROWS(Overall!$L$35:Q44))),"")</f>
        <v/>
      </c>
      <c r="G38" s="96" t="str" cm="1">
        <f t="array" ref="G38">IFERROR(INDEX(Overall!H$35:H$71,_xlfn.AGGREGATE(15,3,((Overall!$A$35:$A$71=10)/(Overall!$A$35:$A$71=10)*ROW(Overall!$A$35:$A$71))-ROW(Overall!$A$34), ROWS(Overall!$L$35:R44))),"")</f>
        <v/>
      </c>
      <c r="H38" s="96" t="str" cm="1">
        <f t="array" ref="H38">IFERROR(INDEX(Overall!I$35:I$71,_xlfn.AGGREGATE(15,3,((Overall!$A$35:$A$71=10)/(Overall!$A$35:$A$71=10)*ROW(Overall!$A$35:$A$71))-ROW(Overall!$A$34), ROWS(Overall!$L$35:S44))),"")</f>
        <v/>
      </c>
      <c r="I38" s="62" t="str" cm="1">
        <f t="array" ref="I38">IFERROR(INDEX(Overall!J$35:J$71,_xlfn.AGGREGATE(15,3,((Overall!$A$35:$A$71=10)/(Overall!$A$35:$A$71=10)*ROW(Overall!$A$35:$A$71))-ROW(Overall!$A$34), ROWS(Overall!$L$35:T44))),"")</f>
        <v/>
      </c>
      <c r="J38" s="53" t="str" cm="1">
        <f t="array" ref="J38">IFERROR(INDEX(Overall!K$35:K$71,_xlfn.AGGREGATE(15,3,((Overall!$A$35:$A$71=10)/(Overall!$A$35:$A$71=10)*ROW(Overall!$A$35:$A$71))-ROW(Overall!$A$34),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IFERROR(INDEX(Overall!B$35:B$71,_xlfn.AGGREGATE(15,3,((Overall!$A$35:$A$71=10)/(Overall!$A$35:$A$71=10)*ROW(Overall!$A$35:$A$71))-ROW(Overall!$A$34), ROWS(Overall!$L$35:L45))),"")</f>
        <v/>
      </c>
      <c r="B39" s="60" t="str" cm="1">
        <f t="array" ref="B39">IFERROR(INDEX(Overall!C$35:C$71,_xlfn.AGGREGATE(15,3,((Overall!$A$35:$A$71=10)/(Overall!$A$35:$A$71=10)*ROW(Overall!$A$35:$A$71))-ROW(Overall!$A$34), ROWS(Overall!$L$35:M45))),"")</f>
        <v/>
      </c>
      <c r="C39" s="87" t="str" cm="1">
        <f t="array" ref="C39">IFERROR(INDEX(Overall!D$35:D$71,_xlfn.AGGREGATE(15,3,((Overall!$A$35:$A$71=10)/(Overall!$A$35:$A$71=10)*ROW(Overall!$A$35:$A$71))-ROW(Overall!$A$34), ROWS(Overall!$L$35:N45))),"")</f>
        <v/>
      </c>
      <c r="D39" s="62" t="str" cm="1">
        <f t="array" ref="D39">IFERROR(INDEX(Overall!E$35:E$71,_xlfn.AGGREGATE(15,3,((Overall!$A$35:$A$71=10)/(Overall!$A$35:$A$71=10)*ROW(Overall!$A$35:$A$71))-ROW(Overall!$A$34), ROWS(Overall!$L$35:O45))),"")</f>
        <v/>
      </c>
      <c r="E39" s="128" t="str" cm="1">
        <f t="array" ref="E39">IFERROR(INDEX(Overall!F$35:F$71,_xlfn.AGGREGATE(15,3,((Overall!$A$35:$A$71=10)/(Overall!$A$35:$A$71=10)*ROW(Overall!$A$35:$A$71))-ROW(Overall!$A$34), ROWS(Overall!$L$35:P45))),"")</f>
        <v/>
      </c>
      <c r="F39" s="129" t="str" cm="1">
        <f t="array" ref="F39">IFERROR(INDEX(Overall!G$35:G$71,_xlfn.AGGREGATE(15,3,((Overall!$A$35:$A$71=10)/(Overall!$A$35:$A$71=10)*ROW(Overall!$A$35:$A$71))-ROW(Overall!$A$34), ROWS(Overall!$L$35:Q45))),"")</f>
        <v/>
      </c>
      <c r="G39" s="96" t="str" cm="1">
        <f t="array" ref="G39">IFERROR(INDEX(Overall!H$35:H$71,_xlfn.AGGREGATE(15,3,((Overall!$A$35:$A$71=10)/(Overall!$A$35:$A$71=10)*ROW(Overall!$A$35:$A$71))-ROW(Overall!$A$34), ROWS(Overall!$L$35:R45))),"")</f>
        <v/>
      </c>
      <c r="H39" s="96" t="str" cm="1">
        <f t="array" ref="H39">IFERROR(INDEX(Overall!I$35:I$71,_xlfn.AGGREGATE(15,3,((Overall!$A$35:$A$71=10)/(Overall!$A$35:$A$71=10)*ROW(Overall!$A$35:$A$71))-ROW(Overall!$A$34), ROWS(Overall!$L$35:S45))),"")</f>
        <v/>
      </c>
      <c r="I39" s="62" t="str" cm="1">
        <f t="array" ref="I39">IFERROR(INDEX(Overall!J$35:J$71,_xlfn.AGGREGATE(15,3,((Overall!$A$35:$A$71=10)/(Overall!$A$35:$A$71=10)*ROW(Overall!$A$35:$A$71))-ROW(Overall!$A$34), ROWS(Overall!$L$35:T45))),"")</f>
        <v/>
      </c>
      <c r="J39" s="53" t="str" cm="1">
        <f t="array" ref="J39">IFERROR(INDEX(Overall!K$35:K$71,_xlfn.AGGREGATE(15,3,((Overall!$A$35:$A$71=10)/(Overall!$A$35:$A$71=10)*ROW(Overall!$A$35:$A$71))-ROW(Overall!$A$34),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IFERROR(INDEX(Overall!B$35:B$71,_xlfn.AGGREGATE(15,3,((Overall!$A$35:$A$71=10)/(Overall!$A$35:$A$71=10)*ROW(Overall!$A$35:$A$71))-ROW(Overall!$A$34), ROWS(Overall!$L$35:L46))),"")</f>
        <v/>
      </c>
      <c r="B40" s="60" t="str" cm="1">
        <f t="array" ref="B40">IFERROR(INDEX(Overall!C$35:C$71,_xlfn.AGGREGATE(15,3,((Overall!$A$35:$A$71=10)/(Overall!$A$35:$A$71=10)*ROW(Overall!$A$35:$A$71))-ROW(Overall!$A$34), ROWS(Overall!$L$35:M46))),"")</f>
        <v/>
      </c>
      <c r="C40" s="87" t="str" cm="1">
        <f t="array" ref="C40">IFERROR(INDEX(Overall!D$35:D$71,_xlfn.AGGREGATE(15,3,((Overall!$A$35:$A$71=10)/(Overall!$A$35:$A$71=10)*ROW(Overall!$A$35:$A$71))-ROW(Overall!$A$34), ROWS(Overall!$L$35:N46))),"")</f>
        <v/>
      </c>
      <c r="D40" s="62" t="str" cm="1">
        <f t="array" ref="D40">IFERROR(INDEX(Overall!E$35:E$71,_xlfn.AGGREGATE(15,3,((Overall!$A$35:$A$71=10)/(Overall!$A$35:$A$71=10)*ROW(Overall!$A$35:$A$71))-ROW(Overall!$A$34), ROWS(Overall!$L$35:O46))),"")</f>
        <v/>
      </c>
      <c r="E40" s="128" t="str" cm="1">
        <f t="array" ref="E40">IFERROR(INDEX(Overall!F$35:F$71,_xlfn.AGGREGATE(15,3,((Overall!$A$35:$A$71=10)/(Overall!$A$35:$A$71=10)*ROW(Overall!$A$35:$A$71))-ROW(Overall!$A$34), ROWS(Overall!$L$35:P46))),"")</f>
        <v/>
      </c>
      <c r="F40" s="129" t="str" cm="1">
        <f t="array" ref="F40">IFERROR(INDEX(Overall!G$35:G$71,_xlfn.AGGREGATE(15,3,((Overall!$A$35:$A$71=10)/(Overall!$A$35:$A$71=10)*ROW(Overall!$A$35:$A$71))-ROW(Overall!$A$34), ROWS(Overall!$L$35:Q46))),"")</f>
        <v/>
      </c>
      <c r="G40" s="96" t="str" cm="1">
        <f t="array" ref="G40">IFERROR(INDEX(Overall!H$35:H$71,_xlfn.AGGREGATE(15,3,((Overall!$A$35:$A$71=10)/(Overall!$A$35:$A$71=10)*ROW(Overall!$A$35:$A$71))-ROW(Overall!$A$34), ROWS(Overall!$L$35:R46))),"")</f>
        <v/>
      </c>
      <c r="H40" s="96" t="str" cm="1">
        <f t="array" ref="H40">IFERROR(INDEX(Overall!I$35:I$71,_xlfn.AGGREGATE(15,3,((Overall!$A$35:$A$71=10)/(Overall!$A$35:$A$71=10)*ROW(Overall!$A$35:$A$71))-ROW(Overall!$A$34), ROWS(Overall!$L$35:S46))),"")</f>
        <v/>
      </c>
      <c r="I40" s="62" t="str" cm="1">
        <f t="array" ref="I40">IFERROR(INDEX(Overall!J$35:J$71,_xlfn.AGGREGATE(15,3,((Overall!$A$35:$A$71=10)/(Overall!$A$35:$A$71=10)*ROW(Overall!$A$35:$A$71))-ROW(Overall!$A$34), ROWS(Overall!$L$35:T46))),"")</f>
        <v/>
      </c>
      <c r="J40" s="53" t="str" cm="1">
        <f t="array" ref="J40">IFERROR(INDEX(Overall!K$35:K$71,_xlfn.AGGREGATE(15,3,((Overall!$A$35:$A$71=10)/(Overall!$A$35:$A$71=10)*ROW(Overall!$A$35:$A$71))-ROW(Overall!$A$34),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IFERROR(INDEX(Overall!B$35:B$71,_xlfn.AGGREGATE(15,3,((Overall!$A$35:$A$71=10)/(Overall!$A$35:$A$71=10)*ROW(Overall!$A$35:$A$71))-ROW(Overall!$A$34), ROWS(Overall!$L$35:L47))),"")</f>
        <v/>
      </c>
      <c r="B41" s="60" t="str" cm="1">
        <f t="array" ref="B41">IFERROR(INDEX(Overall!C$35:C$71,_xlfn.AGGREGATE(15,3,((Overall!$A$35:$A$71=10)/(Overall!$A$35:$A$71=10)*ROW(Overall!$A$35:$A$71))-ROW(Overall!$A$34), ROWS(Overall!$L$35:M47))),"")</f>
        <v/>
      </c>
      <c r="C41" s="87" t="str" cm="1">
        <f t="array" ref="C41">IFERROR(INDEX(Overall!D$35:D$71,_xlfn.AGGREGATE(15,3,((Overall!$A$35:$A$71=10)/(Overall!$A$35:$A$71=10)*ROW(Overall!$A$35:$A$71))-ROW(Overall!$A$34), ROWS(Overall!$L$35:N47))),"")</f>
        <v/>
      </c>
      <c r="D41" s="62" t="str" cm="1">
        <f t="array" ref="D41">IFERROR(INDEX(Overall!E$35:E$71,_xlfn.AGGREGATE(15,3,((Overall!$A$35:$A$71=10)/(Overall!$A$35:$A$71=10)*ROW(Overall!$A$35:$A$71))-ROW(Overall!$A$34), ROWS(Overall!$L$35:O47))),"")</f>
        <v/>
      </c>
      <c r="E41" s="128" t="str" cm="1">
        <f t="array" ref="E41">IFERROR(INDEX(Overall!F$35:F$71,_xlfn.AGGREGATE(15,3,((Overall!$A$35:$A$71=10)/(Overall!$A$35:$A$71=10)*ROW(Overall!$A$35:$A$71))-ROW(Overall!$A$34), ROWS(Overall!$L$35:P47))),"")</f>
        <v/>
      </c>
      <c r="F41" s="129" t="str" cm="1">
        <f t="array" ref="F41">IFERROR(INDEX(Overall!G$35:G$71,_xlfn.AGGREGATE(15,3,((Overall!$A$35:$A$71=10)/(Overall!$A$35:$A$71=10)*ROW(Overall!$A$35:$A$71))-ROW(Overall!$A$34), ROWS(Overall!$L$35:Q47))),"")</f>
        <v/>
      </c>
      <c r="G41" s="96" t="str" cm="1">
        <f t="array" ref="G41">IFERROR(INDEX(Overall!H$35:H$71,_xlfn.AGGREGATE(15,3,((Overall!$A$35:$A$71=10)/(Overall!$A$35:$A$71=10)*ROW(Overall!$A$35:$A$71))-ROW(Overall!$A$34), ROWS(Overall!$L$35:R47))),"")</f>
        <v/>
      </c>
      <c r="H41" s="96" t="str" cm="1">
        <f t="array" ref="H41">IFERROR(INDEX(Overall!I$35:I$71,_xlfn.AGGREGATE(15,3,((Overall!$A$35:$A$71=10)/(Overall!$A$35:$A$71=10)*ROW(Overall!$A$35:$A$71))-ROW(Overall!$A$34), ROWS(Overall!$L$35:S47))),"")</f>
        <v/>
      </c>
      <c r="I41" s="62" t="str" cm="1">
        <f t="array" ref="I41">IFERROR(INDEX(Overall!J$35:J$71,_xlfn.AGGREGATE(15,3,((Overall!$A$35:$A$71=10)/(Overall!$A$35:$A$71=10)*ROW(Overall!$A$35:$A$71))-ROW(Overall!$A$34), ROWS(Overall!$L$35:T47))),"")</f>
        <v/>
      </c>
      <c r="J41" s="53" t="str" cm="1">
        <f t="array" ref="J41">IFERROR(INDEX(Overall!K$35:K$71,_xlfn.AGGREGATE(15,3,((Overall!$A$35:$A$71=10)/(Overall!$A$35:$A$71=10)*ROW(Overall!$A$35:$A$71))-ROW(Overall!$A$34),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IFERROR(INDEX(Overall!B$35:B$71,_xlfn.AGGREGATE(15,3,((Overall!$A$35:$A$71=10)/(Overall!$A$35:$A$71=10)*ROW(Overall!$A$35:$A$71))-ROW(Overall!$A$34), ROWS(Overall!$L$35:L48))),"")</f>
        <v/>
      </c>
      <c r="B42" s="60" t="str" cm="1">
        <f t="array" ref="B42">IFERROR(INDEX(Overall!C$35:C$71,_xlfn.AGGREGATE(15,3,((Overall!$A$35:$A$71=10)/(Overall!$A$35:$A$71=10)*ROW(Overall!$A$35:$A$71))-ROW(Overall!$A$34), ROWS(Overall!$L$35:M48))),"")</f>
        <v/>
      </c>
      <c r="C42" s="87" t="str" cm="1">
        <f t="array" ref="C42">IFERROR(INDEX(Overall!D$35:D$71,_xlfn.AGGREGATE(15,3,((Overall!$A$35:$A$71=10)/(Overall!$A$35:$A$71=10)*ROW(Overall!$A$35:$A$71))-ROW(Overall!$A$34), ROWS(Overall!$L$35:N48))),"")</f>
        <v/>
      </c>
      <c r="D42" s="62" t="str" cm="1">
        <f t="array" ref="D42">IFERROR(INDEX(Overall!E$35:E$71,_xlfn.AGGREGATE(15,3,((Overall!$A$35:$A$71=10)/(Overall!$A$35:$A$71=10)*ROW(Overall!$A$35:$A$71))-ROW(Overall!$A$34), ROWS(Overall!$L$35:O48))),"")</f>
        <v/>
      </c>
      <c r="E42" s="128" t="str" cm="1">
        <f t="array" ref="E42">IFERROR(INDEX(Overall!F$35:F$71,_xlfn.AGGREGATE(15,3,((Overall!$A$35:$A$71=10)/(Overall!$A$35:$A$71=10)*ROW(Overall!$A$35:$A$71))-ROW(Overall!$A$34), ROWS(Overall!$L$35:P48))),"")</f>
        <v/>
      </c>
      <c r="F42" s="129" t="str" cm="1">
        <f t="array" ref="F42">IFERROR(INDEX(Overall!G$35:G$71,_xlfn.AGGREGATE(15,3,((Overall!$A$35:$A$71=10)/(Overall!$A$35:$A$71=10)*ROW(Overall!$A$35:$A$71))-ROW(Overall!$A$34), ROWS(Overall!$L$35:Q48))),"")</f>
        <v/>
      </c>
      <c r="G42" s="96" t="str" cm="1">
        <f t="array" ref="G42">IFERROR(INDEX(Overall!H$35:H$71,_xlfn.AGGREGATE(15,3,((Overall!$A$35:$A$71=10)/(Overall!$A$35:$A$71=10)*ROW(Overall!$A$35:$A$71))-ROW(Overall!$A$34), ROWS(Overall!$L$35:R48))),"")</f>
        <v/>
      </c>
      <c r="H42" s="96" t="str" cm="1">
        <f t="array" ref="H42">IFERROR(INDEX(Overall!I$35:I$71,_xlfn.AGGREGATE(15,3,((Overall!$A$35:$A$71=10)/(Overall!$A$35:$A$71=10)*ROW(Overall!$A$35:$A$71))-ROW(Overall!$A$34), ROWS(Overall!$L$35:S48))),"")</f>
        <v/>
      </c>
      <c r="I42" s="62" t="str" cm="1">
        <f t="array" ref="I42">IFERROR(INDEX(Overall!J$35:J$71,_xlfn.AGGREGATE(15,3,((Overall!$A$35:$A$71=10)/(Overall!$A$35:$A$71=10)*ROW(Overall!$A$35:$A$71))-ROW(Overall!$A$34), ROWS(Overall!$L$35:T48))),"")</f>
        <v/>
      </c>
      <c r="J42" s="53" t="str" cm="1">
        <f t="array" ref="J42">IFERROR(INDEX(Overall!K$35:K$71,_xlfn.AGGREGATE(15,3,((Overall!$A$35:$A$71=10)/(Overall!$A$35:$A$71=10)*ROW(Overall!$A$35:$A$71))-ROW(Overall!$A$34),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IFERROR(INDEX(Overall!B$35:B$71,_xlfn.AGGREGATE(15,3,((Overall!$A$35:$A$71=10)/(Overall!$A$35:$A$71=10)*ROW(Overall!$A$35:$A$71))-ROW(Overall!$A$34), ROWS(Overall!$L$35:L49))),"")</f>
        <v/>
      </c>
      <c r="B43" s="60" t="str" cm="1">
        <f t="array" ref="B43">IFERROR(INDEX(Overall!C$35:C$71,_xlfn.AGGREGATE(15,3,((Overall!$A$35:$A$71=10)/(Overall!$A$35:$A$71=10)*ROW(Overall!$A$35:$A$71))-ROW(Overall!$A$34), ROWS(Overall!$L$35:M49))),"")</f>
        <v/>
      </c>
      <c r="C43" s="87" t="str" cm="1">
        <f t="array" ref="C43">IFERROR(INDEX(Overall!D$35:D$71,_xlfn.AGGREGATE(15,3,((Overall!$A$35:$A$71=10)/(Overall!$A$35:$A$71=10)*ROW(Overall!$A$35:$A$71))-ROW(Overall!$A$34), ROWS(Overall!$L$35:N49))),"")</f>
        <v/>
      </c>
      <c r="D43" s="62" t="str" cm="1">
        <f t="array" ref="D43">IFERROR(INDEX(Overall!E$35:E$71,_xlfn.AGGREGATE(15,3,((Overall!$A$35:$A$71=10)/(Overall!$A$35:$A$71=10)*ROW(Overall!$A$35:$A$71))-ROW(Overall!$A$34), ROWS(Overall!$L$35:O49))),"")</f>
        <v/>
      </c>
      <c r="E43" s="128" t="str" cm="1">
        <f t="array" ref="E43">IFERROR(INDEX(Overall!F$35:F$71,_xlfn.AGGREGATE(15,3,((Overall!$A$35:$A$71=10)/(Overall!$A$35:$A$71=10)*ROW(Overall!$A$35:$A$71))-ROW(Overall!$A$34), ROWS(Overall!$L$35:P49))),"")</f>
        <v/>
      </c>
      <c r="F43" s="129" t="str" cm="1">
        <f t="array" ref="F43">IFERROR(INDEX(Overall!G$35:G$71,_xlfn.AGGREGATE(15,3,((Overall!$A$35:$A$71=10)/(Overall!$A$35:$A$71=10)*ROW(Overall!$A$35:$A$71))-ROW(Overall!$A$34), ROWS(Overall!$L$35:Q49))),"")</f>
        <v/>
      </c>
      <c r="G43" s="96" t="str" cm="1">
        <f t="array" ref="G43">IFERROR(INDEX(Overall!H$35:H$71,_xlfn.AGGREGATE(15,3,((Overall!$A$35:$A$71=10)/(Overall!$A$35:$A$71=10)*ROW(Overall!$A$35:$A$71))-ROW(Overall!$A$34), ROWS(Overall!$L$35:R49))),"")</f>
        <v/>
      </c>
      <c r="H43" s="96" t="str" cm="1">
        <f t="array" ref="H43">IFERROR(INDEX(Overall!I$35:I$71,_xlfn.AGGREGATE(15,3,((Overall!$A$35:$A$71=10)/(Overall!$A$35:$A$71=10)*ROW(Overall!$A$35:$A$71))-ROW(Overall!$A$34), ROWS(Overall!$L$35:S49))),"")</f>
        <v/>
      </c>
      <c r="I43" s="62" t="str" cm="1">
        <f t="array" ref="I43">IFERROR(INDEX(Overall!J$35:J$71,_xlfn.AGGREGATE(15,3,((Overall!$A$35:$A$71=10)/(Overall!$A$35:$A$71=10)*ROW(Overall!$A$35:$A$71))-ROW(Overall!$A$34), ROWS(Overall!$L$35:T49))),"")</f>
        <v/>
      </c>
      <c r="J43" s="53" t="str" cm="1">
        <f t="array" ref="J43">IFERROR(INDEX(Overall!K$35:K$71,_xlfn.AGGREGATE(15,3,((Overall!$A$35:$A$71=10)/(Overall!$A$35:$A$71=10)*ROW(Overall!$A$35:$A$71))-ROW(Overall!$A$34),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IFERROR(INDEX(Overall!B$35:B$71,_xlfn.AGGREGATE(15,3,((Overall!$A$35:$A$71=10)/(Overall!$A$35:$A$71=10)*ROW(Overall!$A$35:$A$71))-ROW(Overall!$A$34), ROWS(Overall!$L$35:L50))),"")</f>
        <v/>
      </c>
      <c r="B44" s="61" t="str" cm="1">
        <f t="array" ref="B44">IFERROR(INDEX(Overall!C$35:C$71,_xlfn.AGGREGATE(15,3,((Overall!$A$35:$A$71=10)/(Overall!$A$35:$A$71=10)*ROW(Overall!$A$35:$A$71))-ROW(Overall!$A$34), ROWS(Overall!$L$35:M50))),"")</f>
        <v/>
      </c>
      <c r="C44" s="88" t="str" cm="1">
        <f t="array" ref="C44">IFERROR(INDEX(Overall!D$35:D$71,_xlfn.AGGREGATE(15,3,((Overall!$A$35:$A$71=10)/(Overall!$A$35:$A$71=10)*ROW(Overall!$A$35:$A$71))-ROW(Overall!$A$34), ROWS(Overall!$L$35:N50))),"")</f>
        <v/>
      </c>
      <c r="D44" s="63" t="str" cm="1">
        <f t="array" ref="D44">IFERROR(INDEX(Overall!E$35:E$71,_xlfn.AGGREGATE(15,3,((Overall!$A$35:$A$71=10)/(Overall!$A$35:$A$71=10)*ROW(Overall!$A$35:$A$71))-ROW(Overall!$A$34), ROWS(Overall!$L$35:O50))),"")</f>
        <v/>
      </c>
      <c r="E44" s="130" t="str" cm="1">
        <f t="array" ref="E44">IFERROR(INDEX(Overall!F$35:F$71,_xlfn.AGGREGATE(15,3,((Overall!$A$35:$A$71=10)/(Overall!$A$35:$A$71=10)*ROW(Overall!$A$35:$A$71))-ROW(Overall!$A$34), ROWS(Overall!$L$35:P50))),"")</f>
        <v/>
      </c>
      <c r="F44" s="131" t="str" cm="1">
        <f t="array" ref="F44">IFERROR(INDEX(Overall!G$35:G$71,_xlfn.AGGREGATE(15,3,((Overall!$A$35:$A$71=10)/(Overall!$A$35:$A$71=10)*ROW(Overall!$A$35:$A$71))-ROW(Overall!$A$34), ROWS(Overall!$L$35:Q50))),"")</f>
        <v/>
      </c>
      <c r="G44" s="97" t="str" cm="1">
        <f t="array" ref="G44">IFERROR(INDEX(Overall!H$35:H$71,_xlfn.AGGREGATE(15,3,((Overall!$A$35:$A$71=10)/(Overall!$A$35:$A$71=10)*ROW(Overall!$A$35:$A$71))-ROW(Overall!$A$34), ROWS(Overall!$L$35:R50))),"")</f>
        <v/>
      </c>
      <c r="H44" s="97" t="str" cm="1">
        <f t="array" ref="H44">IFERROR(INDEX(Overall!I$35:I$71,_xlfn.AGGREGATE(15,3,((Overall!$A$35:$A$71=10)/(Overall!$A$35:$A$71=10)*ROW(Overall!$A$35:$A$71))-ROW(Overall!$A$34), ROWS(Overall!$L$35:S50))),"")</f>
        <v/>
      </c>
      <c r="I44" s="65" t="str" cm="1">
        <f t="array" ref="I44">IFERROR(INDEX(Overall!J$35:J$71,_xlfn.AGGREGATE(15,3,((Overall!$A$35:$A$71=10)/(Overall!$A$35:$A$71=10)*ROW(Overall!$A$35:$A$71))-ROW(Overall!$A$34), ROWS(Overall!$L$35:T50))),"")</f>
        <v/>
      </c>
      <c r="J44" s="54" t="str" cm="1">
        <f t="array" ref="J44">IFERROR(INDEX(Overall!K$35:K$71,_xlfn.AGGREGATE(15,3,((Overall!$A$35:$A$71=10)/(Overall!$A$35:$A$71=10)*ROW(Overall!$A$35:$A$71))-ROW(Overall!$A$34),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 t="s">
        <v>180</v>
      </c>
      <c r="J47" s="52"/>
    </row>
    <row r="48" spans="1:10" x14ac:dyDescent="0.25">
      <c r="A48" s="67"/>
      <c r="B48" s="72"/>
      <c r="C48" s="178"/>
      <c r="D48" s="179"/>
      <c r="H48" s="52"/>
      <c r="I48" s="50"/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 s="105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  <row r="64" spans="1:10" x14ac:dyDescent="0.25">
      <c r="A64"/>
      <c r="B64"/>
      <c r="C64"/>
      <c r="D64"/>
      <c r="E64"/>
      <c r="F64"/>
      <c r="G64"/>
    </row>
  </sheetData>
  <mergeCells count="47">
    <mergeCell ref="G4:I4"/>
    <mergeCell ref="A27:J27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B1:C1"/>
    <mergeCell ref="B2:C2"/>
    <mergeCell ref="F2:I2"/>
    <mergeCell ref="B3:C3"/>
    <mergeCell ref="G3:I3"/>
    <mergeCell ref="C59:D59"/>
    <mergeCell ref="I46:J46"/>
    <mergeCell ref="F51:G51"/>
    <mergeCell ref="F52:G52"/>
    <mergeCell ref="C47:D47"/>
    <mergeCell ref="C48:D48"/>
    <mergeCell ref="C49:D49"/>
    <mergeCell ref="A46:H46"/>
    <mergeCell ref="E47:H47"/>
    <mergeCell ref="C50:D50"/>
    <mergeCell ref="C51:D51"/>
    <mergeCell ref="C52:D52"/>
    <mergeCell ref="F59:G59"/>
    <mergeCell ref="F60:G60"/>
    <mergeCell ref="F61:G61"/>
    <mergeCell ref="F53:G53"/>
    <mergeCell ref="C53:D53"/>
    <mergeCell ref="C54:D54"/>
    <mergeCell ref="C55:D55"/>
    <mergeCell ref="C56:D56"/>
    <mergeCell ref="F58:G58"/>
    <mergeCell ref="F54:G54"/>
    <mergeCell ref="F55:G55"/>
    <mergeCell ref="F56:G56"/>
    <mergeCell ref="F57:G57"/>
    <mergeCell ref="C60:D60"/>
    <mergeCell ref="C61:D61"/>
    <mergeCell ref="C57:D57"/>
    <mergeCell ref="C58:D58"/>
  </mergeCells>
  <conditionalFormatting sqref="A29:J43">
    <cfRule type="cellIs" dxfId="34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44CC-F524-4690-B421-1C539833D49B}">
  <sheetPr codeName="Sheet10">
    <pageSetUpPr autoPageBreaks="0"/>
  </sheetPr>
  <dimension ref="A1:J61"/>
  <sheetViews>
    <sheetView showGridLines="0" zoomScale="110" zoomScaleNormal="110" workbookViewId="0">
      <selection activeCell="L15" sqref="L15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25</v>
      </c>
      <c r="C3" s="175"/>
      <c r="F3" s="74">
        <f>IFERROR(VLOOKUP($B$3,Totals!$B$3:$C$11,2,0),0)</f>
        <v>19571</v>
      </c>
      <c r="G3" s="163" t="s">
        <v>4</v>
      </c>
      <c r="H3" s="163"/>
      <c r="I3" s="164"/>
    </row>
    <row r="4" spans="1:10" x14ac:dyDescent="0.25">
      <c r="F4" s="74">
        <f>VLOOKUP($B$3,Totals!$E$3:$F$12,2,0)</f>
        <v>51366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41600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1</v>
      </c>
    </row>
    <row r="7" spans="1:10" x14ac:dyDescent="0.25">
      <c r="G7" s="92" t="s">
        <v>6</v>
      </c>
      <c r="H7" s="93">
        <f>F3/F4</f>
        <v>0.38101078534439126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68.34319526627219</v>
      </c>
      <c r="C9" s="82">
        <f>IFERROR(VLOOKUP($B$3,Totals!$L$3:$N$11,3,0),0)</f>
        <v>47.04567307692308</v>
      </c>
      <c r="D9" s="83">
        <f>IFERROR(VLOOKUP('12'!$B$3,Totals!$P$4:$Y$12,10,0),0)</f>
        <v>37.432069387554044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11</v>
      </c>
      <c r="C22" s="163" t="str">
        <f>VLOOKUP($B$3&amp;A22,Totals!$G$49:$K$73,5,0)</f>
        <v>Labeler</v>
      </c>
      <c r="D22" s="164"/>
      <c r="F22" s="66">
        <v>1</v>
      </c>
      <c r="G22" s="69">
        <f>VLOOKUP($B$3&amp;F22,Totals!$M$49:$Q$73,4,0)</f>
        <v>325</v>
      </c>
      <c r="H22" s="163" t="str">
        <f>VLOOKUP($B$3&amp;F22,Totals!$M$49:$Q$73,5,0)</f>
        <v>Manning/Supplies</v>
      </c>
      <c r="I22" s="164"/>
    </row>
    <row r="23" spans="1:10" x14ac:dyDescent="0.25">
      <c r="A23" s="67">
        <v>2</v>
      </c>
      <c r="B23" s="70">
        <f>VLOOKUP($B$3&amp;A23,Totals!$G$49:$K$73,4,0)</f>
        <v>11</v>
      </c>
      <c r="C23" s="163" t="str">
        <f>VLOOKUP($B$3&amp;A23,Totals!$G$49:$K$73,5,0)</f>
        <v>Labeler</v>
      </c>
      <c r="D23" s="164"/>
      <c r="F23" s="67">
        <v>2</v>
      </c>
      <c r="G23" s="70">
        <f>VLOOKUP($B$3&amp;F23,Totals!$M$49:$Q$73,4,0)</f>
        <v>158</v>
      </c>
      <c r="H23" s="163" t="str">
        <f>VLOOKUP($B$3&amp;F23,Totals!$M$49:$Q$73,5,0)</f>
        <v>QA External</v>
      </c>
      <c r="I23" s="164"/>
    </row>
    <row r="24" spans="1:10" x14ac:dyDescent="0.25">
      <c r="A24" s="68">
        <v>3</v>
      </c>
      <c r="B24" s="71">
        <f>VLOOKUP($B$3&amp;A24,Totals!$G$49:$K$73,4,0)</f>
        <v>4</v>
      </c>
      <c r="C24" s="165" t="str">
        <f>VLOOKUP($B$3&amp;A24,Totals!$G$49:$K$73,5,0)</f>
        <v>Capper</v>
      </c>
      <c r="D24" s="166"/>
      <c r="F24" s="68">
        <v>3</v>
      </c>
      <c r="G24" s="71">
        <f>VLOOKUP($B$3&amp;F24,Totals!$M$49:$Q$73,4,0)</f>
        <v>154</v>
      </c>
      <c r="H24" s="165" t="str">
        <f>VLOOKUP($B$3&amp;F24,Totals!$M$49:$Q$73,5,0)</f>
        <v>Case Packer</v>
      </c>
      <c r="I24" s="166"/>
    </row>
    <row r="27" spans="1:10" x14ac:dyDescent="0.25">
      <c r="A27" s="156" t="s">
        <v>10</v>
      </c>
      <c r="B27" s="156"/>
      <c r="C27" s="156"/>
      <c r="D27" s="156"/>
      <c r="E27" s="156"/>
      <c r="F27" s="156"/>
      <c r="G27" s="156"/>
      <c r="H27" s="156"/>
      <c r="I27" s="156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IFERROR(INDEX(Overall!B$35:B$71,_xlfn.AGGREGATE(15,3,((Overall!$A$35:$A$71=12)/(Overall!$A$35:$A$71=12)*ROW(Overall!$A$35:$A$71))-ROW(Overall!$A$34), ROWS(Overall!$L$35:L35))),"")</f>
        <v>C</v>
      </c>
      <c r="B29" s="60" cm="1">
        <f t="array" ref="B29">IFERROR(INDEX(Overall!C$35:C$71,_xlfn.AGGREGATE(15,3,((Overall!$A$35:$A$71=12)/(Overall!$A$35:$A$71=12)*ROW(Overall!$A$35:$A$71))-ROW(Overall!$A$34), ROWS(Overall!$L$35:M35))),"")</f>
        <v>45012</v>
      </c>
      <c r="C29" s="87" cm="1">
        <f t="array" ref="C29">IFERROR(INDEX(Overall!D$35:D$71,_xlfn.AGGREGATE(15,3,((Overall!$A$35:$A$71=12)/(Overall!$A$35:$A$71=12)*ROW(Overall!$A$35:$A$71))-ROW(Overall!$A$34), ROWS(Overall!$L$35:N35))),"")</f>
        <v>417600</v>
      </c>
      <c r="D29" s="62" t="str" cm="1">
        <f t="array" ref="D29">IFERROR(INDEX(Overall!E$35:E$71,_xlfn.AGGREGATE(15,3,((Overall!$A$35:$A$71=12)/(Overall!$A$35:$A$71=12)*ROW(Overall!$A$35:$A$71))-ROW(Overall!$A$34), ROWS(Overall!$L$35:O35))),"")</f>
        <v>BTL201988</v>
      </c>
      <c r="E29" s="128" cm="1">
        <f t="array" ref="E29">IFERROR(INDEX(Overall!F$35:F$71,_xlfn.AGGREGATE(15,3,((Overall!$A$35:$A$71=12)/(Overall!$A$35:$A$71=12)*ROW(Overall!$A$35:$A$71))-ROW(Overall!$A$34), ROWS(Overall!$L$35:P35))),"")</f>
        <v>0</v>
      </c>
      <c r="F29" s="129" cm="1">
        <f t="array" ref="F29">IFERROR(INDEX(Overall!G$35:G$71,_xlfn.AGGREGATE(15,3,((Overall!$A$35:$A$71=12)/(Overall!$A$35:$A$71=12)*ROW(Overall!$A$35:$A$71))-ROW(Overall!$A$34), ROWS(Overall!$L$35:Q35))),"")</f>
        <v>7092</v>
      </c>
      <c r="G29" s="96" cm="1">
        <f t="array" ref="G29">IFERROR(INDEX(Overall!H$35:H$71,_xlfn.AGGREGATE(15,3,((Overall!$A$35:$A$71=12)/(Overall!$A$35:$A$71=12)*ROW(Overall!$A$35:$A$71))-ROW(Overall!$A$34), ROWS(Overall!$L$35:R35))),"")</f>
        <v>0</v>
      </c>
      <c r="H29" s="96" cm="1">
        <f t="array" ref="H29">IFERROR(INDEX(Overall!I$35:I$71,_xlfn.AGGREGATE(15,3,((Overall!$A$35:$A$71=12)/(Overall!$A$35:$A$71=12)*ROW(Overall!$A$35:$A$71))-ROW(Overall!$A$34), ROWS(Overall!$L$35:S35))),"")</f>
        <v>7092</v>
      </c>
      <c r="I29" s="62" t="str" cm="1">
        <f t="array" ref="I29">IFERROR(INDEX(Overall!J$35:J$71,_xlfn.AGGREGATE(15,3,((Overall!$A$35:$A$71=12)/(Overall!$A$35:$A$71=12)*ROW(Overall!$A$35:$A$71))-ROW(Overall!$A$34), ROWS(Overall!$L$35:T35))),"")</f>
        <v>PCLARK01</v>
      </c>
      <c r="J29" s="53" cm="1">
        <f t="array" ref="J29">IFERROR(INDEX(Overall!K$35:K$71,_xlfn.AGGREGATE(15,3,((Overall!$A$35:$A$71=12)/(Overall!$A$35:$A$71=12)*ROW(Overall!$A$35:$A$71))-ROW(Overall!$A$34),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IFERROR(INDEX(Overall!B$35:B$71,_xlfn.AGGREGATE(15,3,((Overall!$A$35:$A$71=12)/(Overall!$A$35:$A$71=12)*ROW(Overall!$A$35:$A$71))-ROW(Overall!$A$34), ROWS(Overall!$L$35:L36))),"")</f>
        <v>C</v>
      </c>
      <c r="B30" s="60" cm="1">
        <f t="array" ref="B30">IFERROR(INDEX(Overall!C$35:C$71,_xlfn.AGGREGATE(15,3,((Overall!$A$35:$A$71=12)/(Overall!$A$35:$A$71=12)*ROW(Overall!$A$35:$A$71))-ROW(Overall!$A$34), ROWS(Overall!$L$35:M36))),"")</f>
        <v>45012</v>
      </c>
      <c r="C30" s="87" cm="1">
        <f t="array" ref="C30">IFERROR(INDEX(Overall!D$35:D$71,_xlfn.AGGREGATE(15,3,((Overall!$A$35:$A$71=12)/(Overall!$A$35:$A$71=12)*ROW(Overall!$A$35:$A$71))-ROW(Overall!$A$34), ROWS(Overall!$L$35:N36))),"")</f>
        <v>417600</v>
      </c>
      <c r="D30" s="62" t="str" cm="1">
        <f t="array" ref="D30">IFERROR(INDEX(Overall!E$35:E$71,_xlfn.AGGREGATE(15,3,((Overall!$A$35:$A$71=12)/(Overall!$A$35:$A$71=12)*ROW(Overall!$A$35:$A$71))-ROW(Overall!$A$34), ROWS(Overall!$L$35:O36))),"")</f>
        <v>CLO188023</v>
      </c>
      <c r="E30" s="128" cm="1">
        <f t="array" ref="E30">IFERROR(INDEX(Overall!F$35:F$71,_xlfn.AGGREGATE(15,3,((Overall!$A$35:$A$71=12)/(Overall!$A$35:$A$71=12)*ROW(Overall!$A$35:$A$71))-ROW(Overall!$A$34), ROWS(Overall!$L$35:P36))),"")</f>
        <v>0</v>
      </c>
      <c r="F30" s="129" cm="1">
        <f t="array" ref="F30">IFERROR(INDEX(Overall!G$35:G$71,_xlfn.AGGREGATE(15,3,((Overall!$A$35:$A$71=12)/(Overall!$A$35:$A$71=12)*ROW(Overall!$A$35:$A$71))-ROW(Overall!$A$34), ROWS(Overall!$L$35:Q36))),"")</f>
        <v>7304</v>
      </c>
      <c r="G30" s="96" cm="1">
        <f t="array" ref="G30">IFERROR(INDEX(Overall!H$35:H$71,_xlfn.AGGREGATE(15,3,((Overall!$A$35:$A$71=12)/(Overall!$A$35:$A$71=12)*ROW(Overall!$A$35:$A$71))-ROW(Overall!$A$34), ROWS(Overall!$L$35:R36))),"")</f>
        <v>10100</v>
      </c>
      <c r="H30" s="96" cm="1">
        <f t="array" ref="H30">IFERROR(INDEX(Overall!I$35:I$71,_xlfn.AGGREGATE(15,3,((Overall!$A$35:$A$71=12)/(Overall!$A$35:$A$71=12)*ROW(Overall!$A$35:$A$71))-ROW(Overall!$A$34), ROWS(Overall!$L$35:S36))),"")</f>
        <v>-2796</v>
      </c>
      <c r="I30" s="62" t="str" cm="1">
        <f t="array" ref="I30">IFERROR(INDEX(Overall!J$35:J$71,_xlfn.AGGREGATE(15,3,((Overall!$A$35:$A$71=12)/(Overall!$A$35:$A$71=12)*ROW(Overall!$A$35:$A$71))-ROW(Overall!$A$34), ROWS(Overall!$L$35:T36))),"")</f>
        <v>PR048208</v>
      </c>
      <c r="J30" s="53" cm="1">
        <f t="array" ref="J30">IFERROR(INDEX(Overall!K$35:K$71,_xlfn.AGGREGATE(15,3,((Overall!$A$35:$A$71=12)/(Overall!$A$35:$A$71=12)*ROW(Overall!$A$35:$A$71))-ROW(Overall!$A$34), ROWS(Overall!$L$35:U36))),"")</f>
        <v>0</v>
      </c>
    </row>
    <row r="31" spans="1:10" x14ac:dyDescent="0.25">
      <c r="A31" s="124" t="str" cm="1">
        <f t="array" ref="A31">IFERROR(INDEX(Overall!B$35:B$71,_xlfn.AGGREGATE(15,3,((Overall!$A$35:$A$71=12)/(Overall!$A$35:$A$71=12)*ROW(Overall!$A$35:$A$71))-ROW(Overall!$A$34), ROWS(Overall!$L$35:L37))),"")</f>
        <v>B</v>
      </c>
      <c r="B31" s="60" cm="1">
        <f t="array" ref="B31">IFERROR(INDEX(Overall!C$35:C$71,_xlfn.AGGREGATE(15,3,((Overall!$A$35:$A$71=12)/(Overall!$A$35:$A$71=12)*ROW(Overall!$A$35:$A$71))-ROW(Overall!$A$34), ROWS(Overall!$L$35:M37))),"")</f>
        <v>45014</v>
      </c>
      <c r="C31" s="87" cm="1">
        <f t="array" ref="C31">IFERROR(INDEX(Overall!D$35:D$71,_xlfn.AGGREGATE(15,3,((Overall!$A$35:$A$71=12)/(Overall!$A$35:$A$71=12)*ROW(Overall!$A$35:$A$71))-ROW(Overall!$A$34), ROWS(Overall!$L$35:N37))),"")</f>
        <v>417611</v>
      </c>
      <c r="D31" s="62" t="str" cm="1">
        <f t="array" ref="D31">IFERROR(INDEX(Overall!E$35:E$71,_xlfn.AGGREGATE(15,3,((Overall!$A$35:$A$71=12)/(Overall!$A$35:$A$71=12)*ROW(Overall!$A$35:$A$71))-ROW(Overall!$A$34), ROWS(Overall!$L$35:O37))),"")</f>
        <v>BTL201988</v>
      </c>
      <c r="E31" s="128" cm="1">
        <f t="array" ref="E31">IFERROR(INDEX(Overall!F$35:F$71,_xlfn.AGGREGATE(15,3,((Overall!$A$35:$A$71=12)/(Overall!$A$35:$A$71=12)*ROW(Overall!$A$35:$A$71))-ROW(Overall!$A$34), ROWS(Overall!$L$35:P37))),"")</f>
        <v>0</v>
      </c>
      <c r="F31" s="129" cm="1">
        <f t="array" ref="F31">IFERROR(INDEX(Overall!G$35:G$71,_xlfn.AGGREGATE(15,3,((Overall!$A$35:$A$71=12)/(Overall!$A$35:$A$71=12)*ROW(Overall!$A$35:$A$71))-ROW(Overall!$A$34), ROWS(Overall!$L$35:Q37))),"")</f>
        <v>100686</v>
      </c>
      <c r="G31" s="96" cm="1">
        <f t="array" ref="G31">IFERROR(INDEX(Overall!H$35:H$71,_xlfn.AGGREGATE(15,3,((Overall!$A$35:$A$71=12)/(Overall!$A$35:$A$71=12)*ROW(Overall!$A$35:$A$71))-ROW(Overall!$A$34), ROWS(Overall!$L$35:R37))),"")</f>
        <v>34615</v>
      </c>
      <c r="H31" s="96" cm="1">
        <f t="array" ref="H31">IFERROR(INDEX(Overall!I$35:I$71,_xlfn.AGGREGATE(15,3,((Overall!$A$35:$A$71=12)/(Overall!$A$35:$A$71=12)*ROW(Overall!$A$35:$A$71))-ROW(Overall!$A$34), ROWS(Overall!$L$35:S37))),"")</f>
        <v>66071</v>
      </c>
      <c r="I31" s="62" t="str" cm="1">
        <f t="array" ref="I31">IFERROR(INDEX(Overall!J$35:J$71,_xlfn.AGGREGATE(15,3,((Overall!$A$35:$A$71=12)/(Overall!$A$35:$A$71=12)*ROW(Overall!$A$35:$A$71))-ROW(Overall!$A$34), ROWS(Overall!$L$35:T37))),"")</f>
        <v>PCLARK01</v>
      </c>
      <c r="J31" s="53" cm="1">
        <f t="array" ref="J31">IFERROR(INDEX(Overall!K$35:K$71,_xlfn.AGGREGATE(15,3,((Overall!$A$35:$A$71=12)/(Overall!$A$35:$A$71=12)*ROW(Overall!$A$35:$A$71))-ROW(Overall!$A$34),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IFERROR(INDEX(Overall!B$35:B$71,_xlfn.AGGREGATE(15,3,((Overall!$A$35:$A$71=12)/(Overall!$A$35:$A$71=12)*ROW(Overall!$A$35:$A$71))-ROW(Overall!$A$34), ROWS(Overall!$L$35:L38))),"")</f>
        <v/>
      </c>
      <c r="B32" s="60" t="str" cm="1">
        <f t="array" ref="B32">IFERROR(INDEX(Overall!C$35:C$71,_xlfn.AGGREGATE(15,3,((Overall!$A$35:$A$71=12)/(Overall!$A$35:$A$71=12)*ROW(Overall!$A$35:$A$71))-ROW(Overall!$A$34), ROWS(Overall!$L$35:M38))),"")</f>
        <v/>
      </c>
      <c r="C32" s="87" t="str" cm="1">
        <f t="array" ref="C32">IFERROR(INDEX(Overall!D$35:D$71,_xlfn.AGGREGATE(15,3,((Overall!$A$35:$A$71=12)/(Overall!$A$35:$A$71=12)*ROW(Overall!$A$35:$A$71))-ROW(Overall!$A$34), ROWS(Overall!$L$35:N38))),"")</f>
        <v/>
      </c>
      <c r="D32" s="62" t="str" cm="1">
        <f t="array" ref="D32">IFERROR(INDEX(Overall!E$35:E$71,_xlfn.AGGREGATE(15,3,((Overall!$A$35:$A$71=12)/(Overall!$A$35:$A$71=12)*ROW(Overall!$A$35:$A$71))-ROW(Overall!$A$34), ROWS(Overall!$L$35:O38))),"")</f>
        <v/>
      </c>
      <c r="E32" s="128" t="str" cm="1">
        <f t="array" ref="E32">IFERROR(INDEX(Overall!F$35:F$71,_xlfn.AGGREGATE(15,3,((Overall!$A$35:$A$71=12)/(Overall!$A$35:$A$71=12)*ROW(Overall!$A$35:$A$71))-ROW(Overall!$A$34), ROWS(Overall!$L$35:P38))),"")</f>
        <v/>
      </c>
      <c r="F32" s="129" t="str" cm="1">
        <f t="array" ref="F32">IFERROR(INDEX(Overall!G$35:G$71,_xlfn.AGGREGATE(15,3,((Overall!$A$35:$A$71=12)/(Overall!$A$35:$A$71=12)*ROW(Overall!$A$35:$A$71))-ROW(Overall!$A$34), ROWS(Overall!$L$35:Q38))),"")</f>
        <v/>
      </c>
      <c r="G32" s="96" t="str" cm="1">
        <f t="array" ref="G32">IFERROR(INDEX(Overall!H$35:H$71,_xlfn.AGGREGATE(15,3,((Overall!$A$35:$A$71=12)/(Overall!$A$35:$A$71=12)*ROW(Overall!$A$35:$A$71))-ROW(Overall!$A$34), ROWS(Overall!$L$35:R38))),"")</f>
        <v/>
      </c>
      <c r="H32" s="96" t="str" cm="1">
        <f t="array" ref="H32">IFERROR(INDEX(Overall!I$35:I$71,_xlfn.AGGREGATE(15,3,((Overall!$A$35:$A$71=12)/(Overall!$A$35:$A$71=12)*ROW(Overall!$A$35:$A$71))-ROW(Overall!$A$34), ROWS(Overall!$L$35:S38))),"")</f>
        <v/>
      </c>
      <c r="I32" s="62" t="str" cm="1">
        <f t="array" ref="I32">IFERROR(INDEX(Overall!J$35:J$71,_xlfn.AGGREGATE(15,3,((Overall!$A$35:$A$71=12)/(Overall!$A$35:$A$71=12)*ROW(Overall!$A$35:$A$71))-ROW(Overall!$A$34), ROWS(Overall!$L$35:T38))),"")</f>
        <v/>
      </c>
      <c r="J32" s="53" t="str" cm="1">
        <f t="array" ref="J32">IFERROR(INDEX(Overall!K$35:K$71,_xlfn.AGGREGATE(15,3,((Overall!$A$35:$A$71=12)/(Overall!$A$35:$A$71=12)*ROW(Overall!$A$35:$A$71))-ROW(Overall!$A$34),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IFERROR(INDEX(Overall!B$35:B$71,_xlfn.AGGREGATE(15,3,((Overall!$A$35:$A$71=12)/(Overall!$A$35:$A$71=12)*ROW(Overall!$A$35:$A$71))-ROW(Overall!$A$34), ROWS(Overall!$L$35:L39))),"")</f>
        <v/>
      </c>
      <c r="B33" s="60" t="str" cm="1">
        <f t="array" ref="B33">IFERROR(INDEX(Overall!C$35:C$71,_xlfn.AGGREGATE(15,3,((Overall!$A$35:$A$71=12)/(Overall!$A$35:$A$71=12)*ROW(Overall!$A$35:$A$71))-ROW(Overall!$A$34), ROWS(Overall!$L$35:M39))),"")</f>
        <v/>
      </c>
      <c r="C33" s="87" t="str" cm="1">
        <f t="array" ref="C33">IFERROR(INDEX(Overall!D$35:D$71,_xlfn.AGGREGATE(15,3,((Overall!$A$35:$A$71=12)/(Overall!$A$35:$A$71=12)*ROW(Overall!$A$35:$A$71))-ROW(Overall!$A$34), ROWS(Overall!$L$35:N39))),"")</f>
        <v/>
      </c>
      <c r="D33" s="62" t="str" cm="1">
        <f t="array" ref="D33">IFERROR(INDEX(Overall!E$35:E$71,_xlfn.AGGREGATE(15,3,((Overall!$A$35:$A$71=12)/(Overall!$A$35:$A$71=12)*ROW(Overall!$A$35:$A$71))-ROW(Overall!$A$34), ROWS(Overall!$L$35:O39))),"")</f>
        <v/>
      </c>
      <c r="E33" s="128" t="str" cm="1">
        <f t="array" ref="E33">IFERROR(INDEX(Overall!F$35:F$71,_xlfn.AGGREGATE(15,3,((Overall!$A$35:$A$71=12)/(Overall!$A$35:$A$71=12)*ROW(Overall!$A$35:$A$71))-ROW(Overall!$A$34), ROWS(Overall!$L$35:P39))),"")</f>
        <v/>
      </c>
      <c r="F33" s="129" t="str" cm="1">
        <f t="array" ref="F33">IFERROR(INDEX(Overall!G$35:G$71,_xlfn.AGGREGATE(15,3,((Overall!$A$35:$A$71=12)/(Overall!$A$35:$A$71=12)*ROW(Overall!$A$35:$A$71))-ROW(Overall!$A$34), ROWS(Overall!$L$35:Q39))),"")</f>
        <v/>
      </c>
      <c r="G33" s="96" t="str" cm="1">
        <f t="array" ref="G33">IFERROR(INDEX(Overall!H$35:H$71,_xlfn.AGGREGATE(15,3,((Overall!$A$35:$A$71=12)/(Overall!$A$35:$A$71=12)*ROW(Overall!$A$35:$A$71))-ROW(Overall!$A$34), ROWS(Overall!$L$35:R39))),"")</f>
        <v/>
      </c>
      <c r="H33" s="96" t="str" cm="1">
        <f t="array" ref="H33">IFERROR(INDEX(Overall!I$35:I$71,_xlfn.AGGREGATE(15,3,((Overall!$A$35:$A$71=12)/(Overall!$A$35:$A$71=12)*ROW(Overall!$A$35:$A$71))-ROW(Overall!$A$34), ROWS(Overall!$L$35:S39))),"")</f>
        <v/>
      </c>
      <c r="I33" s="62" t="str" cm="1">
        <f t="array" ref="I33">IFERROR(INDEX(Overall!J$35:J$71,_xlfn.AGGREGATE(15,3,((Overall!$A$35:$A$71=12)/(Overall!$A$35:$A$71=12)*ROW(Overall!$A$35:$A$71))-ROW(Overall!$A$34), ROWS(Overall!$L$35:T39))),"")</f>
        <v/>
      </c>
      <c r="J33" s="53" t="str" cm="1">
        <f t="array" ref="J33">IFERROR(INDEX(Overall!K$35:K$71,_xlfn.AGGREGATE(15,3,((Overall!$A$35:$A$71=12)/(Overall!$A$35:$A$71=12)*ROW(Overall!$A$35:$A$71))-ROW(Overall!$A$34),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IFERROR(INDEX(Overall!B$35:B$71,_xlfn.AGGREGATE(15,3,((Overall!$A$35:$A$71=12)/(Overall!$A$35:$A$71=12)*ROW(Overall!$A$35:$A$71))-ROW(Overall!$A$34), ROWS(Overall!$L$35:L40))),"")</f>
        <v/>
      </c>
      <c r="B34" s="60" t="str" cm="1">
        <f t="array" ref="B34">IFERROR(INDEX(Overall!C$35:C$71,_xlfn.AGGREGATE(15,3,((Overall!$A$35:$A$71=12)/(Overall!$A$35:$A$71=12)*ROW(Overall!$A$35:$A$71))-ROW(Overall!$A$34), ROWS(Overall!$L$35:M40))),"")</f>
        <v/>
      </c>
      <c r="C34" s="87" t="str" cm="1">
        <f t="array" ref="C34">IFERROR(INDEX(Overall!D$35:D$71,_xlfn.AGGREGATE(15,3,((Overall!$A$35:$A$71=12)/(Overall!$A$35:$A$71=12)*ROW(Overall!$A$35:$A$71))-ROW(Overall!$A$34), ROWS(Overall!$L$35:N40))),"")</f>
        <v/>
      </c>
      <c r="D34" s="62" t="str" cm="1">
        <f t="array" ref="D34">IFERROR(INDEX(Overall!E$35:E$71,_xlfn.AGGREGATE(15,3,((Overall!$A$35:$A$71=12)/(Overall!$A$35:$A$71=12)*ROW(Overall!$A$35:$A$71))-ROW(Overall!$A$34), ROWS(Overall!$L$35:O40))),"")</f>
        <v/>
      </c>
      <c r="E34" s="128" t="str" cm="1">
        <f t="array" ref="E34">IFERROR(INDEX(Overall!F$35:F$71,_xlfn.AGGREGATE(15,3,((Overall!$A$35:$A$71=12)/(Overall!$A$35:$A$71=12)*ROW(Overall!$A$35:$A$71))-ROW(Overall!$A$34), ROWS(Overall!$L$35:P40))),"")</f>
        <v/>
      </c>
      <c r="F34" s="129" t="str" cm="1">
        <f t="array" ref="F34">IFERROR(INDEX(Overall!G$35:G$71,_xlfn.AGGREGATE(15,3,((Overall!$A$35:$A$71=12)/(Overall!$A$35:$A$71=12)*ROW(Overall!$A$35:$A$71))-ROW(Overall!$A$34), ROWS(Overall!$L$35:Q40))),"")</f>
        <v/>
      </c>
      <c r="G34" s="96" t="str" cm="1">
        <f t="array" ref="G34">IFERROR(INDEX(Overall!H$35:H$71,_xlfn.AGGREGATE(15,3,((Overall!$A$35:$A$71=12)/(Overall!$A$35:$A$71=12)*ROW(Overall!$A$35:$A$71))-ROW(Overall!$A$34), ROWS(Overall!$L$35:R40))),"")</f>
        <v/>
      </c>
      <c r="H34" s="96" t="str" cm="1">
        <f t="array" ref="H34">IFERROR(INDEX(Overall!I$35:I$71,_xlfn.AGGREGATE(15,3,((Overall!$A$35:$A$71=12)/(Overall!$A$35:$A$71=12)*ROW(Overall!$A$35:$A$71))-ROW(Overall!$A$34), ROWS(Overall!$L$35:S40))),"")</f>
        <v/>
      </c>
      <c r="I34" s="62" t="str" cm="1">
        <f t="array" ref="I34">IFERROR(INDEX(Overall!J$35:J$71,_xlfn.AGGREGATE(15,3,((Overall!$A$35:$A$71=12)/(Overall!$A$35:$A$71=12)*ROW(Overall!$A$35:$A$71))-ROW(Overall!$A$34), ROWS(Overall!$L$35:T40))),"")</f>
        <v/>
      </c>
      <c r="J34" s="53" t="str" cm="1">
        <f t="array" ref="J34">IFERROR(INDEX(Overall!K$35:K$71,_xlfn.AGGREGATE(15,3,((Overall!$A$35:$A$71=12)/(Overall!$A$35:$A$71=12)*ROW(Overall!$A$35:$A$71))-ROW(Overall!$A$34),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IFERROR(INDEX(Overall!B$35:B$71,_xlfn.AGGREGATE(15,3,((Overall!$A$35:$A$71=12)/(Overall!$A$35:$A$71=12)*ROW(Overall!$A$35:$A$71))-ROW(Overall!$A$34), ROWS(Overall!$L$35:L41))),"")</f>
        <v/>
      </c>
      <c r="B35" s="60" t="str" cm="1">
        <f t="array" ref="B35">IFERROR(INDEX(Overall!C$35:C$71,_xlfn.AGGREGATE(15,3,((Overall!$A$35:$A$71=12)/(Overall!$A$35:$A$71=12)*ROW(Overall!$A$35:$A$71))-ROW(Overall!$A$34), ROWS(Overall!$L$35:M41))),"")</f>
        <v/>
      </c>
      <c r="C35" s="87" t="str" cm="1">
        <f t="array" ref="C35">IFERROR(INDEX(Overall!D$35:D$71,_xlfn.AGGREGATE(15,3,((Overall!$A$35:$A$71=12)/(Overall!$A$35:$A$71=12)*ROW(Overall!$A$35:$A$71))-ROW(Overall!$A$34), ROWS(Overall!$L$35:N41))),"")</f>
        <v/>
      </c>
      <c r="D35" s="62" t="str" cm="1">
        <f t="array" ref="D35">IFERROR(INDEX(Overall!E$35:E$71,_xlfn.AGGREGATE(15,3,((Overall!$A$35:$A$71=12)/(Overall!$A$35:$A$71=12)*ROW(Overall!$A$35:$A$71))-ROW(Overall!$A$34), ROWS(Overall!$L$35:O41))),"")</f>
        <v/>
      </c>
      <c r="E35" s="128" t="str" cm="1">
        <f t="array" ref="E35">IFERROR(INDEX(Overall!F$35:F$71,_xlfn.AGGREGATE(15,3,((Overall!$A$35:$A$71=12)/(Overall!$A$35:$A$71=12)*ROW(Overall!$A$35:$A$71))-ROW(Overall!$A$34), ROWS(Overall!$L$35:P41))),"")</f>
        <v/>
      </c>
      <c r="F35" s="129" t="str" cm="1">
        <f t="array" ref="F35">IFERROR(INDEX(Overall!G$35:G$71,_xlfn.AGGREGATE(15,3,((Overall!$A$35:$A$71=12)/(Overall!$A$35:$A$71=12)*ROW(Overall!$A$35:$A$71))-ROW(Overall!$A$34), ROWS(Overall!$L$35:Q41))),"")</f>
        <v/>
      </c>
      <c r="G35" s="96" t="str" cm="1">
        <f t="array" ref="G35">IFERROR(INDEX(Overall!H$35:H$71,_xlfn.AGGREGATE(15,3,((Overall!$A$35:$A$71=12)/(Overall!$A$35:$A$71=12)*ROW(Overall!$A$35:$A$71))-ROW(Overall!$A$34), ROWS(Overall!$L$35:R41))),"")</f>
        <v/>
      </c>
      <c r="H35" s="96" t="str" cm="1">
        <f t="array" ref="H35">IFERROR(INDEX(Overall!I$35:I$71,_xlfn.AGGREGATE(15,3,((Overall!$A$35:$A$71=12)/(Overall!$A$35:$A$71=12)*ROW(Overall!$A$35:$A$71))-ROW(Overall!$A$34), ROWS(Overall!$L$35:S41))),"")</f>
        <v/>
      </c>
      <c r="I35" s="62" t="str" cm="1">
        <f t="array" ref="I35">IFERROR(INDEX(Overall!J$35:J$71,_xlfn.AGGREGATE(15,3,((Overall!$A$35:$A$71=12)/(Overall!$A$35:$A$71=12)*ROW(Overall!$A$35:$A$71))-ROW(Overall!$A$34), ROWS(Overall!$L$35:T41))),"")</f>
        <v/>
      </c>
      <c r="J35" s="53" t="str" cm="1">
        <f t="array" ref="J35">IFERROR(INDEX(Overall!K$35:K$71,_xlfn.AGGREGATE(15,3,((Overall!$A$35:$A$71=12)/(Overall!$A$35:$A$71=12)*ROW(Overall!$A$35:$A$71))-ROW(Overall!$A$34),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IFERROR(INDEX(Overall!B$35:B$71,_xlfn.AGGREGATE(15,3,((Overall!$A$35:$A$71=12)/(Overall!$A$35:$A$71=12)*ROW(Overall!$A$35:$A$71))-ROW(Overall!$A$34), ROWS(Overall!$L$35:L42))),"")</f>
        <v/>
      </c>
      <c r="B36" s="60" t="str" cm="1">
        <f t="array" ref="B36">IFERROR(INDEX(Overall!C$35:C$71,_xlfn.AGGREGATE(15,3,((Overall!$A$35:$A$71=12)/(Overall!$A$35:$A$71=12)*ROW(Overall!$A$35:$A$71))-ROW(Overall!$A$34), ROWS(Overall!$L$35:M42))),"")</f>
        <v/>
      </c>
      <c r="C36" s="87" t="str" cm="1">
        <f t="array" ref="C36">IFERROR(INDEX(Overall!D$35:D$71,_xlfn.AGGREGATE(15,3,((Overall!$A$35:$A$71=12)/(Overall!$A$35:$A$71=12)*ROW(Overall!$A$35:$A$71))-ROW(Overall!$A$34), ROWS(Overall!$L$35:N42))),"")</f>
        <v/>
      </c>
      <c r="D36" s="62" t="str" cm="1">
        <f t="array" ref="D36">IFERROR(INDEX(Overall!E$35:E$71,_xlfn.AGGREGATE(15,3,((Overall!$A$35:$A$71=12)/(Overall!$A$35:$A$71=12)*ROW(Overall!$A$35:$A$71))-ROW(Overall!$A$34), ROWS(Overall!$L$35:O42))),"")</f>
        <v/>
      </c>
      <c r="E36" s="128" t="str" cm="1">
        <f t="array" ref="E36">IFERROR(INDEX(Overall!F$35:F$71,_xlfn.AGGREGATE(15,3,((Overall!$A$35:$A$71=12)/(Overall!$A$35:$A$71=12)*ROW(Overall!$A$35:$A$71))-ROW(Overall!$A$34), ROWS(Overall!$L$35:P42))),"")</f>
        <v/>
      </c>
      <c r="F36" s="129" t="str" cm="1">
        <f t="array" ref="F36">IFERROR(INDEX(Overall!G$35:G$71,_xlfn.AGGREGATE(15,3,((Overall!$A$35:$A$71=12)/(Overall!$A$35:$A$71=12)*ROW(Overall!$A$35:$A$71))-ROW(Overall!$A$34), ROWS(Overall!$L$35:Q42))),"")</f>
        <v/>
      </c>
      <c r="G36" s="96" t="str" cm="1">
        <f t="array" ref="G36">IFERROR(INDEX(Overall!H$35:H$71,_xlfn.AGGREGATE(15,3,((Overall!$A$35:$A$71=12)/(Overall!$A$35:$A$71=12)*ROW(Overall!$A$35:$A$71))-ROW(Overall!$A$34), ROWS(Overall!$L$35:R42))),"")</f>
        <v/>
      </c>
      <c r="H36" s="96" t="str" cm="1">
        <f t="array" ref="H36">IFERROR(INDEX(Overall!I$35:I$71,_xlfn.AGGREGATE(15,3,((Overall!$A$35:$A$71=12)/(Overall!$A$35:$A$71=12)*ROW(Overall!$A$35:$A$71))-ROW(Overall!$A$34), ROWS(Overall!$L$35:S42))),"")</f>
        <v/>
      </c>
      <c r="I36" s="62" t="str" cm="1">
        <f t="array" ref="I36">IFERROR(INDEX(Overall!J$35:J$71,_xlfn.AGGREGATE(15,3,((Overall!$A$35:$A$71=12)/(Overall!$A$35:$A$71=12)*ROW(Overall!$A$35:$A$71))-ROW(Overall!$A$34), ROWS(Overall!$L$35:T42))),"")</f>
        <v/>
      </c>
      <c r="J36" s="53" t="str" cm="1">
        <f t="array" ref="J36">IFERROR(INDEX(Overall!K$35:K$71,_xlfn.AGGREGATE(15,3,((Overall!$A$35:$A$71=12)/(Overall!$A$35:$A$71=12)*ROW(Overall!$A$35:$A$71))-ROW(Overall!$A$34),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IFERROR(INDEX(Overall!B$35:B$71,_xlfn.AGGREGATE(15,3,((Overall!$A$35:$A$71=12)/(Overall!$A$35:$A$71=12)*ROW(Overall!$A$35:$A$71))-ROW(Overall!$A$34), ROWS(Overall!$L$35:L43))),"")</f>
        <v/>
      </c>
      <c r="B37" s="60" t="str" cm="1">
        <f t="array" ref="B37">IFERROR(INDEX(Overall!C$35:C$71,_xlfn.AGGREGATE(15,3,((Overall!$A$35:$A$71=12)/(Overall!$A$35:$A$71=12)*ROW(Overall!$A$35:$A$71))-ROW(Overall!$A$34), ROWS(Overall!$L$35:M43))),"")</f>
        <v/>
      </c>
      <c r="C37" s="87" t="str" cm="1">
        <f t="array" ref="C37">IFERROR(INDEX(Overall!D$35:D$71,_xlfn.AGGREGATE(15,3,((Overall!$A$35:$A$71=12)/(Overall!$A$35:$A$71=12)*ROW(Overall!$A$35:$A$71))-ROW(Overall!$A$34), ROWS(Overall!$L$35:N43))),"")</f>
        <v/>
      </c>
      <c r="D37" s="62" t="str" cm="1">
        <f t="array" ref="D37">IFERROR(INDEX(Overall!E$35:E$71,_xlfn.AGGREGATE(15,3,((Overall!$A$35:$A$71=12)/(Overall!$A$35:$A$71=12)*ROW(Overall!$A$35:$A$71))-ROW(Overall!$A$34), ROWS(Overall!$L$35:O43))),"")</f>
        <v/>
      </c>
      <c r="E37" s="128" t="str" cm="1">
        <f t="array" ref="E37">IFERROR(INDEX(Overall!F$35:F$71,_xlfn.AGGREGATE(15,3,((Overall!$A$35:$A$71=12)/(Overall!$A$35:$A$71=12)*ROW(Overall!$A$35:$A$71))-ROW(Overall!$A$34), ROWS(Overall!$L$35:P43))),"")</f>
        <v/>
      </c>
      <c r="F37" s="129" t="str" cm="1">
        <f t="array" ref="F37">IFERROR(INDEX(Overall!G$35:G$71,_xlfn.AGGREGATE(15,3,((Overall!$A$35:$A$71=12)/(Overall!$A$35:$A$71=12)*ROW(Overall!$A$35:$A$71))-ROW(Overall!$A$34), ROWS(Overall!$L$35:Q43))),"")</f>
        <v/>
      </c>
      <c r="G37" s="96" t="str" cm="1">
        <f t="array" ref="G37">IFERROR(INDEX(Overall!H$35:H$71,_xlfn.AGGREGATE(15,3,((Overall!$A$35:$A$71=12)/(Overall!$A$35:$A$71=12)*ROW(Overall!$A$35:$A$71))-ROW(Overall!$A$34), ROWS(Overall!$L$35:R43))),"")</f>
        <v/>
      </c>
      <c r="H37" s="96" t="str" cm="1">
        <f t="array" ref="H37">IFERROR(INDEX(Overall!I$35:I$71,_xlfn.AGGREGATE(15,3,((Overall!$A$35:$A$71=12)/(Overall!$A$35:$A$71=12)*ROW(Overall!$A$35:$A$71))-ROW(Overall!$A$34), ROWS(Overall!$L$35:S43))),"")</f>
        <v/>
      </c>
      <c r="I37" s="62" t="str" cm="1">
        <f t="array" ref="I37">IFERROR(INDEX(Overall!J$35:J$71,_xlfn.AGGREGATE(15,3,((Overall!$A$35:$A$71=12)/(Overall!$A$35:$A$71=12)*ROW(Overall!$A$35:$A$71))-ROW(Overall!$A$34), ROWS(Overall!$L$35:T43))),"")</f>
        <v/>
      </c>
      <c r="J37" s="53" t="str" cm="1">
        <f t="array" ref="J37">IFERROR(INDEX(Overall!K$35:K$71,_xlfn.AGGREGATE(15,3,((Overall!$A$35:$A$71=12)/(Overall!$A$35:$A$71=12)*ROW(Overall!$A$35:$A$71))-ROW(Overall!$A$34),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IFERROR(INDEX(Overall!B$35:B$71,_xlfn.AGGREGATE(15,3,((Overall!$A$35:$A$71=12)/(Overall!$A$35:$A$71=12)*ROW(Overall!$A$35:$A$71))-ROW(Overall!$A$34), ROWS(Overall!$L$35:L44))),"")</f>
        <v/>
      </c>
      <c r="B38" s="60" t="str" cm="1">
        <f t="array" ref="B38">IFERROR(INDEX(Overall!C$35:C$71,_xlfn.AGGREGATE(15,3,((Overall!$A$35:$A$71=12)/(Overall!$A$35:$A$71=12)*ROW(Overall!$A$35:$A$71))-ROW(Overall!$A$34), ROWS(Overall!$L$35:M44))),"")</f>
        <v/>
      </c>
      <c r="C38" s="87" t="str" cm="1">
        <f t="array" ref="C38">IFERROR(INDEX(Overall!D$35:D$71,_xlfn.AGGREGATE(15,3,((Overall!$A$35:$A$71=12)/(Overall!$A$35:$A$71=12)*ROW(Overall!$A$35:$A$71))-ROW(Overall!$A$34), ROWS(Overall!$L$35:N44))),"")</f>
        <v/>
      </c>
      <c r="D38" s="62" t="str" cm="1">
        <f t="array" ref="D38">IFERROR(INDEX(Overall!E$35:E$71,_xlfn.AGGREGATE(15,3,((Overall!$A$35:$A$71=12)/(Overall!$A$35:$A$71=12)*ROW(Overall!$A$35:$A$71))-ROW(Overall!$A$34), ROWS(Overall!$L$35:O44))),"")</f>
        <v/>
      </c>
      <c r="E38" s="128" t="str" cm="1">
        <f t="array" ref="E38">IFERROR(INDEX(Overall!F$35:F$71,_xlfn.AGGREGATE(15,3,((Overall!$A$35:$A$71=12)/(Overall!$A$35:$A$71=12)*ROW(Overall!$A$35:$A$71))-ROW(Overall!$A$34), ROWS(Overall!$L$35:P44))),"")</f>
        <v/>
      </c>
      <c r="F38" s="129" t="str" cm="1">
        <f t="array" ref="F38">IFERROR(INDEX(Overall!G$35:G$71,_xlfn.AGGREGATE(15,3,((Overall!$A$35:$A$71=12)/(Overall!$A$35:$A$71=12)*ROW(Overall!$A$35:$A$71))-ROW(Overall!$A$34), ROWS(Overall!$L$35:Q44))),"")</f>
        <v/>
      </c>
      <c r="G38" s="96" t="str" cm="1">
        <f t="array" ref="G38">IFERROR(INDEX(Overall!H$35:H$71,_xlfn.AGGREGATE(15,3,((Overall!$A$35:$A$71=12)/(Overall!$A$35:$A$71=12)*ROW(Overall!$A$35:$A$71))-ROW(Overall!$A$34), ROWS(Overall!$L$35:R44))),"")</f>
        <v/>
      </c>
      <c r="H38" s="96" t="str" cm="1">
        <f t="array" ref="H38">IFERROR(INDEX(Overall!I$35:I$71,_xlfn.AGGREGATE(15,3,((Overall!$A$35:$A$71=12)/(Overall!$A$35:$A$71=12)*ROW(Overall!$A$35:$A$71))-ROW(Overall!$A$34), ROWS(Overall!$L$35:S44))),"")</f>
        <v/>
      </c>
      <c r="I38" s="62" t="str" cm="1">
        <f t="array" ref="I38">IFERROR(INDEX(Overall!J$35:J$71,_xlfn.AGGREGATE(15,3,((Overall!$A$35:$A$71=12)/(Overall!$A$35:$A$71=12)*ROW(Overall!$A$35:$A$71))-ROW(Overall!$A$34), ROWS(Overall!$L$35:T44))),"")</f>
        <v/>
      </c>
      <c r="J38" s="53" t="str" cm="1">
        <f t="array" ref="J38">IFERROR(INDEX(Overall!K$35:K$71,_xlfn.AGGREGATE(15,3,((Overall!$A$35:$A$71=12)/(Overall!$A$35:$A$71=12)*ROW(Overall!$A$35:$A$71))-ROW(Overall!$A$34),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IFERROR(INDEX(Overall!B$35:B$71,_xlfn.AGGREGATE(15,3,((Overall!$A$35:$A$71=12)/(Overall!$A$35:$A$71=12)*ROW(Overall!$A$35:$A$71))-ROW(Overall!$A$34), ROWS(Overall!$L$35:L45))),"")</f>
        <v/>
      </c>
      <c r="B39" s="60" t="str" cm="1">
        <f t="array" ref="B39">IFERROR(INDEX(Overall!C$35:C$71,_xlfn.AGGREGATE(15,3,((Overall!$A$35:$A$71=12)/(Overall!$A$35:$A$71=12)*ROW(Overall!$A$35:$A$71))-ROW(Overall!$A$34), ROWS(Overall!$L$35:M45))),"")</f>
        <v/>
      </c>
      <c r="C39" s="87" t="str" cm="1">
        <f t="array" ref="C39">IFERROR(INDEX(Overall!D$35:D$71,_xlfn.AGGREGATE(15,3,((Overall!$A$35:$A$71=12)/(Overall!$A$35:$A$71=12)*ROW(Overall!$A$35:$A$71))-ROW(Overall!$A$34), ROWS(Overall!$L$35:N45))),"")</f>
        <v/>
      </c>
      <c r="D39" s="62" t="str" cm="1">
        <f t="array" ref="D39">IFERROR(INDEX(Overall!E$35:E$71,_xlfn.AGGREGATE(15,3,((Overall!$A$35:$A$71=12)/(Overall!$A$35:$A$71=12)*ROW(Overall!$A$35:$A$71))-ROW(Overall!$A$34), ROWS(Overall!$L$35:O45))),"")</f>
        <v/>
      </c>
      <c r="E39" s="128" t="str" cm="1">
        <f t="array" ref="E39">IFERROR(INDEX(Overall!F$35:F$71,_xlfn.AGGREGATE(15,3,((Overall!$A$35:$A$71=12)/(Overall!$A$35:$A$71=12)*ROW(Overall!$A$35:$A$71))-ROW(Overall!$A$34), ROWS(Overall!$L$35:P45))),"")</f>
        <v/>
      </c>
      <c r="F39" s="129" t="str" cm="1">
        <f t="array" ref="F39">IFERROR(INDEX(Overall!G$35:G$71,_xlfn.AGGREGATE(15,3,((Overall!$A$35:$A$71=12)/(Overall!$A$35:$A$71=12)*ROW(Overall!$A$35:$A$71))-ROW(Overall!$A$34), ROWS(Overall!$L$35:Q45))),"")</f>
        <v/>
      </c>
      <c r="G39" s="96" t="str" cm="1">
        <f t="array" ref="G39">IFERROR(INDEX(Overall!H$35:H$71,_xlfn.AGGREGATE(15,3,((Overall!$A$35:$A$71=12)/(Overall!$A$35:$A$71=12)*ROW(Overall!$A$35:$A$71))-ROW(Overall!$A$34), ROWS(Overall!$L$35:R45))),"")</f>
        <v/>
      </c>
      <c r="H39" s="96" t="str" cm="1">
        <f t="array" ref="H39">IFERROR(INDEX(Overall!I$35:I$71,_xlfn.AGGREGATE(15,3,((Overall!$A$35:$A$71=12)/(Overall!$A$35:$A$71=12)*ROW(Overall!$A$35:$A$71))-ROW(Overall!$A$34), ROWS(Overall!$L$35:S45))),"")</f>
        <v/>
      </c>
      <c r="I39" s="62" t="str" cm="1">
        <f t="array" ref="I39">IFERROR(INDEX(Overall!J$35:J$71,_xlfn.AGGREGATE(15,3,((Overall!$A$35:$A$71=12)/(Overall!$A$35:$A$71=12)*ROW(Overall!$A$35:$A$71))-ROW(Overall!$A$34), ROWS(Overall!$L$35:T45))),"")</f>
        <v/>
      </c>
      <c r="J39" s="53" t="str" cm="1">
        <f t="array" ref="J39">IFERROR(INDEX(Overall!K$35:K$71,_xlfn.AGGREGATE(15,3,((Overall!$A$35:$A$71=12)/(Overall!$A$35:$A$71=12)*ROW(Overall!$A$35:$A$71))-ROW(Overall!$A$34),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IFERROR(INDEX(Overall!B$35:B$71,_xlfn.AGGREGATE(15,3,((Overall!$A$35:$A$71=12)/(Overall!$A$35:$A$71=12)*ROW(Overall!$A$35:$A$71))-ROW(Overall!$A$34), ROWS(Overall!$L$35:L46))),"")</f>
        <v/>
      </c>
      <c r="B40" s="60" t="str" cm="1">
        <f t="array" ref="B40">IFERROR(INDEX(Overall!C$35:C$71,_xlfn.AGGREGATE(15,3,((Overall!$A$35:$A$71=12)/(Overall!$A$35:$A$71=12)*ROW(Overall!$A$35:$A$71))-ROW(Overall!$A$34), ROWS(Overall!$L$35:M46))),"")</f>
        <v/>
      </c>
      <c r="C40" s="87" t="str" cm="1">
        <f t="array" ref="C40">IFERROR(INDEX(Overall!D$35:D$71,_xlfn.AGGREGATE(15,3,((Overall!$A$35:$A$71=12)/(Overall!$A$35:$A$71=12)*ROW(Overall!$A$35:$A$71))-ROW(Overall!$A$34), ROWS(Overall!$L$35:N46))),"")</f>
        <v/>
      </c>
      <c r="D40" s="62" t="str" cm="1">
        <f t="array" ref="D40">IFERROR(INDEX(Overall!E$35:E$71,_xlfn.AGGREGATE(15,3,((Overall!$A$35:$A$71=12)/(Overall!$A$35:$A$71=12)*ROW(Overall!$A$35:$A$71))-ROW(Overall!$A$34), ROWS(Overall!$L$35:O46))),"")</f>
        <v/>
      </c>
      <c r="E40" s="128" t="str" cm="1">
        <f t="array" ref="E40">IFERROR(INDEX(Overall!F$35:F$71,_xlfn.AGGREGATE(15,3,((Overall!$A$35:$A$71=12)/(Overall!$A$35:$A$71=12)*ROW(Overall!$A$35:$A$71))-ROW(Overall!$A$34), ROWS(Overall!$L$35:P46))),"")</f>
        <v/>
      </c>
      <c r="F40" s="129" t="str" cm="1">
        <f t="array" ref="F40">IFERROR(INDEX(Overall!G$35:G$71,_xlfn.AGGREGATE(15,3,((Overall!$A$35:$A$71=12)/(Overall!$A$35:$A$71=12)*ROW(Overall!$A$35:$A$71))-ROW(Overall!$A$34), ROWS(Overall!$L$35:Q46))),"")</f>
        <v/>
      </c>
      <c r="G40" s="96" t="str" cm="1">
        <f t="array" ref="G40">IFERROR(INDEX(Overall!H$35:H$71,_xlfn.AGGREGATE(15,3,((Overall!$A$35:$A$71=12)/(Overall!$A$35:$A$71=12)*ROW(Overall!$A$35:$A$71))-ROW(Overall!$A$34), ROWS(Overall!$L$35:R46))),"")</f>
        <v/>
      </c>
      <c r="H40" s="96" t="str" cm="1">
        <f t="array" ref="H40">IFERROR(INDEX(Overall!I$35:I$71,_xlfn.AGGREGATE(15,3,((Overall!$A$35:$A$71=12)/(Overall!$A$35:$A$71=12)*ROW(Overall!$A$35:$A$71))-ROW(Overall!$A$34), ROWS(Overall!$L$35:S46))),"")</f>
        <v/>
      </c>
      <c r="I40" s="62" t="str" cm="1">
        <f t="array" ref="I40">IFERROR(INDEX(Overall!J$35:J$71,_xlfn.AGGREGATE(15,3,((Overall!$A$35:$A$71=12)/(Overall!$A$35:$A$71=12)*ROW(Overall!$A$35:$A$71))-ROW(Overall!$A$34), ROWS(Overall!$L$35:T46))),"")</f>
        <v/>
      </c>
      <c r="J40" s="53" t="str" cm="1">
        <f t="array" ref="J40">IFERROR(INDEX(Overall!K$35:K$71,_xlfn.AGGREGATE(15,3,((Overall!$A$35:$A$71=12)/(Overall!$A$35:$A$71=12)*ROW(Overall!$A$35:$A$71))-ROW(Overall!$A$34),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IFERROR(INDEX(Overall!B$35:B$71,_xlfn.AGGREGATE(15,3,((Overall!$A$35:$A$71=12)/(Overall!$A$35:$A$71=12)*ROW(Overall!$A$35:$A$71))-ROW(Overall!$A$34), ROWS(Overall!$L$35:L47))),"")</f>
        <v/>
      </c>
      <c r="B41" s="60" t="str" cm="1">
        <f t="array" ref="B41">IFERROR(INDEX(Overall!C$35:C$71,_xlfn.AGGREGATE(15,3,((Overall!$A$35:$A$71=12)/(Overall!$A$35:$A$71=12)*ROW(Overall!$A$35:$A$71))-ROW(Overall!$A$34), ROWS(Overall!$L$35:M47))),"")</f>
        <v/>
      </c>
      <c r="C41" s="87" t="str" cm="1">
        <f t="array" ref="C41">IFERROR(INDEX(Overall!D$35:D$71,_xlfn.AGGREGATE(15,3,((Overall!$A$35:$A$71=12)/(Overall!$A$35:$A$71=12)*ROW(Overall!$A$35:$A$71))-ROW(Overall!$A$34), ROWS(Overall!$L$35:N47))),"")</f>
        <v/>
      </c>
      <c r="D41" s="62" t="str" cm="1">
        <f t="array" ref="D41">IFERROR(INDEX(Overall!E$35:E$71,_xlfn.AGGREGATE(15,3,((Overall!$A$35:$A$71=12)/(Overall!$A$35:$A$71=12)*ROW(Overall!$A$35:$A$71))-ROW(Overall!$A$34), ROWS(Overall!$L$35:O47))),"")</f>
        <v/>
      </c>
      <c r="E41" s="128" t="str" cm="1">
        <f t="array" ref="E41">IFERROR(INDEX(Overall!F$35:F$71,_xlfn.AGGREGATE(15,3,((Overall!$A$35:$A$71=12)/(Overall!$A$35:$A$71=12)*ROW(Overall!$A$35:$A$71))-ROW(Overall!$A$34), ROWS(Overall!$L$35:P47))),"")</f>
        <v/>
      </c>
      <c r="F41" s="129" t="str" cm="1">
        <f t="array" ref="F41">IFERROR(INDEX(Overall!G$35:G$71,_xlfn.AGGREGATE(15,3,((Overall!$A$35:$A$71=12)/(Overall!$A$35:$A$71=12)*ROW(Overall!$A$35:$A$71))-ROW(Overall!$A$34), ROWS(Overall!$L$35:Q47))),"")</f>
        <v/>
      </c>
      <c r="G41" s="96" t="str" cm="1">
        <f t="array" ref="G41">IFERROR(INDEX(Overall!H$35:H$71,_xlfn.AGGREGATE(15,3,((Overall!$A$35:$A$71=12)/(Overall!$A$35:$A$71=12)*ROW(Overall!$A$35:$A$71))-ROW(Overall!$A$34), ROWS(Overall!$L$35:R47))),"")</f>
        <v/>
      </c>
      <c r="H41" s="96" t="str" cm="1">
        <f t="array" ref="H41">IFERROR(INDEX(Overall!I$35:I$71,_xlfn.AGGREGATE(15,3,((Overall!$A$35:$A$71=12)/(Overall!$A$35:$A$71=12)*ROW(Overall!$A$35:$A$71))-ROW(Overall!$A$34), ROWS(Overall!$L$35:S47))),"")</f>
        <v/>
      </c>
      <c r="I41" s="62" t="str" cm="1">
        <f t="array" ref="I41">IFERROR(INDEX(Overall!J$35:J$71,_xlfn.AGGREGATE(15,3,((Overall!$A$35:$A$71=12)/(Overall!$A$35:$A$71=12)*ROW(Overall!$A$35:$A$71))-ROW(Overall!$A$34), ROWS(Overall!$L$35:T47))),"")</f>
        <v/>
      </c>
      <c r="J41" s="53" t="str" cm="1">
        <f t="array" ref="J41">IFERROR(INDEX(Overall!K$35:K$71,_xlfn.AGGREGATE(15,3,((Overall!$A$35:$A$71=12)/(Overall!$A$35:$A$71=12)*ROW(Overall!$A$35:$A$71))-ROW(Overall!$A$34),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IFERROR(INDEX(Overall!B$35:B$71,_xlfn.AGGREGATE(15,3,((Overall!$A$35:$A$71=12)/(Overall!$A$35:$A$71=12)*ROW(Overall!$A$35:$A$71))-ROW(Overall!$A$34), ROWS(Overall!$L$35:L48))),"")</f>
        <v/>
      </c>
      <c r="B42" s="60" t="str" cm="1">
        <f t="array" ref="B42">IFERROR(INDEX(Overall!C$35:C$71,_xlfn.AGGREGATE(15,3,((Overall!$A$35:$A$71=12)/(Overall!$A$35:$A$71=12)*ROW(Overall!$A$35:$A$71))-ROW(Overall!$A$34), ROWS(Overall!$L$35:M48))),"")</f>
        <v/>
      </c>
      <c r="C42" s="87" t="str" cm="1">
        <f t="array" ref="C42">IFERROR(INDEX(Overall!D$35:D$71,_xlfn.AGGREGATE(15,3,((Overall!$A$35:$A$71=12)/(Overall!$A$35:$A$71=12)*ROW(Overall!$A$35:$A$71))-ROW(Overall!$A$34), ROWS(Overall!$L$35:N48))),"")</f>
        <v/>
      </c>
      <c r="D42" s="62" t="str" cm="1">
        <f t="array" ref="D42">IFERROR(INDEX(Overall!E$35:E$71,_xlfn.AGGREGATE(15,3,((Overall!$A$35:$A$71=12)/(Overall!$A$35:$A$71=12)*ROW(Overall!$A$35:$A$71))-ROW(Overall!$A$34), ROWS(Overall!$L$35:O48))),"")</f>
        <v/>
      </c>
      <c r="E42" s="128" t="str" cm="1">
        <f t="array" ref="E42">IFERROR(INDEX(Overall!F$35:F$71,_xlfn.AGGREGATE(15,3,((Overall!$A$35:$A$71=12)/(Overall!$A$35:$A$71=12)*ROW(Overall!$A$35:$A$71))-ROW(Overall!$A$34), ROWS(Overall!$L$35:P48))),"")</f>
        <v/>
      </c>
      <c r="F42" s="129" t="str" cm="1">
        <f t="array" ref="F42">IFERROR(INDEX(Overall!G$35:G$71,_xlfn.AGGREGATE(15,3,((Overall!$A$35:$A$71=12)/(Overall!$A$35:$A$71=12)*ROW(Overall!$A$35:$A$71))-ROW(Overall!$A$34), ROWS(Overall!$L$35:Q48))),"")</f>
        <v/>
      </c>
      <c r="G42" s="96" t="str" cm="1">
        <f t="array" ref="G42">IFERROR(INDEX(Overall!H$35:H$71,_xlfn.AGGREGATE(15,3,((Overall!$A$35:$A$71=12)/(Overall!$A$35:$A$71=12)*ROW(Overall!$A$35:$A$71))-ROW(Overall!$A$34), ROWS(Overall!$L$35:R48))),"")</f>
        <v/>
      </c>
      <c r="H42" s="96" t="str" cm="1">
        <f t="array" ref="H42">IFERROR(INDEX(Overall!I$35:I$71,_xlfn.AGGREGATE(15,3,((Overall!$A$35:$A$71=12)/(Overall!$A$35:$A$71=12)*ROW(Overall!$A$35:$A$71))-ROW(Overall!$A$34), ROWS(Overall!$L$35:S48))),"")</f>
        <v/>
      </c>
      <c r="I42" s="62" t="str" cm="1">
        <f t="array" ref="I42">IFERROR(INDEX(Overall!J$35:J$71,_xlfn.AGGREGATE(15,3,((Overall!$A$35:$A$71=12)/(Overall!$A$35:$A$71=12)*ROW(Overall!$A$35:$A$71))-ROW(Overall!$A$34), ROWS(Overall!$L$35:T48))),"")</f>
        <v/>
      </c>
      <c r="J42" s="53" t="str" cm="1">
        <f t="array" ref="J42">IFERROR(INDEX(Overall!K$35:K$71,_xlfn.AGGREGATE(15,3,((Overall!$A$35:$A$71=12)/(Overall!$A$35:$A$71=12)*ROW(Overall!$A$35:$A$71))-ROW(Overall!$A$34),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IFERROR(INDEX(Overall!B$35:B$71,_xlfn.AGGREGATE(15,3,((Overall!$A$35:$A$71=12)/(Overall!$A$35:$A$71=12)*ROW(Overall!$A$35:$A$71))-ROW(Overall!$A$34), ROWS(Overall!$L$35:L49))),"")</f>
        <v/>
      </c>
      <c r="B43" s="60" t="str" cm="1">
        <f t="array" ref="B43">IFERROR(INDEX(Overall!C$35:C$71,_xlfn.AGGREGATE(15,3,((Overall!$A$35:$A$71=12)/(Overall!$A$35:$A$71=12)*ROW(Overall!$A$35:$A$71))-ROW(Overall!$A$34), ROWS(Overall!$L$35:M49))),"")</f>
        <v/>
      </c>
      <c r="C43" s="87" t="str" cm="1">
        <f t="array" ref="C43">IFERROR(INDEX(Overall!D$35:D$71,_xlfn.AGGREGATE(15,3,((Overall!$A$35:$A$71=12)/(Overall!$A$35:$A$71=12)*ROW(Overall!$A$35:$A$71))-ROW(Overall!$A$34), ROWS(Overall!$L$35:N49))),"")</f>
        <v/>
      </c>
      <c r="D43" s="62" t="str" cm="1">
        <f t="array" ref="D43">IFERROR(INDEX(Overall!E$35:E$71,_xlfn.AGGREGATE(15,3,((Overall!$A$35:$A$71=12)/(Overall!$A$35:$A$71=12)*ROW(Overall!$A$35:$A$71))-ROW(Overall!$A$34), ROWS(Overall!$L$35:O49))),"")</f>
        <v/>
      </c>
      <c r="E43" s="128" t="str" cm="1">
        <f t="array" ref="E43">IFERROR(INDEX(Overall!F$35:F$71,_xlfn.AGGREGATE(15,3,((Overall!$A$35:$A$71=12)/(Overall!$A$35:$A$71=12)*ROW(Overall!$A$35:$A$71))-ROW(Overall!$A$34), ROWS(Overall!$L$35:P49))),"")</f>
        <v/>
      </c>
      <c r="F43" s="129" t="str" cm="1">
        <f t="array" ref="F43">IFERROR(INDEX(Overall!G$35:G$71,_xlfn.AGGREGATE(15,3,((Overall!$A$35:$A$71=12)/(Overall!$A$35:$A$71=12)*ROW(Overall!$A$35:$A$71))-ROW(Overall!$A$34), ROWS(Overall!$L$35:Q49))),"")</f>
        <v/>
      </c>
      <c r="G43" s="96" t="str" cm="1">
        <f t="array" ref="G43">IFERROR(INDEX(Overall!H$35:H$71,_xlfn.AGGREGATE(15,3,((Overall!$A$35:$A$71=12)/(Overall!$A$35:$A$71=12)*ROW(Overall!$A$35:$A$71))-ROW(Overall!$A$34), ROWS(Overall!$L$35:R49))),"")</f>
        <v/>
      </c>
      <c r="H43" s="96" t="str" cm="1">
        <f t="array" ref="H43">IFERROR(INDEX(Overall!I$35:I$71,_xlfn.AGGREGATE(15,3,((Overall!$A$35:$A$71=12)/(Overall!$A$35:$A$71=12)*ROW(Overall!$A$35:$A$71))-ROW(Overall!$A$34), ROWS(Overall!$L$35:S49))),"")</f>
        <v/>
      </c>
      <c r="I43" s="62" t="str" cm="1">
        <f t="array" ref="I43">IFERROR(INDEX(Overall!J$35:J$71,_xlfn.AGGREGATE(15,3,((Overall!$A$35:$A$71=12)/(Overall!$A$35:$A$71=12)*ROW(Overall!$A$35:$A$71))-ROW(Overall!$A$34), ROWS(Overall!$L$35:T49))),"")</f>
        <v/>
      </c>
      <c r="J43" s="53" t="str" cm="1">
        <f t="array" ref="J43">IFERROR(INDEX(Overall!K$35:K$71,_xlfn.AGGREGATE(15,3,((Overall!$A$35:$A$71=12)/(Overall!$A$35:$A$71=12)*ROW(Overall!$A$35:$A$71))-ROW(Overall!$A$34),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IFERROR(INDEX(Overall!B$35:B$71,_xlfn.AGGREGATE(15,3,((Overall!$A$35:$A$71=12)/(Overall!$A$35:$A$71=12)*ROW(Overall!$A$35:$A$71))-ROW(Overall!$A$34), ROWS(Overall!$L$35:L50))),"")</f>
        <v/>
      </c>
      <c r="B44" s="61" t="str" cm="1">
        <f t="array" ref="B44">IFERROR(INDEX(Overall!C$35:C$71,_xlfn.AGGREGATE(15,3,((Overall!$A$35:$A$71=12)/(Overall!$A$35:$A$71=12)*ROW(Overall!$A$35:$A$71))-ROW(Overall!$A$34), ROWS(Overall!$L$35:M50))),"")</f>
        <v/>
      </c>
      <c r="C44" s="88" t="str" cm="1">
        <f t="array" ref="C44">IFERROR(INDEX(Overall!D$35:D$71,_xlfn.AGGREGATE(15,3,((Overall!$A$35:$A$71=12)/(Overall!$A$35:$A$71=12)*ROW(Overall!$A$35:$A$71))-ROW(Overall!$A$34), ROWS(Overall!$L$35:N50))),"")</f>
        <v/>
      </c>
      <c r="D44" s="63" t="str" cm="1">
        <f t="array" ref="D44">IFERROR(INDEX(Overall!E$35:E$71,_xlfn.AGGREGATE(15,3,((Overall!$A$35:$A$71=12)/(Overall!$A$35:$A$71=12)*ROW(Overall!$A$35:$A$71))-ROW(Overall!$A$34), ROWS(Overall!$L$35:O50))),"")</f>
        <v/>
      </c>
      <c r="E44" s="130" t="str" cm="1">
        <f t="array" ref="E44">IFERROR(INDEX(Overall!F$35:F$71,_xlfn.AGGREGATE(15,3,((Overall!$A$35:$A$71=12)/(Overall!$A$35:$A$71=12)*ROW(Overall!$A$35:$A$71))-ROW(Overall!$A$34), ROWS(Overall!$L$35:P50))),"")</f>
        <v/>
      </c>
      <c r="F44" s="131" t="str" cm="1">
        <f t="array" ref="F44">IFERROR(INDEX(Overall!G$35:G$71,_xlfn.AGGREGATE(15,3,((Overall!$A$35:$A$71=12)/(Overall!$A$35:$A$71=12)*ROW(Overall!$A$35:$A$71))-ROW(Overall!$A$34), ROWS(Overall!$L$35:Q50))),"")</f>
        <v/>
      </c>
      <c r="G44" s="97" t="str" cm="1">
        <f t="array" ref="G44">IFERROR(INDEX(Overall!H$35:H$71,_xlfn.AGGREGATE(15,3,((Overall!$A$35:$A$71=12)/(Overall!$A$35:$A$71=12)*ROW(Overall!$A$35:$A$71))-ROW(Overall!$A$34), ROWS(Overall!$L$35:R50))),"")</f>
        <v/>
      </c>
      <c r="H44" s="97" t="str" cm="1">
        <f t="array" ref="H44">IFERROR(INDEX(Overall!I$35:I$71,_xlfn.AGGREGATE(15,3,((Overall!$A$35:$A$71=12)/(Overall!$A$35:$A$71=12)*ROW(Overall!$A$35:$A$71))-ROW(Overall!$A$34), ROWS(Overall!$L$35:S50))),"")</f>
        <v/>
      </c>
      <c r="I44" s="65" t="str" cm="1">
        <f t="array" ref="I44">IFERROR(INDEX(Overall!J$35:J$71,_xlfn.AGGREGATE(15,3,((Overall!$A$35:$A$71=12)/(Overall!$A$35:$A$71=12)*ROW(Overall!$A$35:$A$71))-ROW(Overall!$A$34), ROWS(Overall!$L$35:T50))),"")</f>
        <v/>
      </c>
      <c r="J44" s="54" t="str" cm="1">
        <f t="array" ref="J44">IFERROR(INDEX(Overall!K$35:K$71,_xlfn.AGGREGATE(15,3,((Overall!$A$35:$A$71=12)/(Overall!$A$35:$A$71=12)*ROW(Overall!$A$35:$A$71))-ROW(Overall!$A$34),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/>
      <c r="J47" s="52"/>
    </row>
    <row r="48" spans="1:10" x14ac:dyDescent="0.25">
      <c r="A48" s="67"/>
      <c r="B48" s="72"/>
      <c r="C48" s="98"/>
      <c r="D48" s="100"/>
      <c r="H48" s="52"/>
      <c r="I48" s="50"/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</sheetData>
  <sortState xmlns:xlrd2="http://schemas.microsoft.com/office/spreadsheetml/2017/richdata2" ref="A29:J44">
    <sortCondition ref="B29:B44"/>
    <sortCondition ref="A29:A44"/>
    <sortCondition ref="C29:C44"/>
  </sortState>
  <mergeCells count="46">
    <mergeCell ref="C53:D53"/>
    <mergeCell ref="C54:D54"/>
    <mergeCell ref="C55:D55"/>
    <mergeCell ref="C56:D56"/>
    <mergeCell ref="C47:D47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E47:H47"/>
    <mergeCell ref="A46:H46"/>
    <mergeCell ref="C60:D60"/>
    <mergeCell ref="C61:D61"/>
    <mergeCell ref="C57:D57"/>
    <mergeCell ref="C58:D58"/>
    <mergeCell ref="C59:D59"/>
  </mergeCells>
  <conditionalFormatting sqref="A29:J43">
    <cfRule type="cellIs" dxfId="33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A608-0B99-4D8F-BA5D-63798B043AF4}">
  <sheetPr codeName="Sheet11">
    <pageSetUpPr autoPageBreaks="0"/>
  </sheetPr>
  <dimension ref="A1:J61"/>
  <sheetViews>
    <sheetView showGridLines="0" zoomScale="110" zoomScaleNormal="110" workbookViewId="0">
      <selection activeCell="M15" sqref="M15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6" t="str">
        <f>Overall!C1</f>
        <v>3/19/23-3/25/23</v>
      </c>
      <c r="C1" s="156"/>
    </row>
    <row r="2" spans="1:10" x14ac:dyDescent="0.25">
      <c r="A2" s="134" t="s">
        <v>172</v>
      </c>
      <c r="B2" s="157">
        <f ca="1">TODAY()</f>
        <v>45118</v>
      </c>
      <c r="C2" s="157"/>
      <c r="F2" s="158" t="s">
        <v>177</v>
      </c>
      <c r="G2" s="159"/>
      <c r="H2" s="159"/>
      <c r="I2" s="160"/>
    </row>
    <row r="3" spans="1:10" x14ac:dyDescent="0.25">
      <c r="A3" s="134" t="s">
        <v>1</v>
      </c>
      <c r="B3" s="175" t="s">
        <v>138</v>
      </c>
      <c r="C3" s="175"/>
      <c r="F3" s="74">
        <f>IFERROR(VLOOKUP($B$3,Totals!$B$3:$C$11,2,0),0)</f>
        <v>1817</v>
      </c>
      <c r="G3" s="163" t="s">
        <v>4</v>
      </c>
      <c r="H3" s="163"/>
      <c r="I3" s="164"/>
    </row>
    <row r="4" spans="1:10" x14ac:dyDescent="0.25">
      <c r="F4" s="74">
        <f>VLOOKUP($B$3,Totals!$E$3:$F$12,2,0)</f>
        <v>3000</v>
      </c>
      <c r="G4" s="163" t="s">
        <v>5</v>
      </c>
      <c r="H4" s="163"/>
      <c r="I4" s="164"/>
    </row>
    <row r="5" spans="1:10" x14ac:dyDescent="0.25">
      <c r="A5" s="155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12770</v>
      </c>
      <c r="G5" s="165" t="s">
        <v>176</v>
      </c>
      <c r="H5" s="165"/>
      <c r="I5" s="166"/>
    </row>
    <row r="6" spans="1:10" x14ac:dyDescent="0.25">
      <c r="A6" s="155"/>
      <c r="B6" s="76">
        <f>VLOOKUP($B$3,Totals!$V$48:$Y$57,2,0)</f>
        <v>1</v>
      </c>
      <c r="C6" s="71">
        <f>VLOOKUP($B$3,Totals!$V$48:$Y$57,3,0)</f>
        <v>1</v>
      </c>
      <c r="D6" s="77">
        <f>VLOOKUP($B$3,Totals!$V$48:$Y$57,4,0)</f>
        <v>0</v>
      </c>
    </row>
    <row r="7" spans="1:10" x14ac:dyDescent="0.25">
      <c r="G7" s="92" t="s">
        <v>6</v>
      </c>
      <c r="H7" s="93">
        <f>F3/F4</f>
        <v>0.60566666666666669</v>
      </c>
    </row>
    <row r="8" spans="1:10" x14ac:dyDescent="0.25">
      <c r="A8" s="155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55"/>
      <c r="B9" s="81">
        <f>IFERROR(VLOOKUP($B$3,Totals!$L$3:$N$11,2,0),0)</f>
        <v>14.228893058161351</v>
      </c>
      <c r="C9" s="82">
        <f>IFERROR(VLOOKUP($B$3,Totals!$L$3:$N$11,3,0),0)</f>
        <v>14.228660924040721</v>
      </c>
      <c r="D9" s="83">
        <f>IFERROR(VLOOKUP('14'!$B$3,Totals!$P$4:$Y$12,10,0),0)</f>
        <v>19.651818936767096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8" t="s">
        <v>8</v>
      </c>
      <c r="B21" s="159"/>
      <c r="C21" s="159"/>
      <c r="D21" s="160"/>
      <c r="F21" s="158" t="s">
        <v>9</v>
      </c>
      <c r="G21" s="159"/>
      <c r="H21" s="159"/>
      <c r="I21" s="160"/>
    </row>
    <row r="22" spans="1:10" x14ac:dyDescent="0.25">
      <c r="A22" s="66">
        <v>1</v>
      </c>
      <c r="B22" s="69">
        <f>VLOOKUP($B$3&amp;A22,Totals!$G$49:$K$73,4,0)</f>
        <v>165</v>
      </c>
      <c r="C22" s="163" t="str">
        <f>VLOOKUP($B$3&amp;A22,Totals!$G$49:$K$73,5,0)</f>
        <v>Proof Cks/Lab</v>
      </c>
      <c r="D22" s="164"/>
      <c r="F22" s="66">
        <v>1</v>
      </c>
      <c r="G22" s="69">
        <f>VLOOKUP($B$3&amp;F22,Totals!$M$49:$Q$73,4,0)</f>
        <v>165</v>
      </c>
      <c r="H22" s="163" t="str">
        <f>VLOOKUP($B$3&amp;F22,Totals!$M$49:$Q$73,5,0)</f>
        <v>Proof Cks/Lab</v>
      </c>
      <c r="I22" s="164"/>
    </row>
    <row r="23" spans="1:10" x14ac:dyDescent="0.25">
      <c r="A23" s="67">
        <v>2</v>
      </c>
      <c r="B23" s="70">
        <f>VLOOKUP($B$3&amp;A23,Totals!$G$49:$K$73,4,0)</f>
        <v>135</v>
      </c>
      <c r="C23" s="163" t="str">
        <f>VLOOKUP($B$3&amp;A23,Totals!$G$49:$K$73,5,0)</f>
        <v>Other</v>
      </c>
      <c r="D23" s="164"/>
      <c r="F23" s="67">
        <v>2</v>
      </c>
      <c r="G23" s="70">
        <f>VLOOKUP($B$3&amp;F23,Totals!$M$49:$Q$73,4,0)</f>
        <v>135</v>
      </c>
      <c r="H23" s="163" t="str">
        <f>VLOOKUP($B$3&amp;F23,Totals!$M$49:$Q$73,5,0)</f>
        <v>Other</v>
      </c>
      <c r="I23" s="164"/>
    </row>
    <row r="24" spans="1:10" x14ac:dyDescent="0.25">
      <c r="A24" s="68">
        <v>3</v>
      </c>
      <c r="B24" s="71">
        <f>VLOOKUP($B$3&amp;A24,Totals!$G$49:$K$73,4,0)</f>
        <v>90</v>
      </c>
      <c r="C24" s="165" t="str">
        <f>VLOOKUP($B$3&amp;A24,Totals!$G$49:$K$73,5,0)</f>
        <v>QA Internal</v>
      </c>
      <c r="D24" s="166"/>
      <c r="F24" s="68">
        <v>3</v>
      </c>
      <c r="G24" s="71">
        <f>VLOOKUP($B$3&amp;F24,Totals!$M$49:$Q$73,4,0)</f>
        <v>90</v>
      </c>
      <c r="H24" s="165" t="str">
        <f>VLOOKUP($B$3&amp;F24,Totals!$M$49:$Q$73,5,0)</f>
        <v>QA Internal</v>
      </c>
      <c r="I24" s="166"/>
    </row>
    <row r="27" spans="1:10" x14ac:dyDescent="0.25">
      <c r="A27" s="156" t="s">
        <v>10</v>
      </c>
      <c r="B27" s="156"/>
      <c r="C27" s="156"/>
      <c r="D27" s="156"/>
      <c r="E27" s="156"/>
      <c r="F27" s="156"/>
      <c r="G27" s="156"/>
      <c r="H27" s="156"/>
      <c r="I27" s="156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IFERROR(INDEX(Overall!B$35:B$71,_xlfn.AGGREGATE(15,3,((Overall!$A$35:$A$71=14)/(Overall!$A$35:$A$71=14)*ROW(Overall!$A$35:$A$71))-ROW(Overall!$A$34), ROWS(Overall!$L$35:L35))),"")</f>
        <v/>
      </c>
      <c r="B29" s="60" t="str" cm="1">
        <f t="array" ref="B29">IFERROR(INDEX(Overall!C$35:C$71,_xlfn.AGGREGATE(15,3,((Overall!$A$35:$A$71=14)/(Overall!$A$35:$A$71=14)*ROW(Overall!$A$35:$A$71))-ROW(Overall!$A$34), ROWS(Overall!$L$35:M35))),"")</f>
        <v/>
      </c>
      <c r="C29" s="87" t="str" cm="1">
        <f t="array" ref="C29">IFERROR(INDEX(Overall!D$35:D$71,_xlfn.AGGREGATE(15,3,((Overall!$A$35:$A$71=14)/(Overall!$A$35:$A$71=14)*ROW(Overall!$A$35:$A$71))-ROW(Overall!$A$34), ROWS(Overall!$L$35:N35))),"")</f>
        <v/>
      </c>
      <c r="D29" s="62" t="str" cm="1">
        <f t="array" ref="D29">IFERROR(INDEX(Overall!E$35:E$71,_xlfn.AGGREGATE(15,3,((Overall!$A$35:$A$71=14)/(Overall!$A$35:$A$71=14)*ROW(Overall!$A$35:$A$71))-ROW(Overall!$A$34), ROWS(Overall!$L$35:O35))),"")</f>
        <v/>
      </c>
      <c r="E29" s="128" t="str" cm="1">
        <f t="array" ref="E29">IFERROR(INDEX(Overall!F$35:F$71,_xlfn.AGGREGATE(15,3,((Overall!$A$35:$A$71=14)/(Overall!$A$35:$A$71=14)*ROW(Overall!$A$35:$A$71))-ROW(Overall!$A$34), ROWS(Overall!$L$35:P35))),"")</f>
        <v/>
      </c>
      <c r="F29" s="129" t="str" cm="1">
        <f t="array" ref="F29">IFERROR(INDEX(Overall!G$35:G$71,_xlfn.AGGREGATE(15,3,((Overall!$A$35:$A$71=14)/(Overall!$A$35:$A$71=14)*ROW(Overall!$A$35:$A$71))-ROW(Overall!$A$34), ROWS(Overall!$L$35:Q35))),"")</f>
        <v/>
      </c>
      <c r="G29" s="96" t="str" cm="1">
        <f t="array" ref="G29">IFERROR(INDEX(Overall!H$35:H$71,_xlfn.AGGREGATE(15,3,((Overall!$A$35:$A$71=14)/(Overall!$A$35:$A$71=14)*ROW(Overall!$A$35:$A$71))-ROW(Overall!$A$34), ROWS(Overall!$L$35:R35))),"")</f>
        <v/>
      </c>
      <c r="H29" s="96" t="str" cm="1">
        <f t="array" ref="H29">IFERROR(INDEX(Overall!I$35:I$71,_xlfn.AGGREGATE(15,3,((Overall!$A$35:$A$71=14)/(Overall!$A$35:$A$71=14)*ROW(Overall!$A$35:$A$71))-ROW(Overall!$A$34), ROWS(Overall!$L$35:S35))),"")</f>
        <v/>
      </c>
      <c r="I29" s="62" t="str" cm="1">
        <f t="array" ref="I29">IFERROR(INDEX(Overall!J$35:J$71,_xlfn.AGGREGATE(15,3,((Overall!$A$35:$A$71=14)/(Overall!$A$35:$A$71=14)*ROW(Overall!$A$35:$A$71))-ROW(Overall!$A$34), ROWS(Overall!$L$35:T35))),"")</f>
        <v/>
      </c>
      <c r="J29" s="53" t="str" cm="1">
        <f t="array" ref="J29">IFERROR(INDEX(Overall!K$35:K$71,_xlfn.AGGREGATE(15,3,((Overall!$A$35:$A$71=14)/(Overall!$A$35:$A$71=14)*ROW(Overall!$A$35:$A$71))-ROW(Overall!$A$34),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IFERROR(INDEX(Overall!B$35:B$71,_xlfn.AGGREGATE(15,3,((Overall!$A$35:$A$71=14)/(Overall!$A$35:$A$71=14)*ROW(Overall!$A$35:$A$71))-ROW(Overall!$A$34), ROWS(Overall!$L$35:L36))),"")</f>
        <v/>
      </c>
      <c r="B30" s="60" t="str" cm="1">
        <f t="array" ref="B30">IFERROR(INDEX(Overall!C$35:C$71,_xlfn.AGGREGATE(15,3,((Overall!$A$35:$A$71=14)/(Overall!$A$35:$A$71=14)*ROW(Overall!$A$35:$A$71))-ROW(Overall!$A$34), ROWS(Overall!$L$35:M36))),"")</f>
        <v/>
      </c>
      <c r="C30" s="87" t="str" cm="1">
        <f t="array" ref="C30">IFERROR(INDEX(Overall!D$35:D$71,_xlfn.AGGREGATE(15,3,((Overall!$A$35:$A$71=14)/(Overall!$A$35:$A$71=14)*ROW(Overall!$A$35:$A$71))-ROW(Overall!$A$34), ROWS(Overall!$L$35:N36))),"")</f>
        <v/>
      </c>
      <c r="D30" s="62" t="str" cm="1">
        <f t="array" ref="D30">IFERROR(INDEX(Overall!E$35:E$71,_xlfn.AGGREGATE(15,3,((Overall!$A$35:$A$71=14)/(Overall!$A$35:$A$71=14)*ROW(Overall!$A$35:$A$71))-ROW(Overall!$A$34), ROWS(Overall!$L$35:O36))),"")</f>
        <v/>
      </c>
      <c r="E30" s="128" t="str" cm="1">
        <f t="array" ref="E30">IFERROR(INDEX(Overall!F$35:F$71,_xlfn.AGGREGATE(15,3,((Overall!$A$35:$A$71=14)/(Overall!$A$35:$A$71=14)*ROW(Overall!$A$35:$A$71))-ROW(Overall!$A$34), ROWS(Overall!$L$35:P36))),"")</f>
        <v/>
      </c>
      <c r="F30" s="129" t="str" cm="1">
        <f t="array" ref="F30">IFERROR(INDEX(Overall!G$35:G$71,_xlfn.AGGREGATE(15,3,((Overall!$A$35:$A$71=14)/(Overall!$A$35:$A$71=14)*ROW(Overall!$A$35:$A$71))-ROW(Overall!$A$34), ROWS(Overall!$L$35:Q36))),"")</f>
        <v/>
      </c>
      <c r="G30" s="96" t="str" cm="1">
        <f t="array" ref="G30">IFERROR(INDEX(Overall!H$35:H$71,_xlfn.AGGREGATE(15,3,((Overall!$A$35:$A$71=14)/(Overall!$A$35:$A$71=14)*ROW(Overall!$A$35:$A$71))-ROW(Overall!$A$34), ROWS(Overall!$L$35:R36))),"")</f>
        <v/>
      </c>
      <c r="H30" s="96" t="str" cm="1">
        <f t="array" ref="H30">IFERROR(INDEX(Overall!I$35:I$71,_xlfn.AGGREGATE(15,3,((Overall!$A$35:$A$71=14)/(Overall!$A$35:$A$71=14)*ROW(Overall!$A$35:$A$71))-ROW(Overall!$A$34), ROWS(Overall!$L$35:S36))),"")</f>
        <v/>
      </c>
      <c r="I30" s="62" t="str" cm="1">
        <f t="array" ref="I30">IFERROR(INDEX(Overall!J$35:J$71,_xlfn.AGGREGATE(15,3,((Overall!$A$35:$A$71=14)/(Overall!$A$35:$A$71=14)*ROW(Overall!$A$35:$A$71))-ROW(Overall!$A$34), ROWS(Overall!$L$35:T36))),"")</f>
        <v/>
      </c>
      <c r="J30" s="53" t="str" cm="1">
        <f t="array" ref="J30">IFERROR(INDEX(Overall!K$35:K$71,_xlfn.AGGREGATE(15,3,((Overall!$A$35:$A$71=14)/(Overall!$A$35:$A$71=14)*ROW(Overall!$A$35:$A$71))-ROW(Overall!$A$34),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IFERROR(INDEX(Overall!B$35:B$71,_xlfn.AGGREGATE(15,3,((Overall!$A$35:$A$71=14)/(Overall!$A$35:$A$71=14)*ROW(Overall!$A$35:$A$71))-ROW(Overall!$A$34), ROWS(Overall!$L$35:L37))),"")</f>
        <v/>
      </c>
      <c r="B31" s="60" t="str" cm="1">
        <f t="array" ref="B31">IFERROR(INDEX(Overall!C$35:C$71,_xlfn.AGGREGATE(15,3,((Overall!$A$35:$A$71=14)/(Overall!$A$35:$A$71=14)*ROW(Overall!$A$35:$A$71))-ROW(Overall!$A$34), ROWS(Overall!$L$35:M37))),"")</f>
        <v/>
      </c>
      <c r="C31" s="87" t="str" cm="1">
        <f t="array" ref="C31">IFERROR(INDEX(Overall!D$35:D$71,_xlfn.AGGREGATE(15,3,((Overall!$A$35:$A$71=14)/(Overall!$A$35:$A$71=14)*ROW(Overall!$A$35:$A$71))-ROW(Overall!$A$34), ROWS(Overall!$L$35:N37))),"")</f>
        <v/>
      </c>
      <c r="D31" s="62" t="str" cm="1">
        <f t="array" ref="D31">IFERROR(INDEX(Overall!E$35:E$71,_xlfn.AGGREGATE(15,3,((Overall!$A$35:$A$71=14)/(Overall!$A$35:$A$71=14)*ROW(Overall!$A$35:$A$71))-ROW(Overall!$A$34), ROWS(Overall!$L$35:O37))),"")</f>
        <v/>
      </c>
      <c r="E31" s="128" t="str" cm="1">
        <f t="array" ref="E31">IFERROR(INDEX(Overall!F$35:F$71,_xlfn.AGGREGATE(15,3,((Overall!$A$35:$A$71=14)/(Overall!$A$35:$A$71=14)*ROW(Overall!$A$35:$A$71))-ROW(Overall!$A$34), ROWS(Overall!$L$35:P37))),"")</f>
        <v/>
      </c>
      <c r="F31" s="129" t="str" cm="1">
        <f t="array" ref="F31">IFERROR(INDEX(Overall!G$35:G$71,_xlfn.AGGREGATE(15,3,((Overall!$A$35:$A$71=14)/(Overall!$A$35:$A$71=14)*ROW(Overall!$A$35:$A$71))-ROW(Overall!$A$34), ROWS(Overall!$L$35:Q37))),"")</f>
        <v/>
      </c>
      <c r="G31" s="96" t="str" cm="1">
        <f t="array" ref="G31">IFERROR(INDEX(Overall!H$35:H$71,_xlfn.AGGREGATE(15,3,((Overall!$A$35:$A$71=14)/(Overall!$A$35:$A$71=14)*ROW(Overall!$A$35:$A$71))-ROW(Overall!$A$34), ROWS(Overall!$L$35:R37))),"")</f>
        <v/>
      </c>
      <c r="H31" s="96" t="str" cm="1">
        <f t="array" ref="H31">IFERROR(INDEX(Overall!I$35:I$71,_xlfn.AGGREGATE(15,3,((Overall!$A$35:$A$71=14)/(Overall!$A$35:$A$71=14)*ROW(Overall!$A$35:$A$71))-ROW(Overall!$A$34), ROWS(Overall!$L$35:S37))),"")</f>
        <v/>
      </c>
      <c r="I31" s="62" t="str" cm="1">
        <f t="array" ref="I31">IFERROR(INDEX(Overall!J$35:J$71,_xlfn.AGGREGATE(15,3,((Overall!$A$35:$A$71=14)/(Overall!$A$35:$A$71=14)*ROW(Overall!$A$35:$A$71))-ROW(Overall!$A$34), ROWS(Overall!$L$35:T37))),"")</f>
        <v/>
      </c>
      <c r="J31" s="53" t="str" cm="1">
        <f t="array" ref="J31">IFERROR(INDEX(Overall!K$35:K$71,_xlfn.AGGREGATE(15,3,((Overall!$A$35:$A$71=14)/(Overall!$A$35:$A$71=14)*ROW(Overall!$A$35:$A$71))-ROW(Overall!$A$34),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IFERROR(INDEX(Overall!B$35:B$71,_xlfn.AGGREGATE(15,3,((Overall!$A$35:$A$71=14)/(Overall!$A$35:$A$71=14)*ROW(Overall!$A$35:$A$71))-ROW(Overall!$A$34), ROWS(Overall!$L$35:L38))),"")</f>
        <v/>
      </c>
      <c r="B32" s="60" t="str" cm="1">
        <f t="array" ref="B32">IFERROR(INDEX(Overall!C$35:C$71,_xlfn.AGGREGATE(15,3,((Overall!$A$35:$A$71=14)/(Overall!$A$35:$A$71=14)*ROW(Overall!$A$35:$A$71))-ROW(Overall!$A$34), ROWS(Overall!$L$35:M38))),"")</f>
        <v/>
      </c>
      <c r="C32" s="87" t="str" cm="1">
        <f t="array" ref="C32">IFERROR(INDEX(Overall!D$35:D$71,_xlfn.AGGREGATE(15,3,((Overall!$A$35:$A$71=14)/(Overall!$A$35:$A$71=14)*ROW(Overall!$A$35:$A$71))-ROW(Overall!$A$34), ROWS(Overall!$L$35:N38))),"")</f>
        <v/>
      </c>
      <c r="D32" s="62" t="str" cm="1">
        <f t="array" ref="D32">IFERROR(INDEX(Overall!E$35:E$71,_xlfn.AGGREGATE(15,3,((Overall!$A$35:$A$71=14)/(Overall!$A$35:$A$71=14)*ROW(Overall!$A$35:$A$71))-ROW(Overall!$A$34), ROWS(Overall!$L$35:O38))),"")</f>
        <v/>
      </c>
      <c r="E32" s="128" t="str" cm="1">
        <f t="array" ref="E32">IFERROR(INDEX(Overall!F$35:F$71,_xlfn.AGGREGATE(15,3,((Overall!$A$35:$A$71=14)/(Overall!$A$35:$A$71=14)*ROW(Overall!$A$35:$A$71))-ROW(Overall!$A$34), ROWS(Overall!$L$35:P38))),"")</f>
        <v/>
      </c>
      <c r="F32" s="129" t="str" cm="1">
        <f t="array" ref="F32">IFERROR(INDEX(Overall!G$35:G$71,_xlfn.AGGREGATE(15,3,((Overall!$A$35:$A$71=14)/(Overall!$A$35:$A$71=14)*ROW(Overall!$A$35:$A$71))-ROW(Overall!$A$34), ROWS(Overall!$L$35:Q38))),"")</f>
        <v/>
      </c>
      <c r="G32" s="96" t="str" cm="1">
        <f t="array" ref="G32">IFERROR(INDEX(Overall!H$35:H$71,_xlfn.AGGREGATE(15,3,((Overall!$A$35:$A$71=14)/(Overall!$A$35:$A$71=14)*ROW(Overall!$A$35:$A$71))-ROW(Overall!$A$34), ROWS(Overall!$L$35:R38))),"")</f>
        <v/>
      </c>
      <c r="H32" s="96" t="str" cm="1">
        <f t="array" ref="H32">IFERROR(INDEX(Overall!I$35:I$71,_xlfn.AGGREGATE(15,3,((Overall!$A$35:$A$71=14)/(Overall!$A$35:$A$71=14)*ROW(Overall!$A$35:$A$71))-ROW(Overall!$A$34), ROWS(Overall!$L$35:S38))),"")</f>
        <v/>
      </c>
      <c r="I32" s="62" t="str" cm="1">
        <f t="array" ref="I32">IFERROR(INDEX(Overall!J$35:J$71,_xlfn.AGGREGATE(15,3,((Overall!$A$35:$A$71=14)/(Overall!$A$35:$A$71=14)*ROW(Overall!$A$35:$A$71))-ROW(Overall!$A$34), ROWS(Overall!$L$35:T38))),"")</f>
        <v/>
      </c>
      <c r="J32" s="53" t="str" cm="1">
        <f t="array" ref="J32">IFERROR(INDEX(Overall!K$35:K$71,_xlfn.AGGREGATE(15,3,((Overall!$A$35:$A$71=14)/(Overall!$A$35:$A$71=14)*ROW(Overall!$A$35:$A$71))-ROW(Overall!$A$34),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IFERROR(INDEX(Overall!B$35:B$71,_xlfn.AGGREGATE(15,3,((Overall!$A$35:$A$71=14)/(Overall!$A$35:$A$71=14)*ROW(Overall!$A$35:$A$71))-ROW(Overall!$A$34), ROWS(Overall!$L$35:L39))),"")</f>
        <v/>
      </c>
      <c r="B33" s="60" t="str" cm="1">
        <f t="array" ref="B33">IFERROR(INDEX(Overall!C$35:C$71,_xlfn.AGGREGATE(15,3,((Overall!$A$35:$A$71=14)/(Overall!$A$35:$A$71=14)*ROW(Overall!$A$35:$A$71))-ROW(Overall!$A$34), ROWS(Overall!$L$35:M39))),"")</f>
        <v/>
      </c>
      <c r="C33" s="87" t="str" cm="1">
        <f t="array" ref="C33">IFERROR(INDEX(Overall!D$35:D$71,_xlfn.AGGREGATE(15,3,((Overall!$A$35:$A$71=14)/(Overall!$A$35:$A$71=14)*ROW(Overall!$A$35:$A$71))-ROW(Overall!$A$34), ROWS(Overall!$L$35:N39))),"")</f>
        <v/>
      </c>
      <c r="D33" s="62" t="str" cm="1">
        <f t="array" ref="D33">IFERROR(INDEX(Overall!E$35:E$71,_xlfn.AGGREGATE(15,3,((Overall!$A$35:$A$71=14)/(Overall!$A$35:$A$71=14)*ROW(Overall!$A$35:$A$71))-ROW(Overall!$A$34), ROWS(Overall!$L$35:O39))),"")</f>
        <v/>
      </c>
      <c r="E33" s="128" t="str" cm="1">
        <f t="array" ref="E33">IFERROR(INDEX(Overall!F$35:F$71,_xlfn.AGGREGATE(15,3,((Overall!$A$35:$A$71=14)/(Overall!$A$35:$A$71=14)*ROW(Overall!$A$35:$A$71))-ROW(Overall!$A$34), ROWS(Overall!$L$35:P39))),"")</f>
        <v/>
      </c>
      <c r="F33" s="129" t="str" cm="1">
        <f t="array" ref="F33">IFERROR(INDEX(Overall!G$35:G$71,_xlfn.AGGREGATE(15,3,((Overall!$A$35:$A$71=14)/(Overall!$A$35:$A$71=14)*ROW(Overall!$A$35:$A$71))-ROW(Overall!$A$34), ROWS(Overall!$L$35:Q39))),"")</f>
        <v/>
      </c>
      <c r="G33" s="96" t="str" cm="1">
        <f t="array" ref="G33">IFERROR(INDEX(Overall!H$35:H$71,_xlfn.AGGREGATE(15,3,((Overall!$A$35:$A$71=14)/(Overall!$A$35:$A$71=14)*ROW(Overall!$A$35:$A$71))-ROW(Overall!$A$34), ROWS(Overall!$L$35:R39))),"")</f>
        <v/>
      </c>
      <c r="H33" s="96" t="str" cm="1">
        <f t="array" ref="H33">IFERROR(INDEX(Overall!I$35:I$71,_xlfn.AGGREGATE(15,3,((Overall!$A$35:$A$71=14)/(Overall!$A$35:$A$71=14)*ROW(Overall!$A$35:$A$71))-ROW(Overall!$A$34), ROWS(Overall!$L$35:S39))),"")</f>
        <v/>
      </c>
      <c r="I33" s="62" t="str" cm="1">
        <f t="array" ref="I33">IFERROR(INDEX(Overall!J$35:J$71,_xlfn.AGGREGATE(15,3,((Overall!$A$35:$A$71=14)/(Overall!$A$35:$A$71=14)*ROW(Overall!$A$35:$A$71))-ROW(Overall!$A$34), ROWS(Overall!$L$35:T39))),"")</f>
        <v/>
      </c>
      <c r="J33" s="53" t="str" cm="1">
        <f t="array" ref="J33">IFERROR(INDEX(Overall!K$35:K$71,_xlfn.AGGREGATE(15,3,((Overall!$A$35:$A$71=14)/(Overall!$A$35:$A$71=14)*ROW(Overall!$A$35:$A$71))-ROW(Overall!$A$34),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IFERROR(INDEX(Overall!B$35:B$71,_xlfn.AGGREGATE(15,3,((Overall!$A$35:$A$71=14)/(Overall!$A$35:$A$71=14)*ROW(Overall!$A$35:$A$71))-ROW(Overall!$A$34), ROWS(Overall!$L$35:L40))),"")</f>
        <v/>
      </c>
      <c r="B34" s="60" t="str" cm="1">
        <f t="array" ref="B34">IFERROR(INDEX(Overall!C$35:C$71,_xlfn.AGGREGATE(15,3,((Overall!$A$35:$A$71=14)/(Overall!$A$35:$A$71=14)*ROW(Overall!$A$35:$A$71))-ROW(Overall!$A$34), ROWS(Overall!$L$35:M40))),"")</f>
        <v/>
      </c>
      <c r="C34" s="87" t="str" cm="1">
        <f t="array" ref="C34">IFERROR(INDEX(Overall!D$35:D$71,_xlfn.AGGREGATE(15,3,((Overall!$A$35:$A$71=14)/(Overall!$A$35:$A$71=14)*ROW(Overall!$A$35:$A$71))-ROW(Overall!$A$34), ROWS(Overall!$L$35:N40))),"")</f>
        <v/>
      </c>
      <c r="D34" s="62" t="str" cm="1">
        <f t="array" ref="D34">IFERROR(INDEX(Overall!E$35:E$71,_xlfn.AGGREGATE(15,3,((Overall!$A$35:$A$71=14)/(Overall!$A$35:$A$71=14)*ROW(Overall!$A$35:$A$71))-ROW(Overall!$A$34), ROWS(Overall!$L$35:O40))),"")</f>
        <v/>
      </c>
      <c r="E34" s="128" t="str" cm="1">
        <f t="array" ref="E34">IFERROR(INDEX(Overall!F$35:F$71,_xlfn.AGGREGATE(15,3,((Overall!$A$35:$A$71=14)/(Overall!$A$35:$A$71=14)*ROW(Overall!$A$35:$A$71))-ROW(Overall!$A$34), ROWS(Overall!$L$35:P40))),"")</f>
        <v/>
      </c>
      <c r="F34" s="129" t="str" cm="1">
        <f t="array" ref="F34">IFERROR(INDEX(Overall!G$35:G$71,_xlfn.AGGREGATE(15,3,((Overall!$A$35:$A$71=14)/(Overall!$A$35:$A$71=14)*ROW(Overall!$A$35:$A$71))-ROW(Overall!$A$34), ROWS(Overall!$L$35:Q40))),"")</f>
        <v/>
      </c>
      <c r="G34" s="96" t="str" cm="1">
        <f t="array" ref="G34">IFERROR(INDEX(Overall!H$35:H$71,_xlfn.AGGREGATE(15,3,((Overall!$A$35:$A$71=14)/(Overall!$A$35:$A$71=14)*ROW(Overall!$A$35:$A$71))-ROW(Overall!$A$34), ROWS(Overall!$L$35:R40))),"")</f>
        <v/>
      </c>
      <c r="H34" s="96" t="str" cm="1">
        <f t="array" ref="H34">IFERROR(INDEX(Overall!I$35:I$71,_xlfn.AGGREGATE(15,3,((Overall!$A$35:$A$71=14)/(Overall!$A$35:$A$71=14)*ROW(Overall!$A$35:$A$71))-ROW(Overall!$A$34), ROWS(Overall!$L$35:S40))),"")</f>
        <v/>
      </c>
      <c r="I34" s="62" t="str" cm="1">
        <f t="array" ref="I34">IFERROR(INDEX(Overall!J$35:J$71,_xlfn.AGGREGATE(15,3,((Overall!$A$35:$A$71=14)/(Overall!$A$35:$A$71=14)*ROW(Overall!$A$35:$A$71))-ROW(Overall!$A$34), ROWS(Overall!$L$35:T40))),"")</f>
        <v/>
      </c>
      <c r="J34" s="53" t="str" cm="1">
        <f t="array" ref="J34">IFERROR(INDEX(Overall!K$35:K$71,_xlfn.AGGREGATE(15,3,((Overall!$A$35:$A$71=14)/(Overall!$A$35:$A$71=14)*ROW(Overall!$A$35:$A$71))-ROW(Overall!$A$34),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IFERROR(INDEX(Overall!B$35:B$71,_xlfn.AGGREGATE(15,3,((Overall!$A$35:$A$71=14)/(Overall!$A$35:$A$71=14)*ROW(Overall!$A$35:$A$71))-ROW(Overall!$A$34), ROWS(Overall!$L$35:L41))),"")</f>
        <v/>
      </c>
      <c r="B35" s="60" t="str" cm="1">
        <f t="array" ref="B35">IFERROR(INDEX(Overall!C$35:C$71,_xlfn.AGGREGATE(15,3,((Overall!$A$35:$A$71=14)/(Overall!$A$35:$A$71=14)*ROW(Overall!$A$35:$A$71))-ROW(Overall!$A$34), ROWS(Overall!$L$35:M41))),"")</f>
        <v/>
      </c>
      <c r="C35" s="87" t="str" cm="1">
        <f t="array" ref="C35">IFERROR(INDEX(Overall!D$35:D$71,_xlfn.AGGREGATE(15,3,((Overall!$A$35:$A$71=14)/(Overall!$A$35:$A$71=14)*ROW(Overall!$A$35:$A$71))-ROW(Overall!$A$34), ROWS(Overall!$L$35:N41))),"")</f>
        <v/>
      </c>
      <c r="D35" s="62" t="str" cm="1">
        <f t="array" ref="D35">IFERROR(INDEX(Overall!E$35:E$71,_xlfn.AGGREGATE(15,3,((Overall!$A$35:$A$71=14)/(Overall!$A$35:$A$71=14)*ROW(Overall!$A$35:$A$71))-ROW(Overall!$A$34), ROWS(Overall!$L$35:O41))),"")</f>
        <v/>
      </c>
      <c r="E35" s="128" t="str" cm="1">
        <f t="array" ref="E35">IFERROR(INDEX(Overall!F$35:F$71,_xlfn.AGGREGATE(15,3,((Overall!$A$35:$A$71=14)/(Overall!$A$35:$A$71=14)*ROW(Overall!$A$35:$A$71))-ROW(Overall!$A$34), ROWS(Overall!$L$35:P41))),"")</f>
        <v/>
      </c>
      <c r="F35" s="129" t="str" cm="1">
        <f t="array" ref="F35">IFERROR(INDEX(Overall!G$35:G$71,_xlfn.AGGREGATE(15,3,((Overall!$A$35:$A$71=14)/(Overall!$A$35:$A$71=14)*ROW(Overall!$A$35:$A$71))-ROW(Overall!$A$34), ROWS(Overall!$L$35:Q41))),"")</f>
        <v/>
      </c>
      <c r="G35" s="96" t="str" cm="1">
        <f t="array" ref="G35">IFERROR(INDEX(Overall!H$35:H$71,_xlfn.AGGREGATE(15,3,((Overall!$A$35:$A$71=14)/(Overall!$A$35:$A$71=14)*ROW(Overall!$A$35:$A$71))-ROW(Overall!$A$34), ROWS(Overall!$L$35:R41))),"")</f>
        <v/>
      </c>
      <c r="H35" s="96" t="str" cm="1">
        <f t="array" ref="H35">IFERROR(INDEX(Overall!I$35:I$71,_xlfn.AGGREGATE(15,3,((Overall!$A$35:$A$71=14)/(Overall!$A$35:$A$71=14)*ROW(Overall!$A$35:$A$71))-ROW(Overall!$A$34), ROWS(Overall!$L$35:S41))),"")</f>
        <v/>
      </c>
      <c r="I35" s="62" t="str" cm="1">
        <f t="array" ref="I35">IFERROR(INDEX(Overall!J$35:J$71,_xlfn.AGGREGATE(15,3,((Overall!$A$35:$A$71=14)/(Overall!$A$35:$A$71=14)*ROW(Overall!$A$35:$A$71))-ROW(Overall!$A$34), ROWS(Overall!$L$35:T41))),"")</f>
        <v/>
      </c>
      <c r="J35" s="53" t="str" cm="1">
        <f t="array" ref="J35">IFERROR(INDEX(Overall!K$35:K$71,_xlfn.AGGREGATE(15,3,((Overall!$A$35:$A$71=14)/(Overall!$A$35:$A$71=14)*ROW(Overall!$A$35:$A$71))-ROW(Overall!$A$34),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IFERROR(INDEX(Overall!B$35:B$71,_xlfn.AGGREGATE(15,3,((Overall!$A$35:$A$71=14)/(Overall!$A$35:$A$71=14)*ROW(Overall!$A$35:$A$71))-ROW(Overall!$A$34), ROWS(Overall!$L$35:L42))),"")</f>
        <v/>
      </c>
      <c r="B36" s="60" t="str" cm="1">
        <f t="array" ref="B36">IFERROR(INDEX(Overall!C$35:C$71,_xlfn.AGGREGATE(15,3,((Overall!$A$35:$A$71=14)/(Overall!$A$35:$A$71=14)*ROW(Overall!$A$35:$A$71))-ROW(Overall!$A$34), ROWS(Overall!$L$35:M42))),"")</f>
        <v/>
      </c>
      <c r="C36" s="87" t="str" cm="1">
        <f t="array" ref="C36">IFERROR(INDEX(Overall!D$35:D$71,_xlfn.AGGREGATE(15,3,((Overall!$A$35:$A$71=14)/(Overall!$A$35:$A$71=14)*ROW(Overall!$A$35:$A$71))-ROW(Overall!$A$34), ROWS(Overall!$L$35:N42))),"")</f>
        <v/>
      </c>
      <c r="D36" s="62" t="str" cm="1">
        <f t="array" ref="D36">IFERROR(INDEX(Overall!E$35:E$71,_xlfn.AGGREGATE(15,3,((Overall!$A$35:$A$71=14)/(Overall!$A$35:$A$71=14)*ROW(Overall!$A$35:$A$71))-ROW(Overall!$A$34), ROWS(Overall!$L$35:O42))),"")</f>
        <v/>
      </c>
      <c r="E36" s="128" t="str" cm="1">
        <f t="array" ref="E36">IFERROR(INDEX(Overall!F$35:F$71,_xlfn.AGGREGATE(15,3,((Overall!$A$35:$A$71=14)/(Overall!$A$35:$A$71=14)*ROW(Overall!$A$35:$A$71))-ROW(Overall!$A$34), ROWS(Overall!$L$35:P42))),"")</f>
        <v/>
      </c>
      <c r="F36" s="129" t="str" cm="1">
        <f t="array" ref="F36">IFERROR(INDEX(Overall!G$35:G$71,_xlfn.AGGREGATE(15,3,((Overall!$A$35:$A$71=14)/(Overall!$A$35:$A$71=14)*ROW(Overall!$A$35:$A$71))-ROW(Overall!$A$34), ROWS(Overall!$L$35:Q42))),"")</f>
        <v/>
      </c>
      <c r="G36" s="96" t="str" cm="1">
        <f t="array" ref="G36">IFERROR(INDEX(Overall!H$35:H$71,_xlfn.AGGREGATE(15,3,((Overall!$A$35:$A$71=14)/(Overall!$A$35:$A$71=14)*ROW(Overall!$A$35:$A$71))-ROW(Overall!$A$34), ROWS(Overall!$L$35:R42))),"")</f>
        <v/>
      </c>
      <c r="H36" s="96" t="str" cm="1">
        <f t="array" ref="H36">IFERROR(INDEX(Overall!I$35:I$71,_xlfn.AGGREGATE(15,3,((Overall!$A$35:$A$71=14)/(Overall!$A$35:$A$71=14)*ROW(Overall!$A$35:$A$71))-ROW(Overall!$A$34), ROWS(Overall!$L$35:S42))),"")</f>
        <v/>
      </c>
      <c r="I36" s="62" t="str" cm="1">
        <f t="array" ref="I36">IFERROR(INDEX(Overall!J$35:J$71,_xlfn.AGGREGATE(15,3,((Overall!$A$35:$A$71=14)/(Overall!$A$35:$A$71=14)*ROW(Overall!$A$35:$A$71))-ROW(Overall!$A$34), ROWS(Overall!$L$35:T42))),"")</f>
        <v/>
      </c>
      <c r="J36" s="53" t="str" cm="1">
        <f t="array" ref="J36">IFERROR(INDEX(Overall!K$35:K$71,_xlfn.AGGREGATE(15,3,((Overall!$A$35:$A$71=14)/(Overall!$A$35:$A$71=14)*ROW(Overall!$A$35:$A$71))-ROW(Overall!$A$34),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IFERROR(INDEX(Overall!B$35:B$71,_xlfn.AGGREGATE(15,3,((Overall!$A$35:$A$71=14)/(Overall!$A$35:$A$71=14)*ROW(Overall!$A$35:$A$71))-ROW(Overall!$A$34), ROWS(Overall!$L$35:L43))),"")</f>
        <v/>
      </c>
      <c r="B37" s="60" t="str" cm="1">
        <f t="array" ref="B37">IFERROR(INDEX(Overall!C$35:C$71,_xlfn.AGGREGATE(15,3,((Overall!$A$35:$A$71=14)/(Overall!$A$35:$A$71=14)*ROW(Overall!$A$35:$A$71))-ROW(Overall!$A$34), ROWS(Overall!$L$35:M43))),"")</f>
        <v/>
      </c>
      <c r="C37" s="87" t="str" cm="1">
        <f t="array" ref="C37">IFERROR(INDEX(Overall!D$35:D$71,_xlfn.AGGREGATE(15,3,((Overall!$A$35:$A$71=14)/(Overall!$A$35:$A$71=14)*ROW(Overall!$A$35:$A$71))-ROW(Overall!$A$34), ROWS(Overall!$L$35:N43))),"")</f>
        <v/>
      </c>
      <c r="D37" s="62" t="str" cm="1">
        <f t="array" ref="D37">IFERROR(INDEX(Overall!E$35:E$71,_xlfn.AGGREGATE(15,3,((Overall!$A$35:$A$71=14)/(Overall!$A$35:$A$71=14)*ROW(Overall!$A$35:$A$71))-ROW(Overall!$A$34), ROWS(Overall!$L$35:O43))),"")</f>
        <v/>
      </c>
      <c r="E37" s="128" t="str" cm="1">
        <f t="array" ref="E37">IFERROR(INDEX(Overall!F$35:F$71,_xlfn.AGGREGATE(15,3,((Overall!$A$35:$A$71=14)/(Overall!$A$35:$A$71=14)*ROW(Overall!$A$35:$A$71))-ROW(Overall!$A$34), ROWS(Overall!$L$35:P43))),"")</f>
        <v/>
      </c>
      <c r="F37" s="129" t="str" cm="1">
        <f t="array" ref="F37">IFERROR(INDEX(Overall!G$35:G$71,_xlfn.AGGREGATE(15,3,((Overall!$A$35:$A$71=14)/(Overall!$A$35:$A$71=14)*ROW(Overall!$A$35:$A$71))-ROW(Overall!$A$34), ROWS(Overall!$L$35:Q43))),"")</f>
        <v/>
      </c>
      <c r="G37" s="96" t="str" cm="1">
        <f t="array" ref="G37">IFERROR(INDEX(Overall!H$35:H$71,_xlfn.AGGREGATE(15,3,((Overall!$A$35:$A$71=14)/(Overall!$A$35:$A$71=14)*ROW(Overall!$A$35:$A$71))-ROW(Overall!$A$34), ROWS(Overall!$L$35:R43))),"")</f>
        <v/>
      </c>
      <c r="H37" s="96" t="str" cm="1">
        <f t="array" ref="H37">IFERROR(INDEX(Overall!I$35:I$71,_xlfn.AGGREGATE(15,3,((Overall!$A$35:$A$71=14)/(Overall!$A$35:$A$71=14)*ROW(Overall!$A$35:$A$71))-ROW(Overall!$A$34), ROWS(Overall!$L$35:S43))),"")</f>
        <v/>
      </c>
      <c r="I37" s="62" t="str" cm="1">
        <f t="array" ref="I37">IFERROR(INDEX(Overall!J$35:J$71,_xlfn.AGGREGATE(15,3,((Overall!$A$35:$A$71=14)/(Overall!$A$35:$A$71=14)*ROW(Overall!$A$35:$A$71))-ROW(Overall!$A$34), ROWS(Overall!$L$35:T43))),"")</f>
        <v/>
      </c>
      <c r="J37" s="53" t="str" cm="1">
        <f t="array" ref="J37">IFERROR(INDEX(Overall!K$35:K$71,_xlfn.AGGREGATE(15,3,((Overall!$A$35:$A$71=14)/(Overall!$A$35:$A$71=14)*ROW(Overall!$A$35:$A$71))-ROW(Overall!$A$34),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IFERROR(INDEX(Overall!B$35:B$71,_xlfn.AGGREGATE(15,3,((Overall!$A$35:$A$71=14)/(Overall!$A$35:$A$71=14)*ROW(Overall!$A$35:$A$71))-ROW(Overall!$A$34), ROWS(Overall!$L$35:L44))),"")</f>
        <v/>
      </c>
      <c r="B38" s="60" t="str" cm="1">
        <f t="array" ref="B38">IFERROR(INDEX(Overall!C$35:C$71,_xlfn.AGGREGATE(15,3,((Overall!$A$35:$A$71=14)/(Overall!$A$35:$A$71=14)*ROW(Overall!$A$35:$A$71))-ROW(Overall!$A$34), ROWS(Overall!$L$35:M44))),"")</f>
        <v/>
      </c>
      <c r="C38" s="87" t="str" cm="1">
        <f t="array" ref="C38">IFERROR(INDEX(Overall!D$35:D$71,_xlfn.AGGREGATE(15,3,((Overall!$A$35:$A$71=14)/(Overall!$A$35:$A$71=14)*ROW(Overall!$A$35:$A$71))-ROW(Overall!$A$34), ROWS(Overall!$L$35:N44))),"")</f>
        <v/>
      </c>
      <c r="D38" s="62" t="str" cm="1">
        <f t="array" ref="D38">IFERROR(INDEX(Overall!E$35:E$71,_xlfn.AGGREGATE(15,3,((Overall!$A$35:$A$71=14)/(Overall!$A$35:$A$71=14)*ROW(Overall!$A$35:$A$71))-ROW(Overall!$A$34), ROWS(Overall!$L$35:O44))),"")</f>
        <v/>
      </c>
      <c r="E38" s="128" t="str" cm="1">
        <f t="array" ref="E38">IFERROR(INDEX(Overall!F$35:F$71,_xlfn.AGGREGATE(15,3,((Overall!$A$35:$A$71=14)/(Overall!$A$35:$A$71=14)*ROW(Overall!$A$35:$A$71))-ROW(Overall!$A$34), ROWS(Overall!$L$35:P44))),"")</f>
        <v/>
      </c>
      <c r="F38" s="129" t="str" cm="1">
        <f t="array" ref="F38">IFERROR(INDEX(Overall!G$35:G$71,_xlfn.AGGREGATE(15,3,((Overall!$A$35:$A$71=14)/(Overall!$A$35:$A$71=14)*ROW(Overall!$A$35:$A$71))-ROW(Overall!$A$34), ROWS(Overall!$L$35:Q44))),"")</f>
        <v/>
      </c>
      <c r="G38" s="96" t="str" cm="1">
        <f t="array" ref="G38">IFERROR(INDEX(Overall!H$35:H$71,_xlfn.AGGREGATE(15,3,((Overall!$A$35:$A$71=14)/(Overall!$A$35:$A$71=14)*ROW(Overall!$A$35:$A$71))-ROW(Overall!$A$34), ROWS(Overall!$L$35:R44))),"")</f>
        <v/>
      </c>
      <c r="H38" s="96" t="str" cm="1">
        <f t="array" ref="H38">IFERROR(INDEX(Overall!I$35:I$71,_xlfn.AGGREGATE(15,3,((Overall!$A$35:$A$71=14)/(Overall!$A$35:$A$71=14)*ROW(Overall!$A$35:$A$71))-ROW(Overall!$A$34), ROWS(Overall!$L$35:S44))),"")</f>
        <v/>
      </c>
      <c r="I38" s="62" t="str" cm="1">
        <f t="array" ref="I38">IFERROR(INDEX(Overall!J$35:J$71,_xlfn.AGGREGATE(15,3,((Overall!$A$35:$A$71=14)/(Overall!$A$35:$A$71=14)*ROW(Overall!$A$35:$A$71))-ROW(Overall!$A$34), ROWS(Overall!$L$35:T44))),"")</f>
        <v/>
      </c>
      <c r="J38" s="53" t="str" cm="1">
        <f t="array" ref="J38">IFERROR(INDEX(Overall!K$35:K$71,_xlfn.AGGREGATE(15,3,((Overall!$A$35:$A$71=14)/(Overall!$A$35:$A$71=14)*ROW(Overall!$A$35:$A$71))-ROW(Overall!$A$34),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IFERROR(INDEX(Overall!B$35:B$71,_xlfn.AGGREGATE(15,3,((Overall!$A$35:$A$71=14)/(Overall!$A$35:$A$71=14)*ROW(Overall!$A$35:$A$71))-ROW(Overall!$A$34), ROWS(Overall!$L$35:L45))),"")</f>
        <v/>
      </c>
      <c r="B39" s="60" t="str" cm="1">
        <f t="array" ref="B39">IFERROR(INDEX(Overall!C$35:C$71,_xlfn.AGGREGATE(15,3,((Overall!$A$35:$A$71=14)/(Overall!$A$35:$A$71=14)*ROW(Overall!$A$35:$A$71))-ROW(Overall!$A$34), ROWS(Overall!$L$35:M45))),"")</f>
        <v/>
      </c>
      <c r="C39" s="87" t="str" cm="1">
        <f t="array" ref="C39">IFERROR(INDEX(Overall!D$35:D$71,_xlfn.AGGREGATE(15,3,((Overall!$A$35:$A$71=14)/(Overall!$A$35:$A$71=14)*ROW(Overall!$A$35:$A$71))-ROW(Overall!$A$34), ROWS(Overall!$L$35:N45))),"")</f>
        <v/>
      </c>
      <c r="D39" s="62" t="str" cm="1">
        <f t="array" ref="D39">IFERROR(INDEX(Overall!E$35:E$71,_xlfn.AGGREGATE(15,3,((Overall!$A$35:$A$71=14)/(Overall!$A$35:$A$71=14)*ROW(Overall!$A$35:$A$71))-ROW(Overall!$A$34), ROWS(Overall!$L$35:O45))),"")</f>
        <v/>
      </c>
      <c r="E39" s="128" t="str" cm="1">
        <f t="array" ref="E39">IFERROR(INDEX(Overall!F$35:F$71,_xlfn.AGGREGATE(15,3,((Overall!$A$35:$A$71=14)/(Overall!$A$35:$A$71=14)*ROW(Overall!$A$35:$A$71))-ROW(Overall!$A$34), ROWS(Overall!$L$35:P45))),"")</f>
        <v/>
      </c>
      <c r="F39" s="129" t="str" cm="1">
        <f t="array" ref="F39">IFERROR(INDEX(Overall!G$35:G$71,_xlfn.AGGREGATE(15,3,((Overall!$A$35:$A$71=14)/(Overall!$A$35:$A$71=14)*ROW(Overall!$A$35:$A$71))-ROW(Overall!$A$34), ROWS(Overall!$L$35:Q45))),"")</f>
        <v/>
      </c>
      <c r="G39" s="96" t="str" cm="1">
        <f t="array" ref="G39">IFERROR(INDEX(Overall!H$35:H$71,_xlfn.AGGREGATE(15,3,((Overall!$A$35:$A$71=14)/(Overall!$A$35:$A$71=14)*ROW(Overall!$A$35:$A$71))-ROW(Overall!$A$34), ROWS(Overall!$L$35:R45))),"")</f>
        <v/>
      </c>
      <c r="H39" s="96" t="str" cm="1">
        <f t="array" ref="H39">IFERROR(INDEX(Overall!I$35:I$71,_xlfn.AGGREGATE(15,3,((Overall!$A$35:$A$71=14)/(Overall!$A$35:$A$71=14)*ROW(Overall!$A$35:$A$71))-ROW(Overall!$A$34), ROWS(Overall!$L$35:S45))),"")</f>
        <v/>
      </c>
      <c r="I39" s="62" t="str" cm="1">
        <f t="array" ref="I39">IFERROR(INDEX(Overall!J$35:J$71,_xlfn.AGGREGATE(15,3,((Overall!$A$35:$A$71=14)/(Overall!$A$35:$A$71=14)*ROW(Overall!$A$35:$A$71))-ROW(Overall!$A$34), ROWS(Overall!$L$35:T45))),"")</f>
        <v/>
      </c>
      <c r="J39" s="53" t="str" cm="1">
        <f t="array" ref="J39">IFERROR(INDEX(Overall!K$35:K$71,_xlfn.AGGREGATE(15,3,((Overall!$A$35:$A$71=14)/(Overall!$A$35:$A$71=14)*ROW(Overall!$A$35:$A$71))-ROW(Overall!$A$34),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IFERROR(INDEX(Overall!B$35:B$71,_xlfn.AGGREGATE(15,3,((Overall!$A$35:$A$71=14)/(Overall!$A$35:$A$71=14)*ROW(Overall!$A$35:$A$71))-ROW(Overall!$A$34), ROWS(Overall!$L$35:L46))),"")</f>
        <v/>
      </c>
      <c r="B40" s="60" t="str" cm="1">
        <f t="array" ref="B40">IFERROR(INDEX(Overall!C$35:C$71,_xlfn.AGGREGATE(15,3,((Overall!$A$35:$A$71=14)/(Overall!$A$35:$A$71=14)*ROW(Overall!$A$35:$A$71))-ROW(Overall!$A$34), ROWS(Overall!$L$35:M46))),"")</f>
        <v/>
      </c>
      <c r="C40" s="87" t="str" cm="1">
        <f t="array" ref="C40">IFERROR(INDEX(Overall!D$35:D$71,_xlfn.AGGREGATE(15,3,((Overall!$A$35:$A$71=14)/(Overall!$A$35:$A$71=14)*ROW(Overall!$A$35:$A$71))-ROW(Overall!$A$34), ROWS(Overall!$L$35:N46))),"")</f>
        <v/>
      </c>
      <c r="D40" s="62" t="str" cm="1">
        <f t="array" ref="D40">IFERROR(INDEX(Overall!E$35:E$71,_xlfn.AGGREGATE(15,3,((Overall!$A$35:$A$71=14)/(Overall!$A$35:$A$71=14)*ROW(Overall!$A$35:$A$71))-ROW(Overall!$A$34), ROWS(Overall!$L$35:O46))),"")</f>
        <v/>
      </c>
      <c r="E40" s="128" t="str" cm="1">
        <f t="array" ref="E40">IFERROR(INDEX(Overall!F$35:F$71,_xlfn.AGGREGATE(15,3,((Overall!$A$35:$A$71=14)/(Overall!$A$35:$A$71=14)*ROW(Overall!$A$35:$A$71))-ROW(Overall!$A$34), ROWS(Overall!$L$35:P46))),"")</f>
        <v/>
      </c>
      <c r="F40" s="129" t="str" cm="1">
        <f t="array" ref="F40">IFERROR(INDEX(Overall!G$35:G$71,_xlfn.AGGREGATE(15,3,((Overall!$A$35:$A$71=14)/(Overall!$A$35:$A$71=14)*ROW(Overall!$A$35:$A$71))-ROW(Overall!$A$34), ROWS(Overall!$L$35:Q46))),"")</f>
        <v/>
      </c>
      <c r="G40" s="96" t="str" cm="1">
        <f t="array" ref="G40">IFERROR(INDEX(Overall!H$35:H$71,_xlfn.AGGREGATE(15,3,((Overall!$A$35:$A$71=14)/(Overall!$A$35:$A$71=14)*ROW(Overall!$A$35:$A$71))-ROW(Overall!$A$34), ROWS(Overall!$L$35:R46))),"")</f>
        <v/>
      </c>
      <c r="H40" s="96" t="str" cm="1">
        <f t="array" ref="H40">IFERROR(INDEX(Overall!I$35:I$71,_xlfn.AGGREGATE(15,3,((Overall!$A$35:$A$71=14)/(Overall!$A$35:$A$71=14)*ROW(Overall!$A$35:$A$71))-ROW(Overall!$A$34), ROWS(Overall!$L$35:S46))),"")</f>
        <v/>
      </c>
      <c r="I40" s="62" t="str" cm="1">
        <f t="array" ref="I40">IFERROR(INDEX(Overall!J$35:J$71,_xlfn.AGGREGATE(15,3,((Overall!$A$35:$A$71=14)/(Overall!$A$35:$A$71=14)*ROW(Overall!$A$35:$A$71))-ROW(Overall!$A$34), ROWS(Overall!$L$35:T46))),"")</f>
        <v/>
      </c>
      <c r="J40" s="53" t="str" cm="1">
        <f t="array" ref="J40">IFERROR(INDEX(Overall!K$35:K$71,_xlfn.AGGREGATE(15,3,((Overall!$A$35:$A$71=14)/(Overall!$A$35:$A$71=14)*ROW(Overall!$A$35:$A$71))-ROW(Overall!$A$34),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IFERROR(INDEX(Overall!B$35:B$71,_xlfn.AGGREGATE(15,3,((Overall!$A$35:$A$71=14)/(Overall!$A$35:$A$71=14)*ROW(Overall!$A$35:$A$71))-ROW(Overall!$A$34), ROWS(Overall!$L$35:L47))),"")</f>
        <v/>
      </c>
      <c r="B41" s="60" t="str" cm="1">
        <f t="array" ref="B41">IFERROR(INDEX(Overall!C$35:C$71,_xlfn.AGGREGATE(15,3,((Overall!$A$35:$A$71=14)/(Overall!$A$35:$A$71=14)*ROW(Overall!$A$35:$A$71))-ROW(Overall!$A$34), ROWS(Overall!$L$35:M47))),"")</f>
        <v/>
      </c>
      <c r="C41" s="87" t="str" cm="1">
        <f t="array" ref="C41">IFERROR(INDEX(Overall!D$35:D$71,_xlfn.AGGREGATE(15,3,((Overall!$A$35:$A$71=14)/(Overall!$A$35:$A$71=14)*ROW(Overall!$A$35:$A$71))-ROW(Overall!$A$34), ROWS(Overall!$L$35:N47))),"")</f>
        <v/>
      </c>
      <c r="D41" s="62" t="str" cm="1">
        <f t="array" ref="D41">IFERROR(INDEX(Overall!E$35:E$71,_xlfn.AGGREGATE(15,3,((Overall!$A$35:$A$71=14)/(Overall!$A$35:$A$71=14)*ROW(Overall!$A$35:$A$71))-ROW(Overall!$A$34), ROWS(Overall!$L$35:O47))),"")</f>
        <v/>
      </c>
      <c r="E41" s="128" t="str" cm="1">
        <f t="array" ref="E41">IFERROR(INDEX(Overall!F$35:F$71,_xlfn.AGGREGATE(15,3,((Overall!$A$35:$A$71=14)/(Overall!$A$35:$A$71=14)*ROW(Overall!$A$35:$A$71))-ROW(Overall!$A$34), ROWS(Overall!$L$35:P47))),"")</f>
        <v/>
      </c>
      <c r="F41" s="129" t="str" cm="1">
        <f t="array" ref="F41">IFERROR(INDEX(Overall!G$35:G$71,_xlfn.AGGREGATE(15,3,((Overall!$A$35:$A$71=14)/(Overall!$A$35:$A$71=14)*ROW(Overall!$A$35:$A$71))-ROW(Overall!$A$34), ROWS(Overall!$L$35:Q47))),"")</f>
        <v/>
      </c>
      <c r="G41" s="96" t="str" cm="1">
        <f t="array" ref="G41">IFERROR(INDEX(Overall!H$35:H$71,_xlfn.AGGREGATE(15,3,((Overall!$A$35:$A$71=14)/(Overall!$A$35:$A$71=14)*ROW(Overall!$A$35:$A$71))-ROW(Overall!$A$34), ROWS(Overall!$L$35:R47))),"")</f>
        <v/>
      </c>
      <c r="H41" s="96" t="str" cm="1">
        <f t="array" ref="H41">IFERROR(INDEX(Overall!I$35:I$71,_xlfn.AGGREGATE(15,3,((Overall!$A$35:$A$71=14)/(Overall!$A$35:$A$71=14)*ROW(Overall!$A$35:$A$71))-ROW(Overall!$A$34), ROWS(Overall!$L$35:S47))),"")</f>
        <v/>
      </c>
      <c r="I41" s="62" t="str" cm="1">
        <f t="array" ref="I41">IFERROR(INDEX(Overall!J$35:J$71,_xlfn.AGGREGATE(15,3,((Overall!$A$35:$A$71=14)/(Overall!$A$35:$A$71=14)*ROW(Overall!$A$35:$A$71))-ROW(Overall!$A$34), ROWS(Overall!$L$35:T47))),"")</f>
        <v/>
      </c>
      <c r="J41" s="53" t="str" cm="1">
        <f t="array" ref="J41">IFERROR(INDEX(Overall!K$35:K$71,_xlfn.AGGREGATE(15,3,((Overall!$A$35:$A$71=14)/(Overall!$A$35:$A$71=14)*ROW(Overall!$A$35:$A$71))-ROW(Overall!$A$34),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IFERROR(INDEX(Overall!B$35:B$71,_xlfn.AGGREGATE(15,3,((Overall!$A$35:$A$71=14)/(Overall!$A$35:$A$71=14)*ROW(Overall!$A$35:$A$71))-ROW(Overall!$A$34), ROWS(Overall!$L$35:L48))),"")</f>
        <v/>
      </c>
      <c r="B42" s="60" t="str" cm="1">
        <f t="array" ref="B42">IFERROR(INDEX(Overall!C$35:C$71,_xlfn.AGGREGATE(15,3,((Overall!$A$35:$A$71=14)/(Overall!$A$35:$A$71=14)*ROW(Overall!$A$35:$A$71))-ROW(Overall!$A$34), ROWS(Overall!$L$35:M48))),"")</f>
        <v/>
      </c>
      <c r="C42" s="87" t="str" cm="1">
        <f t="array" ref="C42">IFERROR(INDEX(Overall!D$35:D$71,_xlfn.AGGREGATE(15,3,((Overall!$A$35:$A$71=14)/(Overall!$A$35:$A$71=14)*ROW(Overall!$A$35:$A$71))-ROW(Overall!$A$34), ROWS(Overall!$L$35:N48))),"")</f>
        <v/>
      </c>
      <c r="D42" s="62" t="str" cm="1">
        <f t="array" ref="D42">IFERROR(INDEX(Overall!E$35:E$71,_xlfn.AGGREGATE(15,3,((Overall!$A$35:$A$71=14)/(Overall!$A$35:$A$71=14)*ROW(Overall!$A$35:$A$71))-ROW(Overall!$A$34), ROWS(Overall!$L$35:O48))),"")</f>
        <v/>
      </c>
      <c r="E42" s="128" t="str" cm="1">
        <f t="array" ref="E42">IFERROR(INDEX(Overall!F$35:F$71,_xlfn.AGGREGATE(15,3,((Overall!$A$35:$A$71=14)/(Overall!$A$35:$A$71=14)*ROW(Overall!$A$35:$A$71))-ROW(Overall!$A$34), ROWS(Overall!$L$35:P48))),"")</f>
        <v/>
      </c>
      <c r="F42" s="129" t="str" cm="1">
        <f t="array" ref="F42">IFERROR(INDEX(Overall!G$35:G$71,_xlfn.AGGREGATE(15,3,((Overall!$A$35:$A$71=14)/(Overall!$A$35:$A$71=14)*ROW(Overall!$A$35:$A$71))-ROW(Overall!$A$34), ROWS(Overall!$L$35:Q48))),"")</f>
        <v/>
      </c>
      <c r="G42" s="96" t="str" cm="1">
        <f t="array" ref="G42">IFERROR(INDEX(Overall!H$35:H$71,_xlfn.AGGREGATE(15,3,((Overall!$A$35:$A$71=14)/(Overall!$A$35:$A$71=14)*ROW(Overall!$A$35:$A$71))-ROW(Overall!$A$34), ROWS(Overall!$L$35:R48))),"")</f>
        <v/>
      </c>
      <c r="H42" s="96" t="str" cm="1">
        <f t="array" ref="H42">IFERROR(INDEX(Overall!I$35:I$71,_xlfn.AGGREGATE(15,3,((Overall!$A$35:$A$71=14)/(Overall!$A$35:$A$71=14)*ROW(Overall!$A$35:$A$71))-ROW(Overall!$A$34), ROWS(Overall!$L$35:S48))),"")</f>
        <v/>
      </c>
      <c r="I42" s="62" t="str" cm="1">
        <f t="array" ref="I42">IFERROR(INDEX(Overall!J$35:J$71,_xlfn.AGGREGATE(15,3,((Overall!$A$35:$A$71=14)/(Overall!$A$35:$A$71=14)*ROW(Overall!$A$35:$A$71))-ROW(Overall!$A$34), ROWS(Overall!$L$35:T48))),"")</f>
        <v/>
      </c>
      <c r="J42" s="53" t="str" cm="1">
        <f t="array" ref="J42">IFERROR(INDEX(Overall!K$35:K$71,_xlfn.AGGREGATE(15,3,((Overall!$A$35:$A$71=14)/(Overall!$A$35:$A$71=14)*ROW(Overall!$A$35:$A$71))-ROW(Overall!$A$34),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IFERROR(INDEX(Overall!B$35:B$71,_xlfn.AGGREGATE(15,3,((Overall!$A$35:$A$71=14)/(Overall!$A$35:$A$71=14)*ROW(Overall!$A$35:$A$71))-ROW(Overall!$A$34), ROWS(Overall!$L$35:L49))),"")</f>
        <v/>
      </c>
      <c r="B43" s="60" t="str" cm="1">
        <f t="array" ref="B43">IFERROR(INDEX(Overall!C$35:C$71,_xlfn.AGGREGATE(15,3,((Overall!$A$35:$A$71=14)/(Overall!$A$35:$A$71=14)*ROW(Overall!$A$35:$A$71))-ROW(Overall!$A$34), ROWS(Overall!$L$35:M49))),"")</f>
        <v/>
      </c>
      <c r="C43" s="87" t="str" cm="1">
        <f t="array" ref="C43">IFERROR(INDEX(Overall!D$35:D$71,_xlfn.AGGREGATE(15,3,((Overall!$A$35:$A$71=14)/(Overall!$A$35:$A$71=14)*ROW(Overall!$A$35:$A$71))-ROW(Overall!$A$34), ROWS(Overall!$L$35:N49))),"")</f>
        <v/>
      </c>
      <c r="D43" s="62" t="str" cm="1">
        <f t="array" ref="D43">IFERROR(INDEX(Overall!E$35:E$71,_xlfn.AGGREGATE(15,3,((Overall!$A$35:$A$71=14)/(Overall!$A$35:$A$71=14)*ROW(Overall!$A$35:$A$71))-ROW(Overall!$A$34), ROWS(Overall!$L$35:O49))),"")</f>
        <v/>
      </c>
      <c r="E43" s="128" t="str" cm="1">
        <f t="array" ref="E43">IFERROR(INDEX(Overall!F$35:F$71,_xlfn.AGGREGATE(15,3,((Overall!$A$35:$A$71=14)/(Overall!$A$35:$A$71=14)*ROW(Overall!$A$35:$A$71))-ROW(Overall!$A$34), ROWS(Overall!$L$35:P49))),"")</f>
        <v/>
      </c>
      <c r="F43" s="129" t="str" cm="1">
        <f t="array" ref="F43">IFERROR(INDEX(Overall!G$35:G$71,_xlfn.AGGREGATE(15,3,((Overall!$A$35:$A$71=14)/(Overall!$A$35:$A$71=14)*ROW(Overall!$A$35:$A$71))-ROW(Overall!$A$34), ROWS(Overall!$L$35:Q49))),"")</f>
        <v/>
      </c>
      <c r="G43" s="96" t="str" cm="1">
        <f t="array" ref="G43">IFERROR(INDEX(Overall!H$35:H$71,_xlfn.AGGREGATE(15,3,((Overall!$A$35:$A$71=14)/(Overall!$A$35:$A$71=14)*ROW(Overall!$A$35:$A$71))-ROW(Overall!$A$34), ROWS(Overall!$L$35:R49))),"")</f>
        <v/>
      </c>
      <c r="H43" s="96" t="str" cm="1">
        <f t="array" ref="H43">IFERROR(INDEX(Overall!I$35:I$71,_xlfn.AGGREGATE(15,3,((Overall!$A$35:$A$71=14)/(Overall!$A$35:$A$71=14)*ROW(Overall!$A$35:$A$71))-ROW(Overall!$A$34), ROWS(Overall!$L$35:S49))),"")</f>
        <v/>
      </c>
      <c r="I43" s="62" t="str" cm="1">
        <f t="array" ref="I43">IFERROR(INDEX(Overall!J$35:J$71,_xlfn.AGGREGATE(15,3,((Overall!$A$35:$A$71=14)/(Overall!$A$35:$A$71=14)*ROW(Overall!$A$35:$A$71))-ROW(Overall!$A$34), ROWS(Overall!$L$35:T49))),"")</f>
        <v/>
      </c>
      <c r="J43" s="53" t="str" cm="1">
        <f t="array" ref="J43">IFERROR(INDEX(Overall!K$35:K$71,_xlfn.AGGREGATE(15,3,((Overall!$A$35:$A$71=14)/(Overall!$A$35:$A$71=14)*ROW(Overall!$A$35:$A$71))-ROW(Overall!$A$34),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IFERROR(INDEX(Overall!B$35:B$71,_xlfn.AGGREGATE(15,3,((Overall!$A$35:$A$71=14)/(Overall!$A$35:$A$71=14)*ROW(Overall!$A$35:$A$71))-ROW(Overall!$A$34), ROWS(Overall!$L$35:L50))),"")</f>
        <v/>
      </c>
      <c r="B44" s="61" t="str" cm="1">
        <f t="array" ref="B44">IFERROR(INDEX(Overall!C$35:C$71,_xlfn.AGGREGATE(15,3,((Overall!$A$35:$A$71=14)/(Overall!$A$35:$A$71=14)*ROW(Overall!$A$35:$A$71))-ROW(Overall!$A$34), ROWS(Overall!$L$35:M50))),"")</f>
        <v/>
      </c>
      <c r="C44" s="88" t="str" cm="1">
        <f t="array" ref="C44">IFERROR(INDEX(Overall!D$35:D$71,_xlfn.AGGREGATE(15,3,((Overall!$A$35:$A$71=14)/(Overall!$A$35:$A$71=14)*ROW(Overall!$A$35:$A$71))-ROW(Overall!$A$34), ROWS(Overall!$L$35:N50))),"")</f>
        <v/>
      </c>
      <c r="D44" s="63" t="str" cm="1">
        <f t="array" ref="D44">IFERROR(INDEX(Overall!E$35:E$71,_xlfn.AGGREGATE(15,3,((Overall!$A$35:$A$71=14)/(Overall!$A$35:$A$71=14)*ROW(Overall!$A$35:$A$71))-ROW(Overall!$A$34), ROWS(Overall!$L$35:O50))),"")</f>
        <v/>
      </c>
      <c r="E44" s="130" t="str" cm="1">
        <f t="array" ref="E44">IFERROR(INDEX(Overall!F$35:F$71,_xlfn.AGGREGATE(15,3,((Overall!$A$35:$A$71=14)/(Overall!$A$35:$A$71=14)*ROW(Overall!$A$35:$A$71))-ROW(Overall!$A$34), ROWS(Overall!$L$35:P50))),"")</f>
        <v/>
      </c>
      <c r="F44" s="131" t="str" cm="1">
        <f t="array" ref="F44">IFERROR(INDEX(Overall!G$35:G$71,_xlfn.AGGREGATE(15,3,((Overall!$A$35:$A$71=14)/(Overall!$A$35:$A$71=14)*ROW(Overall!$A$35:$A$71))-ROW(Overall!$A$34), ROWS(Overall!$L$35:Q50))),"")</f>
        <v/>
      </c>
      <c r="G44" s="97" t="str" cm="1">
        <f t="array" ref="G44">IFERROR(INDEX(Overall!H$35:H$71,_xlfn.AGGREGATE(15,3,((Overall!$A$35:$A$71=14)/(Overall!$A$35:$A$71=14)*ROW(Overall!$A$35:$A$71))-ROW(Overall!$A$34), ROWS(Overall!$L$35:R50))),"")</f>
        <v/>
      </c>
      <c r="H44" s="97" t="str" cm="1">
        <f t="array" ref="H44">IFERROR(INDEX(Overall!I$35:I$71,_xlfn.AGGREGATE(15,3,((Overall!$A$35:$A$71=14)/(Overall!$A$35:$A$71=14)*ROW(Overall!$A$35:$A$71))-ROW(Overall!$A$34), ROWS(Overall!$L$35:S50))),"")</f>
        <v/>
      </c>
      <c r="I44" s="65" t="str" cm="1">
        <f t="array" ref="I44">IFERROR(INDEX(Overall!J$35:J$71,_xlfn.AGGREGATE(15,3,((Overall!$A$35:$A$71=14)/(Overall!$A$35:$A$71=14)*ROW(Overall!$A$35:$A$71))-ROW(Overall!$A$34), ROWS(Overall!$L$35:T50))),"")</f>
        <v/>
      </c>
      <c r="J44" s="54" t="str" cm="1">
        <f t="array" ref="J44">IFERROR(INDEX(Overall!K$35:K$71,_xlfn.AGGREGATE(15,3,((Overall!$A$35:$A$71=14)/(Overall!$A$35:$A$71=14)*ROW(Overall!$A$35:$A$71))-ROW(Overall!$A$34), ROWS(Overall!$L$35:U50))),"")</f>
        <v/>
      </c>
    </row>
    <row r="46" spans="1:10" x14ac:dyDescent="0.25">
      <c r="A46" s="156" t="s">
        <v>11</v>
      </c>
      <c r="B46" s="156"/>
      <c r="C46" s="156"/>
      <c r="D46" s="156"/>
      <c r="E46" s="156"/>
      <c r="F46" s="156"/>
      <c r="G46" s="156"/>
      <c r="H46" s="156"/>
      <c r="I46" s="158" t="s">
        <v>12</v>
      </c>
      <c r="J46" s="160"/>
    </row>
    <row r="47" spans="1:10" x14ac:dyDescent="0.25">
      <c r="A47" s="102" t="s">
        <v>154</v>
      </c>
      <c r="B47" s="103" t="s">
        <v>41</v>
      </c>
      <c r="C47" s="176" t="s">
        <v>40</v>
      </c>
      <c r="D47" s="177"/>
      <c r="E47" s="167" t="s">
        <v>155</v>
      </c>
      <c r="F47" s="168"/>
      <c r="G47" s="168"/>
      <c r="H47" s="168"/>
      <c r="I47" s="50"/>
      <c r="J47" s="52"/>
    </row>
    <row r="48" spans="1:10" x14ac:dyDescent="0.25">
      <c r="A48" s="67"/>
      <c r="B48" s="72"/>
      <c r="C48" s="180"/>
      <c r="D48" s="181"/>
      <c r="E48" s="101"/>
      <c r="H48" s="52"/>
      <c r="I48" s="50"/>
      <c r="J48" s="52"/>
    </row>
    <row r="49" spans="1:10" x14ac:dyDescent="0.25">
      <c r="A49" s="67"/>
      <c r="B49" s="72"/>
      <c r="C49" s="180"/>
      <c r="D49" s="181"/>
      <c r="H49" s="52"/>
      <c r="I49" s="50"/>
      <c r="J49" s="52"/>
    </row>
    <row r="50" spans="1:10" x14ac:dyDescent="0.25">
      <c r="A50" s="67"/>
      <c r="B50" s="72"/>
      <c r="C50" s="180"/>
      <c r="D50" s="181"/>
      <c r="H50"/>
      <c r="I50" s="50"/>
      <c r="J50" s="52"/>
    </row>
    <row r="51" spans="1:10" x14ac:dyDescent="0.25">
      <c r="A51" s="67"/>
      <c r="B51" s="72"/>
      <c r="C51" s="169"/>
      <c r="D51" s="170"/>
      <c r="F51" s="163"/>
      <c r="G51" s="163"/>
      <c r="H51"/>
      <c r="I51" s="50"/>
      <c r="J51" s="52"/>
    </row>
    <row r="52" spans="1:10" x14ac:dyDescent="0.25">
      <c r="A52" s="67"/>
      <c r="B52" s="72"/>
      <c r="C52" s="169"/>
      <c r="D52" s="170"/>
      <c r="F52" s="163"/>
      <c r="G52" s="163"/>
      <c r="H52"/>
      <c r="I52" s="50"/>
      <c r="J52" s="52"/>
    </row>
    <row r="53" spans="1:10" x14ac:dyDescent="0.25">
      <c r="A53" s="67"/>
      <c r="B53" s="72"/>
      <c r="C53" s="169"/>
      <c r="D53" s="170"/>
      <c r="F53" s="163"/>
      <c r="G53" s="163"/>
      <c r="H53"/>
      <c r="I53" s="50"/>
      <c r="J53" s="52"/>
    </row>
    <row r="54" spans="1:10" x14ac:dyDescent="0.25">
      <c r="A54" s="67"/>
      <c r="B54" s="72"/>
      <c r="C54" s="169"/>
      <c r="D54" s="170"/>
      <c r="F54" s="163"/>
      <c r="G54" s="163"/>
      <c r="H54"/>
      <c r="I54" s="50"/>
      <c r="J54" s="52"/>
    </row>
    <row r="55" spans="1:10" x14ac:dyDescent="0.25">
      <c r="A55" s="67"/>
      <c r="B55" s="72"/>
      <c r="C55" s="169"/>
      <c r="D55" s="170"/>
      <c r="F55" s="163"/>
      <c r="G55" s="163"/>
      <c r="H55"/>
      <c r="I55" s="50"/>
      <c r="J55" s="52"/>
    </row>
    <row r="56" spans="1:10" x14ac:dyDescent="0.25">
      <c r="A56" s="67"/>
      <c r="B56" s="72"/>
      <c r="C56" s="169"/>
      <c r="D56" s="170"/>
      <c r="F56" s="163"/>
      <c r="G56" s="163"/>
      <c r="H56"/>
      <c r="I56" s="50"/>
      <c r="J56" s="52"/>
    </row>
    <row r="57" spans="1:10" x14ac:dyDescent="0.25">
      <c r="A57" s="67"/>
      <c r="B57" s="72"/>
      <c r="C57" s="169"/>
      <c r="D57" s="170"/>
      <c r="F57" s="163"/>
      <c r="G57" s="163"/>
      <c r="H57"/>
      <c r="I57" s="50"/>
      <c r="J57" s="52"/>
    </row>
    <row r="58" spans="1:10" x14ac:dyDescent="0.25">
      <c r="A58" s="67"/>
      <c r="B58" s="72"/>
      <c r="C58" s="169"/>
      <c r="D58" s="170"/>
      <c r="F58" s="163"/>
      <c r="G58" s="163"/>
      <c r="H58"/>
      <c r="I58" s="50"/>
      <c r="J58" s="52"/>
    </row>
    <row r="59" spans="1:10" x14ac:dyDescent="0.25">
      <c r="A59" s="67"/>
      <c r="B59" s="72"/>
      <c r="C59" s="171"/>
      <c r="D59" s="172"/>
      <c r="F59" s="183"/>
      <c r="G59" s="183"/>
      <c r="H59"/>
      <c r="I59" s="50"/>
      <c r="J59" s="52"/>
    </row>
    <row r="60" spans="1:10" x14ac:dyDescent="0.25">
      <c r="A60" s="67"/>
      <c r="B60" s="72"/>
      <c r="C60" s="171"/>
      <c r="D60" s="172"/>
      <c r="F60" s="183"/>
      <c r="G60" s="183"/>
      <c r="H60"/>
      <c r="I60" s="50"/>
      <c r="J60" s="52"/>
    </row>
    <row r="61" spans="1:10" x14ac:dyDescent="0.25">
      <c r="A61" s="68"/>
      <c r="B61" s="73"/>
      <c r="C61" s="173"/>
      <c r="D61" s="174"/>
      <c r="E61" s="99"/>
      <c r="F61" s="182"/>
      <c r="G61" s="182"/>
      <c r="H61" s="104"/>
      <c r="I61" s="51"/>
      <c r="J61" s="55"/>
    </row>
  </sheetData>
  <mergeCells count="47"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A46:H46"/>
    <mergeCell ref="E47:H47"/>
    <mergeCell ref="C60:D60"/>
    <mergeCell ref="C61:D61"/>
    <mergeCell ref="C57:D57"/>
    <mergeCell ref="C58:D58"/>
    <mergeCell ref="C59:D59"/>
  </mergeCells>
  <conditionalFormatting sqref="A29:J43">
    <cfRule type="cellIs" dxfId="32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3F27-326D-4BC0-A58A-0EE72C03F39F}">
  <sheetPr codeName="Sheet2"/>
  <dimension ref="A1:BZ67"/>
  <sheetViews>
    <sheetView workbookViewId="0">
      <selection activeCell="C2" sqref="C2"/>
    </sheetView>
  </sheetViews>
  <sheetFormatPr defaultRowHeight="15" x14ac:dyDescent="0.25"/>
  <cols>
    <col min="15" max="15" width="9.85546875" customWidth="1"/>
  </cols>
  <sheetData>
    <row r="1" spans="1:78" ht="63.75" x14ac:dyDescent="0.25">
      <c r="A1" s="3" t="s">
        <v>26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5" t="s">
        <v>40</v>
      </c>
      <c r="P1" s="6" t="s">
        <v>41</v>
      </c>
      <c r="Q1" s="7" t="s">
        <v>1</v>
      </c>
      <c r="R1" s="5" t="s">
        <v>42</v>
      </c>
      <c r="S1" s="5" t="s">
        <v>43</v>
      </c>
      <c r="T1" s="5" t="s">
        <v>44</v>
      </c>
      <c r="U1" s="5" t="s">
        <v>45</v>
      </c>
      <c r="V1" s="3" t="s">
        <v>3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3" t="s">
        <v>52</v>
      </c>
      <c r="AD1" s="5" t="s">
        <v>53</v>
      </c>
      <c r="AE1" s="5" t="s">
        <v>54</v>
      </c>
      <c r="AF1" s="5" t="s">
        <v>55</v>
      </c>
      <c r="AG1" s="3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3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3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3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5" t="s">
        <v>100</v>
      </c>
      <c r="BZ1" s="3" t="s">
        <v>101</v>
      </c>
    </row>
    <row r="2" spans="1:78" x14ac:dyDescent="0.25">
      <c r="A2" s="1" t="s">
        <v>17</v>
      </c>
      <c r="B2" s="1" t="s">
        <v>182</v>
      </c>
      <c r="C2" s="1" t="str">
        <f>VLOOKUP(B2,Months!$A$1:$B$12,2,0)</f>
        <v>March</v>
      </c>
      <c r="D2" s="1" t="str">
        <f t="shared" ref="D2:D43" si="0">CONCATENATE(A2,B2,P2)</f>
        <v>FY23P9B</v>
      </c>
      <c r="E2" s="1" t="str">
        <f t="shared" ref="E2:E43" si="1">CONCATENATE(A2,B2,S2)</f>
        <v>FY23P930000034</v>
      </c>
      <c r="F2" s="1">
        <f t="shared" ref="F2" si="2">IF(O2=O1,0,1)</f>
        <v>1</v>
      </c>
      <c r="G2" s="1">
        <f t="shared" ref="G2" si="3">IF(AND(O2=O1, P2=P1),0,1)</f>
        <v>1</v>
      </c>
      <c r="H2" s="1">
        <f t="shared" ref="H2" si="4">IF(AND(O2=O1, P2=P1, Q2=Q1),0,1)</f>
        <v>1</v>
      </c>
      <c r="I2" s="1" t="str">
        <f t="shared" ref="I2" si="5">CONCATENATE(O2,P2)</f>
        <v>45011B</v>
      </c>
      <c r="J2" s="2" t="str">
        <f t="shared" ref="J2" si="6">CONCATENATE(O2,P2,Q2)</f>
        <v>45011B        FS03</v>
      </c>
      <c r="K2" s="1" t="str">
        <f t="shared" ref="K2:K43" si="7">CONCATENATE(A2,B2,Q2,P2)</f>
        <v>FY23P9        FS03B</v>
      </c>
      <c r="L2" s="1" t="str">
        <f t="shared" ref="L2:L43" si="8">CONCATENATE(A2,Q2)</f>
        <v>FY23        FS03</v>
      </c>
      <c r="M2" s="1" t="str">
        <f>IF((O2&gt;='[1]DT date range'!$A$15)*AND(O2&lt;='[1]DT date range'!$A$17), IF(P2='[1]DT date range'!$A$19, "in", IF('[1]DT date range'!$A$19="Both", "in", "out")),"out")&amp;Q2</f>
        <v>in        FS03</v>
      </c>
      <c r="N2" s="1" t="str">
        <f t="shared" ref="N2:N43" si="9">CONCATENATE(A2,B2,Q2)</f>
        <v>FY23P9        FS03</v>
      </c>
      <c r="O2" s="125">
        <v>45011</v>
      </c>
      <c r="P2" s="135" t="s">
        <v>18</v>
      </c>
      <c r="Q2" t="s">
        <v>20</v>
      </c>
      <c r="R2">
        <v>419160</v>
      </c>
      <c r="S2">
        <v>30000034</v>
      </c>
      <c r="T2" t="s">
        <v>194</v>
      </c>
      <c r="U2">
        <v>60</v>
      </c>
      <c r="V2">
        <v>972</v>
      </c>
      <c r="W2">
        <v>120</v>
      </c>
      <c r="X2">
        <v>116640</v>
      </c>
      <c r="Y2">
        <v>380</v>
      </c>
      <c r="Z2">
        <v>380</v>
      </c>
      <c r="AA2">
        <v>720</v>
      </c>
      <c r="AB2">
        <v>30</v>
      </c>
      <c r="AC2">
        <v>690</v>
      </c>
      <c r="AD2">
        <v>262200</v>
      </c>
      <c r="AE2">
        <v>2185</v>
      </c>
      <c r="AF2">
        <v>116640</v>
      </c>
      <c r="AG2">
        <v>44.49</v>
      </c>
      <c r="AH2">
        <v>41.45</v>
      </c>
      <c r="AI2">
        <v>107.32</v>
      </c>
      <c r="AJ2">
        <v>100</v>
      </c>
      <c r="AK2">
        <v>15</v>
      </c>
      <c r="AL2">
        <v>15</v>
      </c>
      <c r="AO2">
        <v>25</v>
      </c>
      <c r="AQ2">
        <v>349</v>
      </c>
      <c r="AR2">
        <v>404</v>
      </c>
      <c r="AU2">
        <v>85</v>
      </c>
      <c r="AV2">
        <v>50</v>
      </c>
      <c r="BF2">
        <v>35</v>
      </c>
      <c r="BH2">
        <v>6</v>
      </c>
      <c r="BI2">
        <v>61</v>
      </c>
      <c r="BJ2">
        <v>100</v>
      </c>
      <c r="BR2">
        <v>68</v>
      </c>
      <c r="BS2">
        <v>15</v>
      </c>
      <c r="BX2">
        <v>20</v>
      </c>
      <c r="BY2">
        <v>100</v>
      </c>
      <c r="BZ2">
        <v>355</v>
      </c>
    </row>
    <row r="3" spans="1:78" x14ac:dyDescent="0.25">
      <c r="A3" s="1" t="s">
        <v>17</v>
      </c>
      <c r="B3" s="1" t="s">
        <v>182</v>
      </c>
      <c r="C3" s="1" t="str">
        <f>VLOOKUP(B3,Months!$A$1:$B$12,2,0)</f>
        <v>March</v>
      </c>
      <c r="D3" s="1" t="str">
        <f t="shared" si="0"/>
        <v>FY23P9B</v>
      </c>
      <c r="E3" s="1" t="str">
        <f t="shared" si="1"/>
        <v>FY23P930008167</v>
      </c>
      <c r="F3" s="1">
        <f t="shared" ref="F3" si="10">IF(O3=O2,0,1)</f>
        <v>1</v>
      </c>
      <c r="G3" s="1">
        <f t="shared" ref="G3" si="11">IF(AND(O3=O2, P3=P2),0,1)</f>
        <v>1</v>
      </c>
      <c r="H3" s="1">
        <f t="shared" ref="H3" si="12">IF(AND(O3=O2, P3=P2, Q3=Q2),0,1)</f>
        <v>1</v>
      </c>
      <c r="I3" s="1" t="str">
        <f t="shared" ref="I3" si="13">CONCATENATE(O3,P3)</f>
        <v>45012B</v>
      </c>
      <c r="J3" s="2" t="str">
        <f t="shared" ref="J3" si="14">CONCATENATE(O3,P3,Q3)</f>
        <v>45012B        FS01</v>
      </c>
      <c r="K3" s="1" t="str">
        <f t="shared" si="7"/>
        <v>FY23P9        FS01B</v>
      </c>
      <c r="L3" s="1" t="str">
        <f t="shared" si="8"/>
        <v>FY23        FS01</v>
      </c>
      <c r="M3" s="1" t="str">
        <f>IF((O3&gt;='[1]DT date range'!$A$15)*AND(O3&lt;='[1]DT date range'!$A$17), IF(P3='[1]DT date range'!$A$19, "in", IF('[1]DT date range'!$A$19="Both", "in", "out")),"out")&amp;Q3</f>
        <v>in        FS01</v>
      </c>
      <c r="N3" s="1" t="str">
        <f t="shared" si="9"/>
        <v>FY23P9        FS01</v>
      </c>
      <c r="O3" s="125">
        <v>45012</v>
      </c>
      <c r="P3" s="135" t="s">
        <v>18</v>
      </c>
      <c r="Q3" t="s">
        <v>19</v>
      </c>
      <c r="R3">
        <v>417488</v>
      </c>
      <c r="S3">
        <v>30008167</v>
      </c>
      <c r="T3" t="s">
        <v>197</v>
      </c>
      <c r="U3">
        <v>108</v>
      </c>
      <c r="V3">
        <v>1875</v>
      </c>
      <c r="W3">
        <v>12</v>
      </c>
      <c r="X3">
        <v>22500</v>
      </c>
      <c r="Y3">
        <v>70</v>
      </c>
      <c r="Z3">
        <v>70</v>
      </c>
      <c r="AA3">
        <v>720</v>
      </c>
      <c r="AB3">
        <v>30</v>
      </c>
      <c r="AC3">
        <v>690</v>
      </c>
      <c r="AD3">
        <v>48300</v>
      </c>
      <c r="AE3">
        <v>4025</v>
      </c>
      <c r="AF3">
        <v>22500</v>
      </c>
      <c r="AG3">
        <v>46.58</v>
      </c>
      <c r="AH3">
        <v>63.04</v>
      </c>
      <c r="AI3">
        <v>73.89</v>
      </c>
      <c r="AJ3">
        <v>100</v>
      </c>
      <c r="AK3">
        <v>10</v>
      </c>
      <c r="AL3">
        <v>60</v>
      </c>
      <c r="AM3">
        <v>20</v>
      </c>
      <c r="AO3">
        <v>20</v>
      </c>
      <c r="AQ3">
        <v>145</v>
      </c>
      <c r="AR3">
        <v>255</v>
      </c>
      <c r="AU3">
        <v>140</v>
      </c>
      <c r="AY3">
        <v>25</v>
      </c>
      <c r="BA3">
        <v>10</v>
      </c>
      <c r="BH3">
        <v>5</v>
      </c>
      <c r="BI3">
        <v>44</v>
      </c>
      <c r="BJ3">
        <v>42</v>
      </c>
      <c r="BN3">
        <v>14</v>
      </c>
      <c r="BX3">
        <v>10</v>
      </c>
      <c r="BY3">
        <v>120</v>
      </c>
      <c r="BZ3">
        <v>150</v>
      </c>
    </row>
    <row r="4" spans="1:78" x14ac:dyDescent="0.25">
      <c r="A4" s="1" t="s">
        <v>17</v>
      </c>
      <c r="B4" s="1" t="s">
        <v>182</v>
      </c>
      <c r="C4" s="1" t="str">
        <f>VLOOKUP(B4,Months!$A$1:$B$12,2,0)</f>
        <v>March</v>
      </c>
      <c r="D4" s="1" t="str">
        <f t="shared" si="0"/>
        <v>FY23P9B</v>
      </c>
      <c r="E4" s="1" t="str">
        <f t="shared" si="1"/>
        <v>FY23P930000034</v>
      </c>
      <c r="F4" s="1">
        <f t="shared" ref="F4:F5" si="15">IF(O4=O3,0,1)</f>
        <v>0</v>
      </c>
      <c r="G4" s="1">
        <f t="shared" ref="G4:G5" si="16">IF(AND(O4=O3, P4=P3),0,1)</f>
        <v>0</v>
      </c>
      <c r="H4" s="1">
        <f t="shared" ref="H4:H5" si="17">IF(AND(O4=O3, P4=P3, Q4=Q3),0,1)</f>
        <v>1</v>
      </c>
      <c r="I4" s="1" t="str">
        <f t="shared" ref="I4:I5" si="18">CONCATENATE(O4,P4)</f>
        <v>45012B</v>
      </c>
      <c r="J4" s="2" t="str">
        <f t="shared" ref="J4:J5" si="19">CONCATENATE(O4,P4,Q4)</f>
        <v>45012B        FS03</v>
      </c>
      <c r="K4" s="1" t="str">
        <f t="shared" si="7"/>
        <v>FY23P9        FS03B</v>
      </c>
      <c r="L4" s="1" t="str">
        <f t="shared" si="8"/>
        <v>FY23        FS03</v>
      </c>
      <c r="M4" s="1" t="str">
        <f>IF((O4&gt;='[1]DT date range'!$A$15)*AND(O4&lt;='[1]DT date range'!$A$17), IF(P4='[1]DT date range'!$A$19, "in", IF('[1]DT date range'!$A$19="Both", "in", "out")),"out")&amp;Q4</f>
        <v>in        FS03</v>
      </c>
      <c r="N4" s="1" t="str">
        <f t="shared" si="9"/>
        <v>FY23P9        FS03</v>
      </c>
      <c r="O4" s="125">
        <v>45012</v>
      </c>
      <c r="P4" s="135" t="s">
        <v>18</v>
      </c>
      <c r="Q4" t="s">
        <v>20</v>
      </c>
      <c r="R4">
        <v>419153</v>
      </c>
      <c r="S4">
        <v>30000034</v>
      </c>
      <c r="T4" t="s">
        <v>194</v>
      </c>
      <c r="U4">
        <v>60</v>
      </c>
      <c r="V4">
        <v>891</v>
      </c>
      <c r="W4">
        <v>120</v>
      </c>
      <c r="X4">
        <v>106920</v>
      </c>
      <c r="Y4">
        <v>380</v>
      </c>
      <c r="Z4">
        <v>380</v>
      </c>
      <c r="AA4">
        <v>720</v>
      </c>
      <c r="AB4">
        <v>30</v>
      </c>
      <c r="AC4">
        <v>690</v>
      </c>
      <c r="AD4">
        <v>262200</v>
      </c>
      <c r="AE4">
        <v>2185</v>
      </c>
      <c r="AF4">
        <v>106920</v>
      </c>
      <c r="AG4">
        <v>40.78</v>
      </c>
      <c r="AH4">
        <v>-8.26</v>
      </c>
      <c r="AI4">
        <v>-493.63</v>
      </c>
      <c r="AJ4">
        <v>100</v>
      </c>
      <c r="AK4">
        <v>15</v>
      </c>
      <c r="AL4">
        <v>30</v>
      </c>
      <c r="AO4">
        <v>20</v>
      </c>
      <c r="AQ4">
        <v>682</v>
      </c>
      <c r="AR4">
        <v>747</v>
      </c>
      <c r="AU4">
        <v>95</v>
      </c>
      <c r="AV4">
        <v>35</v>
      </c>
      <c r="AX4">
        <v>12</v>
      </c>
      <c r="BA4">
        <v>10</v>
      </c>
      <c r="BF4">
        <v>50</v>
      </c>
      <c r="BH4">
        <v>25</v>
      </c>
      <c r="BI4">
        <v>56</v>
      </c>
      <c r="BJ4">
        <v>19</v>
      </c>
      <c r="BR4">
        <v>50</v>
      </c>
      <c r="BS4">
        <v>46</v>
      </c>
      <c r="BU4">
        <v>28</v>
      </c>
      <c r="BX4">
        <v>10</v>
      </c>
      <c r="BY4">
        <v>90</v>
      </c>
      <c r="BZ4">
        <v>341</v>
      </c>
    </row>
    <row r="5" spans="1:78" x14ac:dyDescent="0.25">
      <c r="A5" s="1" t="s">
        <v>17</v>
      </c>
      <c r="B5" s="1" t="s">
        <v>182</v>
      </c>
      <c r="C5" s="1" t="str">
        <f>VLOOKUP(B5,Months!$A$1:$B$12,2,0)</f>
        <v>March</v>
      </c>
      <c r="D5" s="1" t="str">
        <f t="shared" si="0"/>
        <v>FY23P9B</v>
      </c>
      <c r="E5" s="1" t="str">
        <f t="shared" si="1"/>
        <v>FY23P996705002</v>
      </c>
      <c r="F5" s="1">
        <f t="shared" si="15"/>
        <v>0</v>
      </c>
      <c r="G5" s="1">
        <f t="shared" si="16"/>
        <v>0</v>
      </c>
      <c r="H5" s="1">
        <f t="shared" si="17"/>
        <v>1</v>
      </c>
      <c r="I5" s="1" t="str">
        <f t="shared" si="18"/>
        <v>45012B</v>
      </c>
      <c r="J5" s="2" t="str">
        <f t="shared" si="19"/>
        <v>45012B        FS04</v>
      </c>
      <c r="K5" s="1" t="str">
        <f t="shared" si="7"/>
        <v>FY23P9        FS04B</v>
      </c>
      <c r="L5" s="1" t="str">
        <f t="shared" si="8"/>
        <v>FY23        FS04</v>
      </c>
      <c r="M5" s="1" t="str">
        <f>IF((O5&gt;='[1]DT date range'!$A$15)*AND(O5&lt;='[1]DT date range'!$A$17), IF(P5='[1]DT date range'!$A$19, "in", IF('[1]DT date range'!$A$19="Both", "in", "out")),"out")&amp;Q5</f>
        <v>in        FS04</v>
      </c>
      <c r="N5" s="1" t="str">
        <f t="shared" si="9"/>
        <v>FY23P9        FS04</v>
      </c>
      <c r="O5" s="125">
        <v>45012</v>
      </c>
      <c r="P5" s="135" t="s">
        <v>18</v>
      </c>
      <c r="Q5" t="s">
        <v>21</v>
      </c>
      <c r="R5">
        <v>417505</v>
      </c>
      <c r="S5">
        <v>96705002</v>
      </c>
      <c r="T5" t="s">
        <v>198</v>
      </c>
      <c r="U5">
        <v>15.19</v>
      </c>
      <c r="V5">
        <v>965</v>
      </c>
      <c r="W5">
        <v>12</v>
      </c>
      <c r="X5">
        <v>11580</v>
      </c>
      <c r="Y5">
        <v>185</v>
      </c>
      <c r="Z5">
        <v>185</v>
      </c>
      <c r="AA5">
        <v>152</v>
      </c>
      <c r="AC5">
        <v>152</v>
      </c>
      <c r="AD5">
        <v>28120</v>
      </c>
      <c r="AE5">
        <v>2343</v>
      </c>
      <c r="AF5">
        <v>11580</v>
      </c>
      <c r="AG5">
        <v>41.18</v>
      </c>
      <c r="AH5">
        <v>50.66</v>
      </c>
      <c r="AI5">
        <v>81.290000000000006</v>
      </c>
      <c r="AJ5">
        <v>100</v>
      </c>
      <c r="AK5">
        <v>5</v>
      </c>
      <c r="AL5">
        <v>15</v>
      </c>
      <c r="AQ5">
        <v>55</v>
      </c>
      <c r="AR5">
        <v>75</v>
      </c>
      <c r="AU5">
        <v>20</v>
      </c>
      <c r="AX5">
        <v>6</v>
      </c>
      <c r="AY5">
        <v>12</v>
      </c>
      <c r="BE5">
        <v>18</v>
      </c>
      <c r="BJ5">
        <v>3</v>
      </c>
      <c r="BP5">
        <v>25</v>
      </c>
      <c r="BU5">
        <v>5</v>
      </c>
      <c r="BY5">
        <v>418</v>
      </c>
      <c r="BZ5">
        <v>69</v>
      </c>
    </row>
    <row r="6" spans="1:78" x14ac:dyDescent="0.25">
      <c r="A6" s="1" t="s">
        <v>17</v>
      </c>
      <c r="B6" s="1" t="s">
        <v>182</v>
      </c>
      <c r="C6" s="1" t="str">
        <f>VLOOKUP(B6,Months!$A$1:$B$12,2,0)</f>
        <v>March</v>
      </c>
      <c r="D6" s="1" t="str">
        <f t="shared" si="0"/>
        <v>FY23P9B</v>
      </c>
      <c r="E6" s="1" t="str">
        <f t="shared" si="1"/>
        <v>FY23P996705001</v>
      </c>
      <c r="F6" s="1">
        <f t="shared" ref="F6:F17" si="20">IF(O6=O5,0,1)</f>
        <v>0</v>
      </c>
      <c r="G6" s="1">
        <f t="shared" ref="G6:G17" si="21">IF(AND(O6=O5, P6=P5),0,1)</f>
        <v>0</v>
      </c>
      <c r="H6" s="1">
        <f t="shared" ref="H6:H17" si="22">IF(AND(O6=O5, P6=P5, Q6=Q5),0,1)</f>
        <v>0</v>
      </c>
      <c r="I6" s="1" t="str">
        <f t="shared" ref="I6:I17" si="23">CONCATENATE(O6,P6)</f>
        <v>45012B</v>
      </c>
      <c r="J6" s="2" t="str">
        <f t="shared" ref="J6:J17" si="24">CONCATENATE(O6,P6,Q6)</f>
        <v>45012B        FS04</v>
      </c>
      <c r="K6" s="1" t="str">
        <f t="shared" si="7"/>
        <v>FY23P9        FS04B</v>
      </c>
      <c r="L6" s="1" t="str">
        <f t="shared" si="8"/>
        <v>FY23        FS04</v>
      </c>
      <c r="M6" s="1" t="str">
        <f>IF((O6&gt;='[1]DT date range'!$A$15)*AND(O6&lt;='[1]DT date range'!$A$17), IF(P6='[1]DT date range'!$A$19, "in", IF('[1]DT date range'!$A$19="Both", "in", "out")),"out")&amp;Q6</f>
        <v>in        FS04</v>
      </c>
      <c r="N6" s="1" t="str">
        <f t="shared" si="9"/>
        <v>FY23P9        FS04</v>
      </c>
      <c r="O6" s="125">
        <v>45012</v>
      </c>
      <c r="P6" s="135" t="s">
        <v>18</v>
      </c>
      <c r="Q6" t="s">
        <v>21</v>
      </c>
      <c r="R6">
        <v>417630</v>
      </c>
      <c r="S6">
        <v>96705001</v>
      </c>
      <c r="T6" t="s">
        <v>199</v>
      </c>
      <c r="U6">
        <v>41.29</v>
      </c>
      <c r="V6">
        <v>2100</v>
      </c>
      <c r="W6">
        <v>12</v>
      </c>
      <c r="X6">
        <v>25200</v>
      </c>
      <c r="Y6">
        <v>185</v>
      </c>
      <c r="Z6">
        <v>185</v>
      </c>
      <c r="AA6">
        <v>413</v>
      </c>
      <c r="AB6">
        <v>30</v>
      </c>
      <c r="AC6">
        <v>383</v>
      </c>
      <c r="AD6">
        <v>70855</v>
      </c>
      <c r="AE6">
        <v>5905</v>
      </c>
      <c r="AF6">
        <v>25200</v>
      </c>
      <c r="AG6">
        <v>35.57</v>
      </c>
      <c r="AH6">
        <v>34.99</v>
      </c>
      <c r="AI6">
        <v>101.65</v>
      </c>
      <c r="AJ6">
        <v>100</v>
      </c>
      <c r="AL6">
        <v>30</v>
      </c>
      <c r="AN6">
        <v>18</v>
      </c>
      <c r="AO6">
        <v>15</v>
      </c>
      <c r="AQ6">
        <v>186</v>
      </c>
      <c r="AR6">
        <v>249</v>
      </c>
      <c r="AU6">
        <v>93</v>
      </c>
      <c r="BA6">
        <v>16</v>
      </c>
      <c r="BE6">
        <v>42</v>
      </c>
      <c r="BF6">
        <v>54</v>
      </c>
      <c r="BH6">
        <v>6</v>
      </c>
      <c r="BJ6">
        <v>8</v>
      </c>
      <c r="BK6">
        <v>20</v>
      </c>
      <c r="BN6">
        <v>4</v>
      </c>
      <c r="BP6">
        <v>41</v>
      </c>
      <c r="BU6">
        <v>13</v>
      </c>
      <c r="BY6">
        <v>548</v>
      </c>
      <c r="BZ6">
        <v>204</v>
      </c>
    </row>
    <row r="7" spans="1:78" x14ac:dyDescent="0.25">
      <c r="A7" s="1" t="s">
        <v>17</v>
      </c>
      <c r="B7" s="1" t="s">
        <v>182</v>
      </c>
      <c r="C7" s="1" t="str">
        <f>VLOOKUP(B7,Months!$A$1:$B$12,2,0)</f>
        <v>March</v>
      </c>
      <c r="D7" s="1" t="str">
        <f t="shared" si="0"/>
        <v>FY23P9B</v>
      </c>
      <c r="E7" s="1" t="str">
        <f t="shared" si="1"/>
        <v>FY23P963009850</v>
      </c>
      <c r="F7" s="1">
        <f t="shared" si="20"/>
        <v>0</v>
      </c>
      <c r="G7" s="1">
        <f t="shared" si="21"/>
        <v>0</v>
      </c>
      <c r="H7" s="1">
        <f t="shared" si="22"/>
        <v>1</v>
      </c>
      <c r="I7" s="1" t="str">
        <f t="shared" si="23"/>
        <v>45012B</v>
      </c>
      <c r="J7" s="2" t="str">
        <f t="shared" si="24"/>
        <v>45012B        FS10</v>
      </c>
      <c r="K7" s="1" t="str">
        <f t="shared" si="7"/>
        <v>FY23P9        FS10B</v>
      </c>
      <c r="L7" s="1" t="str">
        <f t="shared" si="8"/>
        <v>FY23        FS10</v>
      </c>
      <c r="M7" s="1" t="str">
        <f>IF((O7&gt;='[1]DT date range'!$A$15)*AND(O7&lt;='[1]DT date range'!$A$17), IF(P7='[1]DT date range'!$A$19, "in", IF('[1]DT date range'!$A$19="Both", "in", "out")),"out")&amp;Q7</f>
        <v>in        FS10</v>
      </c>
      <c r="N7" s="1" t="str">
        <f t="shared" si="9"/>
        <v>FY23P9        FS10</v>
      </c>
      <c r="O7" s="125">
        <v>45012</v>
      </c>
      <c r="P7" s="135" t="s">
        <v>18</v>
      </c>
      <c r="Q7" t="s">
        <v>24</v>
      </c>
      <c r="R7">
        <v>421248</v>
      </c>
      <c r="S7">
        <v>63009850</v>
      </c>
      <c r="T7" t="s">
        <v>200</v>
      </c>
      <c r="U7">
        <v>68</v>
      </c>
      <c r="V7">
        <v>2524</v>
      </c>
      <c r="W7">
        <v>12</v>
      </c>
      <c r="X7">
        <v>30288</v>
      </c>
      <c r="Y7">
        <v>250</v>
      </c>
      <c r="Z7">
        <v>250</v>
      </c>
      <c r="AA7">
        <v>510</v>
      </c>
      <c r="AB7">
        <v>30</v>
      </c>
      <c r="AC7">
        <v>480</v>
      </c>
      <c r="AD7">
        <v>120000</v>
      </c>
      <c r="AE7">
        <v>10000</v>
      </c>
      <c r="AF7">
        <v>30288</v>
      </c>
      <c r="AG7">
        <v>25.24</v>
      </c>
      <c r="AH7">
        <v>51.04</v>
      </c>
      <c r="AI7">
        <v>49.45</v>
      </c>
      <c r="AJ7">
        <v>100</v>
      </c>
      <c r="AK7">
        <v>10</v>
      </c>
      <c r="AL7">
        <v>45</v>
      </c>
      <c r="AO7">
        <v>10</v>
      </c>
      <c r="AQ7">
        <v>170</v>
      </c>
      <c r="AR7">
        <v>235</v>
      </c>
      <c r="AU7">
        <v>95</v>
      </c>
      <c r="BH7">
        <v>5</v>
      </c>
      <c r="BN7">
        <v>130</v>
      </c>
      <c r="BO7">
        <v>40</v>
      </c>
      <c r="BY7">
        <v>1</v>
      </c>
      <c r="BZ7">
        <v>175</v>
      </c>
    </row>
    <row r="8" spans="1:78" x14ac:dyDescent="0.25">
      <c r="A8" s="1" t="s">
        <v>17</v>
      </c>
      <c r="B8" s="1" t="s">
        <v>182</v>
      </c>
      <c r="C8" s="1" t="str">
        <f>VLOOKUP(B8,Months!$A$1:$B$12,2,0)</f>
        <v>March</v>
      </c>
      <c r="D8" s="1" t="str">
        <f t="shared" si="0"/>
        <v>FY23P9B</v>
      </c>
      <c r="E8" s="1" t="str">
        <f t="shared" si="1"/>
        <v>FY23P930012034</v>
      </c>
      <c r="F8" s="1">
        <f t="shared" si="20"/>
        <v>0</v>
      </c>
      <c r="G8" s="1">
        <f t="shared" si="21"/>
        <v>0</v>
      </c>
      <c r="H8" s="1">
        <f t="shared" si="22"/>
        <v>1</v>
      </c>
      <c r="I8" s="1" t="str">
        <f t="shared" si="23"/>
        <v>45012B</v>
      </c>
      <c r="J8" s="2" t="str">
        <f t="shared" si="24"/>
        <v>45012B        FS12</v>
      </c>
      <c r="K8" s="1" t="str">
        <f t="shared" si="7"/>
        <v>FY23P9        FS12B</v>
      </c>
      <c r="L8" s="1" t="str">
        <f t="shared" si="8"/>
        <v>FY23        FS12</v>
      </c>
      <c r="M8" s="1" t="str">
        <f>IF((O8&gt;='[1]DT date range'!$A$15)*AND(O8&lt;='[1]DT date range'!$A$17), IF(P8='[1]DT date range'!$A$19, "in", IF('[1]DT date range'!$A$19="Both", "in", "out")),"out")&amp;Q8</f>
        <v>in        FS12</v>
      </c>
      <c r="N8" s="1" t="str">
        <f t="shared" si="9"/>
        <v>FY23P9        FS12</v>
      </c>
      <c r="O8" s="125">
        <v>45012</v>
      </c>
      <c r="P8" s="135" t="s">
        <v>18</v>
      </c>
      <c r="Q8" t="s">
        <v>25</v>
      </c>
      <c r="R8">
        <v>417588</v>
      </c>
      <c r="S8">
        <v>30012034</v>
      </c>
      <c r="T8" t="s">
        <v>201</v>
      </c>
      <c r="U8">
        <v>24</v>
      </c>
      <c r="V8">
        <v>1716</v>
      </c>
      <c r="W8">
        <v>6</v>
      </c>
      <c r="X8">
        <v>10296</v>
      </c>
      <c r="Y8">
        <v>130</v>
      </c>
      <c r="Z8">
        <v>130</v>
      </c>
      <c r="AA8">
        <v>360</v>
      </c>
      <c r="AB8">
        <v>30</v>
      </c>
      <c r="AC8">
        <v>330</v>
      </c>
      <c r="AD8">
        <v>42900</v>
      </c>
      <c r="AE8">
        <v>7150</v>
      </c>
      <c r="AF8">
        <v>10296</v>
      </c>
      <c r="AG8">
        <v>24</v>
      </c>
      <c r="AH8">
        <v>-51.52</v>
      </c>
      <c r="AI8">
        <v>-46.59</v>
      </c>
      <c r="AJ8">
        <v>100</v>
      </c>
      <c r="AK8">
        <v>5</v>
      </c>
      <c r="AL8">
        <v>45</v>
      </c>
      <c r="AO8">
        <v>15</v>
      </c>
      <c r="AQ8">
        <v>435</v>
      </c>
      <c r="AR8">
        <v>500</v>
      </c>
      <c r="AU8">
        <v>95</v>
      </c>
      <c r="AW8">
        <v>15</v>
      </c>
      <c r="AY8">
        <v>310</v>
      </c>
      <c r="BH8">
        <v>5</v>
      </c>
      <c r="BN8">
        <v>9</v>
      </c>
      <c r="BP8">
        <v>110</v>
      </c>
      <c r="BY8">
        <v>120</v>
      </c>
      <c r="BZ8">
        <v>449</v>
      </c>
    </row>
    <row r="9" spans="1:78" x14ac:dyDescent="0.25">
      <c r="A9" s="1" t="s">
        <v>17</v>
      </c>
      <c r="B9" s="1" t="s">
        <v>182</v>
      </c>
      <c r="C9" s="1" t="str">
        <f>VLOOKUP(B9,Months!$A$1:$B$12,2,0)</f>
        <v>March</v>
      </c>
      <c r="D9" s="1" t="str">
        <f t="shared" si="0"/>
        <v>FY23P9C</v>
      </c>
      <c r="E9" s="1" t="str">
        <f t="shared" si="1"/>
        <v>FY23P930008167</v>
      </c>
      <c r="F9" s="1">
        <f t="shared" si="20"/>
        <v>0</v>
      </c>
      <c r="G9" s="1">
        <f t="shared" si="21"/>
        <v>1</v>
      </c>
      <c r="H9" s="1">
        <f t="shared" si="22"/>
        <v>1</v>
      </c>
      <c r="I9" s="1" t="str">
        <f t="shared" si="23"/>
        <v>45012C</v>
      </c>
      <c r="J9" s="2" t="str">
        <f t="shared" si="24"/>
        <v>45012C        FS01</v>
      </c>
      <c r="K9" s="1" t="str">
        <f t="shared" si="7"/>
        <v>FY23P9        FS01C</v>
      </c>
      <c r="L9" s="1" t="str">
        <f t="shared" si="8"/>
        <v>FY23        FS01</v>
      </c>
      <c r="M9" s="1" t="str">
        <f>IF((O9&gt;='[1]DT date range'!$A$15)*AND(O9&lt;='[1]DT date range'!$A$17), IF(P9='[1]DT date range'!$A$19, "in", IF('[1]DT date range'!$A$19="Both", "in", "out")),"out")&amp;Q9</f>
        <v>in        FS01</v>
      </c>
      <c r="N9" s="1" t="str">
        <f t="shared" si="9"/>
        <v>FY23P9        FS01</v>
      </c>
      <c r="O9" s="125">
        <v>45012</v>
      </c>
      <c r="P9" s="135" t="s">
        <v>16</v>
      </c>
      <c r="Q9" t="s">
        <v>19</v>
      </c>
      <c r="R9">
        <v>417488</v>
      </c>
      <c r="S9">
        <v>30008167</v>
      </c>
      <c r="T9" t="s">
        <v>197</v>
      </c>
      <c r="U9">
        <v>36</v>
      </c>
      <c r="V9">
        <v>462</v>
      </c>
      <c r="W9">
        <v>12</v>
      </c>
      <c r="X9">
        <v>5544</v>
      </c>
      <c r="Y9">
        <v>70</v>
      </c>
      <c r="Z9">
        <v>70</v>
      </c>
      <c r="AA9">
        <v>240</v>
      </c>
      <c r="AC9">
        <v>240</v>
      </c>
      <c r="AD9">
        <v>16800</v>
      </c>
      <c r="AE9">
        <v>1400</v>
      </c>
      <c r="AF9">
        <v>5544</v>
      </c>
      <c r="AG9">
        <v>33</v>
      </c>
      <c r="AH9">
        <v>39.58</v>
      </c>
      <c r="AI9">
        <v>83.37</v>
      </c>
      <c r="AJ9">
        <v>100</v>
      </c>
      <c r="AK9">
        <v>5</v>
      </c>
      <c r="AL9">
        <v>15</v>
      </c>
      <c r="AQ9">
        <v>125</v>
      </c>
      <c r="AR9">
        <v>145</v>
      </c>
      <c r="AU9">
        <v>20</v>
      </c>
      <c r="AX9">
        <v>45</v>
      </c>
      <c r="BF9">
        <v>6</v>
      </c>
      <c r="BK9">
        <v>10</v>
      </c>
      <c r="BN9">
        <v>4</v>
      </c>
      <c r="BO9">
        <v>70</v>
      </c>
      <c r="BY9">
        <v>225</v>
      </c>
      <c r="BZ9">
        <v>135</v>
      </c>
    </row>
    <row r="10" spans="1:78" x14ac:dyDescent="0.25">
      <c r="A10" s="1" t="s">
        <v>17</v>
      </c>
      <c r="B10" s="1" t="s">
        <v>182</v>
      </c>
      <c r="C10" s="1" t="str">
        <f>VLOOKUP(B10,Months!$A$1:$B$12,2,0)</f>
        <v>March</v>
      </c>
      <c r="D10" s="1" t="str">
        <f t="shared" si="0"/>
        <v>FY23P9C</v>
      </c>
      <c r="E10" s="1" t="str">
        <f t="shared" si="1"/>
        <v>FY23P971608004</v>
      </c>
      <c r="F10" s="1">
        <f t="shared" si="20"/>
        <v>0</v>
      </c>
      <c r="G10" s="1">
        <f t="shared" si="21"/>
        <v>0</v>
      </c>
      <c r="H10" s="1">
        <f t="shared" si="22"/>
        <v>0</v>
      </c>
      <c r="I10" s="1" t="str">
        <f t="shared" si="23"/>
        <v>45012C</v>
      </c>
      <c r="J10" s="2" t="str">
        <f t="shared" si="24"/>
        <v>45012C        FS01</v>
      </c>
      <c r="K10" s="1" t="str">
        <f t="shared" si="7"/>
        <v>FY23P9        FS01C</v>
      </c>
      <c r="L10" s="1" t="str">
        <f t="shared" si="8"/>
        <v>FY23        FS01</v>
      </c>
      <c r="M10" s="1" t="str">
        <f>IF((O10&gt;='[1]DT date range'!$A$15)*AND(O10&lt;='[1]DT date range'!$A$17), IF(P10='[1]DT date range'!$A$19, "in", IF('[1]DT date range'!$A$19="Both", "in", "out")),"out")&amp;Q10</f>
        <v>in        FS01</v>
      </c>
      <c r="N10" s="1" t="str">
        <f t="shared" si="9"/>
        <v>FY23P9        FS01</v>
      </c>
      <c r="O10" s="125">
        <v>45012</v>
      </c>
      <c r="P10" s="135" t="s">
        <v>16</v>
      </c>
      <c r="Q10" t="s">
        <v>19</v>
      </c>
      <c r="R10">
        <v>424499</v>
      </c>
      <c r="S10">
        <v>71608004</v>
      </c>
      <c r="T10" t="s">
        <v>202</v>
      </c>
      <c r="U10">
        <v>72</v>
      </c>
      <c r="W10">
        <v>6</v>
      </c>
      <c r="Y10">
        <v>55</v>
      </c>
      <c r="Z10">
        <v>55</v>
      </c>
      <c r="AA10">
        <v>480</v>
      </c>
      <c r="AB10">
        <v>30</v>
      </c>
      <c r="AC10">
        <v>450</v>
      </c>
      <c r="AD10">
        <v>24750</v>
      </c>
      <c r="AE10">
        <v>4125</v>
      </c>
      <c r="AF10">
        <v>0</v>
      </c>
      <c r="AG10">
        <v>0</v>
      </c>
      <c r="AH10">
        <v>90</v>
      </c>
      <c r="AI10">
        <v>0</v>
      </c>
      <c r="AJ10">
        <v>0</v>
      </c>
      <c r="AL10">
        <v>45</v>
      </c>
      <c r="AR10">
        <v>45</v>
      </c>
      <c r="AU10">
        <v>75</v>
      </c>
      <c r="BY10">
        <v>1</v>
      </c>
    </row>
    <row r="11" spans="1:78" x14ac:dyDescent="0.25">
      <c r="A11" s="1" t="s">
        <v>17</v>
      </c>
      <c r="B11" s="1" t="s">
        <v>182</v>
      </c>
      <c r="C11" s="1" t="str">
        <f>VLOOKUP(B11,Months!$A$1:$B$12,2,0)</f>
        <v>March</v>
      </c>
      <c r="D11" s="1" t="str">
        <f t="shared" si="0"/>
        <v>FY23P9C</v>
      </c>
      <c r="E11" s="1" t="str">
        <f t="shared" si="1"/>
        <v>FY23P930000034</v>
      </c>
      <c r="F11" s="1">
        <f t="shared" si="20"/>
        <v>0</v>
      </c>
      <c r="G11" s="1">
        <f t="shared" si="21"/>
        <v>0</v>
      </c>
      <c r="H11" s="1">
        <f t="shared" si="22"/>
        <v>1</v>
      </c>
      <c r="I11" s="1" t="str">
        <f t="shared" si="23"/>
        <v>45012C</v>
      </c>
      <c r="J11" s="2" t="str">
        <f t="shared" si="24"/>
        <v>45012C        FS03</v>
      </c>
      <c r="K11" s="1" t="str">
        <f t="shared" si="7"/>
        <v>FY23P9        FS03C</v>
      </c>
      <c r="L11" s="1" t="str">
        <f t="shared" si="8"/>
        <v>FY23        FS03</v>
      </c>
      <c r="M11" s="1" t="str">
        <f>IF((O11&gt;='[1]DT date range'!$A$15)*AND(O11&lt;='[1]DT date range'!$A$17), IF(P11='[1]DT date range'!$A$19, "in", IF('[1]DT date range'!$A$19="Both", "in", "out")),"out")&amp;Q11</f>
        <v>in        FS03</v>
      </c>
      <c r="N11" s="1" t="str">
        <f t="shared" si="9"/>
        <v>FY23P9        FS03</v>
      </c>
      <c r="O11" s="125">
        <v>45012</v>
      </c>
      <c r="P11" s="135" t="s">
        <v>16</v>
      </c>
      <c r="Q11" t="s">
        <v>20</v>
      </c>
      <c r="R11">
        <v>419154</v>
      </c>
      <c r="S11">
        <v>30000034</v>
      </c>
      <c r="T11" t="s">
        <v>194</v>
      </c>
      <c r="U11">
        <v>60</v>
      </c>
      <c r="V11">
        <v>855</v>
      </c>
      <c r="W11">
        <v>120</v>
      </c>
      <c r="X11">
        <v>102600</v>
      </c>
      <c r="Y11">
        <v>380</v>
      </c>
      <c r="Z11">
        <v>380</v>
      </c>
      <c r="AA11">
        <v>720</v>
      </c>
      <c r="AB11">
        <v>30</v>
      </c>
      <c r="AC11">
        <v>690</v>
      </c>
      <c r="AD11">
        <v>262200</v>
      </c>
      <c r="AE11">
        <v>2185</v>
      </c>
      <c r="AF11">
        <v>102600</v>
      </c>
      <c r="AG11">
        <v>39.130000000000003</v>
      </c>
      <c r="AH11">
        <v>44.78</v>
      </c>
      <c r="AI11">
        <v>87.38</v>
      </c>
      <c r="AJ11">
        <v>100</v>
      </c>
      <c r="AK11">
        <v>10</v>
      </c>
      <c r="AL11">
        <v>60</v>
      </c>
      <c r="AO11">
        <v>20</v>
      </c>
      <c r="AQ11">
        <v>291</v>
      </c>
      <c r="AR11">
        <v>381</v>
      </c>
      <c r="AU11">
        <v>120</v>
      </c>
      <c r="AV11">
        <v>12</v>
      </c>
      <c r="AX11">
        <v>22</v>
      </c>
      <c r="BE11">
        <v>7</v>
      </c>
      <c r="BG11">
        <v>16</v>
      </c>
      <c r="BH11">
        <v>9</v>
      </c>
      <c r="BI11">
        <v>92</v>
      </c>
      <c r="BJ11">
        <v>29</v>
      </c>
      <c r="BM11">
        <v>34</v>
      </c>
      <c r="BN11">
        <v>17</v>
      </c>
      <c r="BP11">
        <v>46</v>
      </c>
      <c r="BS11">
        <v>23</v>
      </c>
      <c r="BX11">
        <v>8</v>
      </c>
      <c r="BY11">
        <v>81</v>
      </c>
      <c r="BZ11">
        <v>315</v>
      </c>
    </row>
    <row r="12" spans="1:78" x14ac:dyDescent="0.25">
      <c r="A12" s="1" t="s">
        <v>17</v>
      </c>
      <c r="B12" s="1" t="s">
        <v>182</v>
      </c>
      <c r="C12" s="1" t="str">
        <f>VLOOKUP(B12,Months!$A$1:$B$12,2,0)</f>
        <v>March</v>
      </c>
      <c r="D12" s="1" t="str">
        <f t="shared" si="0"/>
        <v>FY23P9C</v>
      </c>
      <c r="E12" s="1" t="str">
        <f t="shared" si="1"/>
        <v>FY23P930001034</v>
      </c>
      <c r="F12" s="1">
        <f t="shared" si="20"/>
        <v>0</v>
      </c>
      <c r="G12" s="1">
        <f t="shared" si="21"/>
        <v>0</v>
      </c>
      <c r="H12" s="1">
        <f t="shared" si="22"/>
        <v>1</v>
      </c>
      <c r="I12" s="1" t="str">
        <f t="shared" si="23"/>
        <v>45012C</v>
      </c>
      <c r="J12" s="2" t="str">
        <f t="shared" si="24"/>
        <v>45012C        FS05</v>
      </c>
      <c r="K12" s="1" t="str">
        <f t="shared" si="7"/>
        <v>FY23P9        FS05C</v>
      </c>
      <c r="L12" s="1" t="str">
        <f t="shared" si="8"/>
        <v>FY23        FS05</v>
      </c>
      <c r="M12" s="1" t="str">
        <f>IF((O12&gt;='[1]DT date range'!$A$15)*AND(O12&lt;='[1]DT date range'!$A$17), IF(P12='[1]DT date range'!$A$19, "in", IF('[1]DT date range'!$A$19="Both", "in", "out")),"out")&amp;Q12</f>
        <v>in        FS05</v>
      </c>
      <c r="N12" s="1" t="str">
        <f t="shared" si="9"/>
        <v>FY23P9        FS05</v>
      </c>
      <c r="O12" s="125">
        <v>45012</v>
      </c>
      <c r="P12" s="135" t="s">
        <v>16</v>
      </c>
      <c r="Q12" t="s">
        <v>22</v>
      </c>
      <c r="R12">
        <v>417589</v>
      </c>
      <c r="S12">
        <v>30001034</v>
      </c>
      <c r="T12" t="s">
        <v>203</v>
      </c>
      <c r="U12">
        <v>20.5</v>
      </c>
      <c r="V12">
        <v>333</v>
      </c>
      <c r="W12">
        <v>48</v>
      </c>
      <c r="X12">
        <v>15984</v>
      </c>
      <c r="Y12">
        <v>250</v>
      </c>
      <c r="Z12">
        <v>250</v>
      </c>
      <c r="AA12">
        <v>205</v>
      </c>
      <c r="AC12">
        <v>205</v>
      </c>
      <c r="AD12">
        <v>51250</v>
      </c>
      <c r="AE12">
        <v>1068</v>
      </c>
      <c r="AF12">
        <v>15984</v>
      </c>
      <c r="AG12">
        <v>31.19</v>
      </c>
      <c r="AH12">
        <v>41.46</v>
      </c>
      <c r="AI12">
        <v>75.22</v>
      </c>
      <c r="AJ12">
        <v>100</v>
      </c>
      <c r="AL12">
        <v>15</v>
      </c>
      <c r="AQ12">
        <v>105</v>
      </c>
      <c r="AR12">
        <v>120</v>
      </c>
      <c r="AU12">
        <v>15</v>
      </c>
      <c r="BE12">
        <v>30</v>
      </c>
      <c r="BF12">
        <v>55</v>
      </c>
      <c r="BM12">
        <v>4</v>
      </c>
      <c r="BN12">
        <v>3</v>
      </c>
      <c r="BP12">
        <v>20</v>
      </c>
      <c r="BY12">
        <v>57</v>
      </c>
      <c r="BZ12">
        <v>112</v>
      </c>
    </row>
    <row r="13" spans="1:78" x14ac:dyDescent="0.25">
      <c r="A13" s="1" t="s">
        <v>17</v>
      </c>
      <c r="B13" s="1" t="s">
        <v>182</v>
      </c>
      <c r="C13" s="1" t="str">
        <f>VLOOKUP(B13,Months!$A$1:$B$12,2,0)</f>
        <v>March</v>
      </c>
      <c r="D13" s="1" t="str">
        <f t="shared" si="0"/>
        <v>FY23P9C</v>
      </c>
      <c r="E13" s="1" t="str">
        <f t="shared" si="1"/>
        <v>FY23P930001034</v>
      </c>
      <c r="F13" s="1">
        <f t="shared" si="20"/>
        <v>0</v>
      </c>
      <c r="G13" s="1">
        <f t="shared" si="21"/>
        <v>0</v>
      </c>
      <c r="H13" s="1">
        <f t="shared" si="22"/>
        <v>0</v>
      </c>
      <c r="I13" s="1" t="str">
        <f t="shared" si="23"/>
        <v>45012C</v>
      </c>
      <c r="J13" s="2" t="str">
        <f t="shared" si="24"/>
        <v>45012C        FS05</v>
      </c>
      <c r="K13" s="1" t="str">
        <f t="shared" si="7"/>
        <v>FY23P9        FS05C</v>
      </c>
      <c r="L13" s="1" t="str">
        <f t="shared" si="8"/>
        <v>FY23        FS05</v>
      </c>
      <c r="M13" s="1" t="str">
        <f>IF((O13&gt;='[1]DT date range'!$A$15)*AND(O13&lt;='[1]DT date range'!$A$17), IF(P13='[1]DT date range'!$A$19, "in", IF('[1]DT date range'!$A$19="Both", "in", "out")),"out")&amp;Q13</f>
        <v>in        FS05</v>
      </c>
      <c r="N13" s="1" t="str">
        <f t="shared" si="9"/>
        <v>FY23P9        FS05</v>
      </c>
      <c r="O13" s="125">
        <v>45012</v>
      </c>
      <c r="P13" s="135" t="s">
        <v>16</v>
      </c>
      <c r="Q13" t="s">
        <v>22</v>
      </c>
      <c r="R13">
        <v>417594</v>
      </c>
      <c r="S13">
        <v>30001034</v>
      </c>
      <c r="T13" t="s">
        <v>203</v>
      </c>
      <c r="U13">
        <v>43.17</v>
      </c>
      <c r="V13">
        <v>648</v>
      </c>
      <c r="W13">
        <v>48</v>
      </c>
      <c r="X13">
        <v>31104</v>
      </c>
      <c r="Y13">
        <v>250</v>
      </c>
      <c r="Z13">
        <v>250</v>
      </c>
      <c r="AA13">
        <v>370</v>
      </c>
      <c r="AC13">
        <v>370</v>
      </c>
      <c r="AD13">
        <v>92500</v>
      </c>
      <c r="AE13">
        <v>1927</v>
      </c>
      <c r="AF13">
        <v>31104</v>
      </c>
      <c r="AG13">
        <v>33.630000000000003</v>
      </c>
      <c r="AH13">
        <v>43.24</v>
      </c>
      <c r="AI13">
        <v>77.760000000000005</v>
      </c>
      <c r="AJ13">
        <v>100</v>
      </c>
      <c r="AL13">
        <v>30</v>
      </c>
      <c r="AO13">
        <v>20</v>
      </c>
      <c r="AQ13">
        <v>160</v>
      </c>
      <c r="AR13">
        <v>210</v>
      </c>
      <c r="AU13">
        <v>50</v>
      </c>
      <c r="AX13">
        <v>13</v>
      </c>
      <c r="BE13">
        <v>11</v>
      </c>
      <c r="BF13">
        <v>80</v>
      </c>
      <c r="BJ13">
        <v>38</v>
      </c>
      <c r="BM13">
        <v>4</v>
      </c>
      <c r="BN13">
        <v>18</v>
      </c>
      <c r="BY13">
        <v>168</v>
      </c>
      <c r="BZ13">
        <v>164</v>
      </c>
    </row>
    <row r="14" spans="1:78" x14ac:dyDescent="0.25">
      <c r="A14" s="1" t="s">
        <v>17</v>
      </c>
      <c r="B14" s="1" t="s">
        <v>182</v>
      </c>
      <c r="C14" s="1" t="str">
        <f>VLOOKUP(B14,Months!$A$1:$B$12,2,0)</f>
        <v>March</v>
      </c>
      <c r="D14" s="1" t="str">
        <f t="shared" si="0"/>
        <v>FY23P9C</v>
      </c>
      <c r="E14" s="1" t="str">
        <f t="shared" si="1"/>
        <v>FY23P963009850</v>
      </c>
      <c r="F14" s="1">
        <f t="shared" si="20"/>
        <v>0</v>
      </c>
      <c r="G14" s="1">
        <f t="shared" si="21"/>
        <v>0</v>
      </c>
      <c r="H14" s="1">
        <f t="shared" si="22"/>
        <v>1</v>
      </c>
      <c r="I14" s="1" t="str">
        <f t="shared" si="23"/>
        <v>45012C</v>
      </c>
      <c r="J14" s="2" t="str">
        <f t="shared" si="24"/>
        <v>45012C        FS10</v>
      </c>
      <c r="K14" s="1" t="str">
        <f t="shared" si="7"/>
        <v>FY23P9        FS10C</v>
      </c>
      <c r="L14" s="1" t="str">
        <f t="shared" si="8"/>
        <v>FY23        FS10</v>
      </c>
      <c r="M14" s="1" t="str">
        <f>IF((O14&gt;='[1]DT date range'!$A$15)*AND(O14&lt;='[1]DT date range'!$A$17), IF(P14='[1]DT date range'!$A$19, "in", IF('[1]DT date range'!$A$19="Both", "in", "out")),"out")&amp;Q14</f>
        <v>in        FS10</v>
      </c>
      <c r="N14" s="1" t="str">
        <f t="shared" si="9"/>
        <v>FY23P9        FS10</v>
      </c>
      <c r="O14" s="125">
        <v>45012</v>
      </c>
      <c r="P14" s="135" t="s">
        <v>16</v>
      </c>
      <c r="Q14" t="s">
        <v>24</v>
      </c>
      <c r="R14">
        <v>421248</v>
      </c>
      <c r="S14">
        <v>63009850</v>
      </c>
      <c r="T14" t="s">
        <v>200</v>
      </c>
      <c r="U14">
        <v>31.5</v>
      </c>
      <c r="V14">
        <v>2545</v>
      </c>
      <c r="W14">
        <v>12</v>
      </c>
      <c r="X14">
        <v>30540</v>
      </c>
      <c r="Y14">
        <v>250</v>
      </c>
      <c r="Z14">
        <v>250</v>
      </c>
      <c r="AA14">
        <v>210</v>
      </c>
      <c r="AC14">
        <v>210</v>
      </c>
      <c r="AD14">
        <v>52500</v>
      </c>
      <c r="AE14">
        <v>4375</v>
      </c>
      <c r="AF14">
        <v>30540</v>
      </c>
      <c r="AG14">
        <v>58.17</v>
      </c>
      <c r="AH14">
        <v>58.1</v>
      </c>
      <c r="AI14">
        <v>100.13</v>
      </c>
      <c r="AJ14">
        <v>100</v>
      </c>
      <c r="AK14">
        <v>10</v>
      </c>
      <c r="AQ14">
        <v>78</v>
      </c>
      <c r="AR14">
        <v>88</v>
      </c>
      <c r="AU14">
        <v>10</v>
      </c>
      <c r="AV14">
        <v>10</v>
      </c>
      <c r="AX14">
        <v>15</v>
      </c>
      <c r="BF14">
        <v>23</v>
      </c>
      <c r="BN14">
        <v>30</v>
      </c>
      <c r="BY14">
        <v>783</v>
      </c>
      <c r="BZ14">
        <v>78</v>
      </c>
    </row>
    <row r="15" spans="1:78" x14ac:dyDescent="0.25">
      <c r="A15" s="1" t="s">
        <v>17</v>
      </c>
      <c r="B15" s="1" t="s">
        <v>182</v>
      </c>
      <c r="C15" s="1" t="str">
        <f>VLOOKUP(B15,Months!$A$1:$B$12,2,0)</f>
        <v>March</v>
      </c>
      <c r="D15" s="1" t="str">
        <f t="shared" si="0"/>
        <v>FY23P9C</v>
      </c>
      <c r="E15" s="1" t="str">
        <f t="shared" si="1"/>
        <v>FY23P963009850</v>
      </c>
      <c r="F15" s="1">
        <f t="shared" si="20"/>
        <v>0</v>
      </c>
      <c r="G15" s="1">
        <f t="shared" si="21"/>
        <v>0</v>
      </c>
      <c r="H15" s="1">
        <f t="shared" si="22"/>
        <v>0</v>
      </c>
      <c r="I15" s="1" t="str">
        <f t="shared" si="23"/>
        <v>45012C</v>
      </c>
      <c r="J15" s="2" t="str">
        <f t="shared" si="24"/>
        <v>45012C        FS10</v>
      </c>
      <c r="K15" s="1" t="str">
        <f t="shared" si="7"/>
        <v>FY23P9        FS10C</v>
      </c>
      <c r="L15" s="1" t="str">
        <f t="shared" si="8"/>
        <v>FY23        FS10</v>
      </c>
      <c r="M15" s="1" t="str">
        <f>IF((O15&gt;='[1]DT date range'!$A$15)*AND(O15&lt;='[1]DT date range'!$A$17), IF(P15='[1]DT date range'!$A$19, "in", IF('[1]DT date range'!$A$19="Both", "in", "out")),"out")&amp;Q15</f>
        <v>in        FS10</v>
      </c>
      <c r="N15" s="1" t="str">
        <f t="shared" si="9"/>
        <v>FY23P9        FS10</v>
      </c>
      <c r="O15" s="125">
        <v>45012</v>
      </c>
      <c r="P15" s="135" t="s">
        <v>16</v>
      </c>
      <c r="Q15" t="s">
        <v>24</v>
      </c>
      <c r="R15">
        <v>425872</v>
      </c>
      <c r="S15">
        <v>63009850</v>
      </c>
      <c r="T15" t="s">
        <v>200</v>
      </c>
      <c r="U15">
        <v>44.25</v>
      </c>
      <c r="V15">
        <v>3820</v>
      </c>
      <c r="W15">
        <v>12</v>
      </c>
      <c r="X15">
        <v>45840</v>
      </c>
      <c r="Y15">
        <v>250</v>
      </c>
      <c r="Z15">
        <v>250</v>
      </c>
      <c r="AA15">
        <v>295</v>
      </c>
      <c r="AB15">
        <v>30</v>
      </c>
      <c r="AC15">
        <v>265</v>
      </c>
      <c r="AD15">
        <v>66250</v>
      </c>
      <c r="AE15">
        <v>5521</v>
      </c>
      <c r="AF15">
        <v>45840</v>
      </c>
      <c r="AG15">
        <v>69.19</v>
      </c>
      <c r="AH15">
        <v>60.75</v>
      </c>
      <c r="AI15">
        <v>113.89</v>
      </c>
      <c r="AJ15">
        <v>100</v>
      </c>
      <c r="AM15">
        <v>10</v>
      </c>
      <c r="AQ15">
        <v>94</v>
      </c>
      <c r="AR15">
        <v>104</v>
      </c>
      <c r="AU15">
        <v>40</v>
      </c>
      <c r="BE15">
        <v>23</v>
      </c>
      <c r="BH15">
        <v>8</v>
      </c>
      <c r="BK15">
        <v>10</v>
      </c>
      <c r="BN15">
        <v>35</v>
      </c>
      <c r="BQ15">
        <v>26</v>
      </c>
      <c r="BY15">
        <v>234</v>
      </c>
      <c r="BZ15">
        <v>102</v>
      </c>
    </row>
    <row r="16" spans="1:78" x14ac:dyDescent="0.25">
      <c r="A16" s="1" t="s">
        <v>17</v>
      </c>
      <c r="B16" s="1" t="s">
        <v>182</v>
      </c>
      <c r="C16" s="1" t="str">
        <f>VLOOKUP(B16,Months!$A$1:$B$12,2,0)</f>
        <v>March</v>
      </c>
      <c r="D16" s="1" t="str">
        <f t="shared" si="0"/>
        <v>FY23P9C</v>
      </c>
      <c r="E16" s="1" t="str">
        <f t="shared" si="1"/>
        <v>FY23P930012034</v>
      </c>
      <c r="F16" s="1">
        <f t="shared" si="20"/>
        <v>0</v>
      </c>
      <c r="G16" s="1">
        <f t="shared" si="21"/>
        <v>0</v>
      </c>
      <c r="H16" s="1">
        <f t="shared" si="22"/>
        <v>1</v>
      </c>
      <c r="I16" s="1" t="str">
        <f t="shared" si="23"/>
        <v>45012C</v>
      </c>
      <c r="J16" s="2" t="str">
        <f t="shared" si="24"/>
        <v>45012C        FS12</v>
      </c>
      <c r="K16" s="1" t="str">
        <f t="shared" si="7"/>
        <v>FY23P9        FS12C</v>
      </c>
      <c r="L16" s="1" t="str">
        <f t="shared" si="8"/>
        <v>FY23        FS12</v>
      </c>
      <c r="M16" s="1" t="str">
        <f>IF((O16&gt;='[1]DT date range'!$A$15)*AND(O16&lt;='[1]DT date range'!$A$17), IF(P16='[1]DT date range'!$A$19, "in", IF('[1]DT date range'!$A$19="Both", "in", "out")),"out")&amp;Q16</f>
        <v>in        FS12</v>
      </c>
      <c r="N16" s="1" t="str">
        <f t="shared" si="9"/>
        <v>FY23P9        FS12</v>
      </c>
      <c r="O16" s="125">
        <v>45012</v>
      </c>
      <c r="P16" s="135" t="s">
        <v>16</v>
      </c>
      <c r="Q16" t="s">
        <v>25</v>
      </c>
      <c r="R16">
        <v>417600</v>
      </c>
      <c r="S16">
        <v>30012034</v>
      </c>
      <c r="T16" t="s">
        <v>201</v>
      </c>
      <c r="U16">
        <v>18</v>
      </c>
      <c r="V16">
        <v>1182</v>
      </c>
      <c r="W16">
        <v>6</v>
      </c>
      <c r="X16">
        <v>7092</v>
      </c>
      <c r="Y16">
        <v>130</v>
      </c>
      <c r="Z16">
        <v>130</v>
      </c>
      <c r="AA16">
        <v>180</v>
      </c>
      <c r="AC16">
        <v>180</v>
      </c>
      <c r="AD16">
        <v>23400</v>
      </c>
      <c r="AE16">
        <v>3900</v>
      </c>
      <c r="AF16">
        <v>7092</v>
      </c>
      <c r="AG16">
        <v>30.31</v>
      </c>
      <c r="AH16">
        <v>41.11</v>
      </c>
      <c r="AI16">
        <v>73.72</v>
      </c>
      <c r="AJ16">
        <v>100</v>
      </c>
      <c r="AO16">
        <v>30</v>
      </c>
      <c r="AQ16">
        <v>76</v>
      </c>
      <c r="AR16">
        <v>106</v>
      </c>
      <c r="AU16">
        <v>30</v>
      </c>
      <c r="AX16">
        <v>10</v>
      </c>
      <c r="BC16">
        <v>43</v>
      </c>
      <c r="BE16">
        <v>10</v>
      </c>
      <c r="BH16">
        <v>9</v>
      </c>
      <c r="BJ16">
        <v>13</v>
      </c>
      <c r="BN16">
        <v>8</v>
      </c>
      <c r="BY16">
        <v>462</v>
      </c>
      <c r="BZ16">
        <v>93</v>
      </c>
    </row>
    <row r="17" spans="1:78" x14ac:dyDescent="0.25">
      <c r="A17" s="1" t="s">
        <v>17</v>
      </c>
      <c r="B17" s="1" t="s">
        <v>182</v>
      </c>
      <c r="C17" s="1" t="str">
        <f>VLOOKUP(B17,Months!$A$1:$B$12,2,0)</f>
        <v>March</v>
      </c>
      <c r="D17" s="1" t="str">
        <f t="shared" si="0"/>
        <v>FY23P9C</v>
      </c>
      <c r="E17" s="1" t="str">
        <f t="shared" si="1"/>
        <v>FY23P930012034</v>
      </c>
      <c r="F17" s="1">
        <f t="shared" si="20"/>
        <v>0</v>
      </c>
      <c r="G17" s="1">
        <f t="shared" si="21"/>
        <v>0</v>
      </c>
      <c r="H17" s="1">
        <f t="shared" si="22"/>
        <v>0</v>
      </c>
      <c r="I17" s="1" t="str">
        <f t="shared" si="23"/>
        <v>45012C</v>
      </c>
      <c r="J17" s="2" t="str">
        <f t="shared" si="24"/>
        <v>45012C        FS12</v>
      </c>
      <c r="K17" s="1" t="str">
        <f t="shared" si="7"/>
        <v>FY23P9        FS12C</v>
      </c>
      <c r="L17" s="1" t="str">
        <f t="shared" si="8"/>
        <v>FY23        FS12</v>
      </c>
      <c r="M17" s="1" t="str">
        <f>IF((O17&gt;='[1]DT date range'!$A$15)*AND(O17&lt;='[1]DT date range'!$A$17), IF(P17='[1]DT date range'!$A$19, "in", IF('[1]DT date range'!$A$19="Both", "in", "out")),"out")&amp;Q17</f>
        <v>in        FS12</v>
      </c>
      <c r="N17" s="1" t="str">
        <f t="shared" si="9"/>
        <v>FY23P9        FS12</v>
      </c>
      <c r="O17" s="125">
        <v>45012</v>
      </c>
      <c r="P17" s="135" t="s">
        <v>16</v>
      </c>
      <c r="Q17" t="s">
        <v>25</v>
      </c>
      <c r="R17">
        <v>417588</v>
      </c>
      <c r="S17">
        <v>30012034</v>
      </c>
      <c r="T17" t="s">
        <v>201</v>
      </c>
      <c r="U17">
        <v>45</v>
      </c>
      <c r="V17">
        <v>4208</v>
      </c>
      <c r="W17">
        <v>6</v>
      </c>
      <c r="X17">
        <v>25248</v>
      </c>
      <c r="Y17">
        <v>130</v>
      </c>
      <c r="Z17">
        <v>130</v>
      </c>
      <c r="AA17">
        <v>450</v>
      </c>
      <c r="AB17">
        <v>30</v>
      </c>
      <c r="AC17">
        <v>420</v>
      </c>
      <c r="AD17">
        <v>54600</v>
      </c>
      <c r="AE17">
        <v>9100</v>
      </c>
      <c r="AF17">
        <v>25248</v>
      </c>
      <c r="AG17">
        <v>46.24</v>
      </c>
      <c r="AH17">
        <v>50</v>
      </c>
      <c r="AI17">
        <v>92.48</v>
      </c>
      <c r="AJ17">
        <v>100</v>
      </c>
      <c r="AK17">
        <v>10</v>
      </c>
      <c r="AQ17">
        <v>200</v>
      </c>
      <c r="AR17">
        <v>210</v>
      </c>
      <c r="AU17">
        <v>40</v>
      </c>
      <c r="AY17">
        <v>8</v>
      </c>
      <c r="BC17">
        <v>115</v>
      </c>
      <c r="BF17">
        <v>17</v>
      </c>
      <c r="BJ17">
        <v>25</v>
      </c>
      <c r="BN17">
        <v>23</v>
      </c>
      <c r="BP17">
        <v>20</v>
      </c>
      <c r="BY17">
        <v>657</v>
      </c>
      <c r="BZ17">
        <v>208</v>
      </c>
    </row>
    <row r="18" spans="1:78" x14ac:dyDescent="0.25">
      <c r="A18" s="1" t="s">
        <v>17</v>
      </c>
      <c r="B18" s="1" t="s">
        <v>182</v>
      </c>
      <c r="C18" s="1" t="str">
        <f>VLOOKUP(B18,Months!$A$1:$B$12,2,0)</f>
        <v>March</v>
      </c>
      <c r="D18" s="1" t="str">
        <f t="shared" si="0"/>
        <v>FY23P9B</v>
      </c>
      <c r="E18" s="1" t="str">
        <f t="shared" si="1"/>
        <v>FY23P971608004</v>
      </c>
      <c r="F18" s="1">
        <f t="shared" ref="F18:F30" si="25">IF(O18=O17,0,1)</f>
        <v>1</v>
      </c>
      <c r="G18" s="1">
        <f t="shared" ref="G18:G30" si="26">IF(AND(O18=O17, P18=P17),0,1)</f>
        <v>1</v>
      </c>
      <c r="H18" s="1">
        <f t="shared" ref="H18:H30" si="27">IF(AND(O18=O17, P18=P17, Q18=Q17),0,1)</f>
        <v>1</v>
      </c>
      <c r="I18" s="1" t="str">
        <f t="shared" ref="I18:I30" si="28">CONCATENATE(O18,P18)</f>
        <v>45013B</v>
      </c>
      <c r="J18" s="2" t="str">
        <f t="shared" ref="J18:J30" si="29">CONCATENATE(O18,P18,Q18)</f>
        <v>45013B        FS01</v>
      </c>
      <c r="K18" s="1" t="str">
        <f t="shared" si="7"/>
        <v>FY23P9        FS01B</v>
      </c>
      <c r="L18" s="1" t="str">
        <f t="shared" si="8"/>
        <v>FY23        FS01</v>
      </c>
      <c r="M18" s="1" t="str">
        <f>IF((O18&gt;='[1]DT date range'!$A$15)*AND(O18&lt;='[1]DT date range'!$A$17), IF(P18='[1]DT date range'!$A$19, "in", IF('[1]DT date range'!$A$19="Both", "in", "out")),"out")&amp;Q18</f>
        <v>in        FS01</v>
      </c>
      <c r="N18" s="1" t="str">
        <f t="shared" si="9"/>
        <v>FY23P9        FS01</v>
      </c>
      <c r="O18" s="125">
        <v>45013</v>
      </c>
      <c r="P18" s="135" t="s">
        <v>18</v>
      </c>
      <c r="Q18" t="s">
        <v>19</v>
      </c>
      <c r="R18">
        <v>424499</v>
      </c>
      <c r="S18">
        <v>71608004</v>
      </c>
      <c r="T18" t="s">
        <v>202</v>
      </c>
      <c r="U18">
        <v>156</v>
      </c>
      <c r="V18">
        <v>190</v>
      </c>
      <c r="W18">
        <v>6</v>
      </c>
      <c r="X18">
        <v>1140</v>
      </c>
      <c r="Y18">
        <v>55</v>
      </c>
      <c r="Z18">
        <v>55</v>
      </c>
      <c r="AA18">
        <v>720</v>
      </c>
      <c r="AB18">
        <v>30</v>
      </c>
      <c r="AC18">
        <v>690</v>
      </c>
      <c r="AD18">
        <v>37950</v>
      </c>
      <c r="AE18">
        <v>6325</v>
      </c>
      <c r="AF18">
        <v>1140</v>
      </c>
      <c r="AG18">
        <v>3</v>
      </c>
      <c r="AH18">
        <v>7.39</v>
      </c>
      <c r="AI18">
        <v>40.64</v>
      </c>
      <c r="AJ18">
        <v>100</v>
      </c>
      <c r="AK18">
        <v>10</v>
      </c>
      <c r="AL18">
        <v>60</v>
      </c>
      <c r="AM18">
        <v>10</v>
      </c>
      <c r="AO18">
        <v>20</v>
      </c>
      <c r="AQ18">
        <v>539</v>
      </c>
      <c r="AR18">
        <v>639</v>
      </c>
      <c r="AU18">
        <v>130</v>
      </c>
      <c r="BB18">
        <v>25</v>
      </c>
      <c r="BC18">
        <v>420</v>
      </c>
      <c r="BD18">
        <v>10</v>
      </c>
      <c r="BE18">
        <v>12</v>
      </c>
      <c r="BI18">
        <v>7</v>
      </c>
      <c r="BJ18">
        <v>10</v>
      </c>
      <c r="BN18">
        <v>62</v>
      </c>
      <c r="BZ18">
        <v>546</v>
      </c>
    </row>
    <row r="19" spans="1:78" x14ac:dyDescent="0.25">
      <c r="A19" s="1" t="s">
        <v>17</v>
      </c>
      <c r="B19" s="1" t="s">
        <v>182</v>
      </c>
      <c r="C19" s="1" t="str">
        <f>VLOOKUP(B19,Months!$A$1:$B$12,2,0)</f>
        <v>March</v>
      </c>
      <c r="D19" s="1" t="str">
        <f t="shared" si="0"/>
        <v>FY23P9B</v>
      </c>
      <c r="E19" s="1" t="str">
        <f t="shared" si="1"/>
        <v>FY23P930000034</v>
      </c>
      <c r="F19" s="1">
        <f t="shared" si="25"/>
        <v>0</v>
      </c>
      <c r="G19" s="1">
        <f t="shared" si="26"/>
        <v>0</v>
      </c>
      <c r="H19" s="1">
        <f t="shared" si="27"/>
        <v>1</v>
      </c>
      <c r="I19" s="1" t="str">
        <f t="shared" si="28"/>
        <v>45013B</v>
      </c>
      <c r="J19" s="2" t="str">
        <f t="shared" si="29"/>
        <v>45013B        FS03</v>
      </c>
      <c r="K19" s="1" t="str">
        <f t="shared" si="7"/>
        <v>FY23P9        FS03B</v>
      </c>
      <c r="L19" s="1" t="str">
        <f t="shared" si="8"/>
        <v>FY23        FS03</v>
      </c>
      <c r="M19" s="1" t="str">
        <f>IF((O19&gt;='[1]DT date range'!$A$15)*AND(O19&lt;='[1]DT date range'!$A$17), IF(P19='[1]DT date range'!$A$19, "in", IF('[1]DT date range'!$A$19="Both", "in", "out")),"out")&amp;Q19</f>
        <v>in        FS03</v>
      </c>
      <c r="N19" s="1" t="str">
        <f t="shared" si="9"/>
        <v>FY23P9        FS03</v>
      </c>
      <c r="O19" s="125">
        <v>45013</v>
      </c>
      <c r="P19" s="135" t="s">
        <v>18</v>
      </c>
      <c r="Q19" t="s">
        <v>20</v>
      </c>
      <c r="R19">
        <v>419155</v>
      </c>
      <c r="S19">
        <v>30000034</v>
      </c>
      <c r="T19" t="s">
        <v>194</v>
      </c>
      <c r="U19">
        <v>60</v>
      </c>
      <c r="V19">
        <v>927</v>
      </c>
      <c r="W19">
        <v>120</v>
      </c>
      <c r="X19">
        <v>111240</v>
      </c>
      <c r="Y19">
        <v>380</v>
      </c>
      <c r="Z19">
        <v>380</v>
      </c>
      <c r="AA19">
        <v>720</v>
      </c>
      <c r="AB19">
        <v>30</v>
      </c>
      <c r="AC19">
        <v>690</v>
      </c>
      <c r="AD19">
        <v>262200</v>
      </c>
      <c r="AE19">
        <v>2185</v>
      </c>
      <c r="AF19">
        <v>111240</v>
      </c>
      <c r="AG19">
        <v>42.43</v>
      </c>
      <c r="AH19">
        <v>43.77</v>
      </c>
      <c r="AI19">
        <v>96.93</v>
      </c>
      <c r="AJ19">
        <v>100</v>
      </c>
      <c r="AL19">
        <v>15</v>
      </c>
      <c r="AO19">
        <v>20</v>
      </c>
      <c r="AQ19">
        <v>353</v>
      </c>
      <c r="AR19">
        <v>388</v>
      </c>
      <c r="AU19">
        <v>65</v>
      </c>
      <c r="AV19">
        <v>25</v>
      </c>
      <c r="AX19">
        <v>15</v>
      </c>
      <c r="AY19">
        <v>30</v>
      </c>
      <c r="BF19">
        <v>80</v>
      </c>
      <c r="BH19">
        <v>15</v>
      </c>
      <c r="BI19">
        <v>70</v>
      </c>
      <c r="BJ19">
        <v>23</v>
      </c>
      <c r="BR19">
        <v>25</v>
      </c>
      <c r="BS19">
        <v>7</v>
      </c>
      <c r="BT19">
        <v>70</v>
      </c>
      <c r="BY19">
        <v>120</v>
      </c>
      <c r="BZ19">
        <v>360</v>
      </c>
    </row>
    <row r="20" spans="1:78" x14ac:dyDescent="0.25">
      <c r="A20" s="1" t="s">
        <v>17</v>
      </c>
      <c r="B20" s="1" t="s">
        <v>182</v>
      </c>
      <c r="C20" s="1" t="str">
        <f>VLOOKUP(B20,Months!$A$1:$B$12,2,0)</f>
        <v>March</v>
      </c>
      <c r="D20" s="1" t="str">
        <f t="shared" si="0"/>
        <v>FY23P9B</v>
      </c>
      <c r="E20" s="1" t="str">
        <f t="shared" si="1"/>
        <v>FY23P996705001</v>
      </c>
      <c r="F20" s="1">
        <f t="shared" si="25"/>
        <v>0</v>
      </c>
      <c r="G20" s="1">
        <f t="shared" si="26"/>
        <v>0</v>
      </c>
      <c r="H20" s="1">
        <f t="shared" si="27"/>
        <v>1</v>
      </c>
      <c r="I20" s="1" t="str">
        <f t="shared" si="28"/>
        <v>45013B</v>
      </c>
      <c r="J20" s="2" t="str">
        <f t="shared" si="29"/>
        <v>45013B        FS04</v>
      </c>
      <c r="K20" s="1" t="str">
        <f t="shared" si="7"/>
        <v>FY23P9        FS04B</v>
      </c>
      <c r="L20" s="1" t="str">
        <f t="shared" si="8"/>
        <v>FY23        FS04</v>
      </c>
      <c r="M20" s="1" t="str">
        <f>IF((O20&gt;='[1]DT date range'!$A$15)*AND(O20&lt;='[1]DT date range'!$A$17), IF(P20='[1]DT date range'!$A$19, "in", IF('[1]DT date range'!$A$19="Both", "in", "out")),"out")&amp;Q20</f>
        <v>in        FS04</v>
      </c>
      <c r="N20" s="1" t="str">
        <f t="shared" si="9"/>
        <v>FY23P9        FS04</v>
      </c>
      <c r="O20" s="125">
        <v>45013</v>
      </c>
      <c r="P20" s="135" t="s">
        <v>18</v>
      </c>
      <c r="Q20" t="s">
        <v>21</v>
      </c>
      <c r="R20">
        <v>417639</v>
      </c>
      <c r="S20">
        <v>96705001</v>
      </c>
      <c r="T20" t="s">
        <v>199</v>
      </c>
      <c r="U20">
        <v>8.6300000000000008</v>
      </c>
      <c r="V20">
        <v>575</v>
      </c>
      <c r="W20">
        <v>12</v>
      </c>
      <c r="X20">
        <v>6900</v>
      </c>
      <c r="Y20">
        <v>185</v>
      </c>
      <c r="Z20">
        <v>185</v>
      </c>
      <c r="AA20">
        <v>74</v>
      </c>
      <c r="AC20">
        <v>74</v>
      </c>
      <c r="AD20">
        <v>13690</v>
      </c>
      <c r="AE20">
        <v>1141</v>
      </c>
      <c r="AF20">
        <v>6900</v>
      </c>
      <c r="AG20">
        <v>50.4</v>
      </c>
      <c r="AH20">
        <v>79.73</v>
      </c>
      <c r="AI20">
        <v>63.22</v>
      </c>
      <c r="AJ20">
        <v>100</v>
      </c>
      <c r="AK20">
        <v>5</v>
      </c>
      <c r="AQ20">
        <v>10</v>
      </c>
      <c r="AR20">
        <v>15</v>
      </c>
      <c r="AU20">
        <v>5</v>
      </c>
      <c r="BC20">
        <v>6</v>
      </c>
      <c r="BE20">
        <v>6</v>
      </c>
      <c r="BJ20">
        <v>4</v>
      </c>
      <c r="BK20">
        <v>6</v>
      </c>
      <c r="BP20">
        <v>10</v>
      </c>
      <c r="BY20">
        <v>497</v>
      </c>
      <c r="BZ20">
        <v>32</v>
      </c>
    </row>
    <row r="21" spans="1:78" x14ac:dyDescent="0.25">
      <c r="A21" s="1" t="s">
        <v>17</v>
      </c>
      <c r="B21" s="1" t="s">
        <v>182</v>
      </c>
      <c r="C21" s="1" t="str">
        <f>VLOOKUP(B21,Months!$A$1:$B$12,2,0)</f>
        <v>March</v>
      </c>
      <c r="D21" s="1" t="str">
        <f t="shared" si="0"/>
        <v>FY23P9B</v>
      </c>
      <c r="E21" s="1" t="str">
        <f t="shared" si="1"/>
        <v>FY23P996705001</v>
      </c>
      <c r="F21" s="1">
        <f t="shared" si="25"/>
        <v>0</v>
      </c>
      <c r="G21" s="1">
        <f t="shared" si="26"/>
        <v>0</v>
      </c>
      <c r="H21" s="1">
        <f t="shared" si="27"/>
        <v>0</v>
      </c>
      <c r="I21" s="1" t="str">
        <f t="shared" si="28"/>
        <v>45013B</v>
      </c>
      <c r="J21" s="2" t="str">
        <f t="shared" si="29"/>
        <v>45013B        FS04</v>
      </c>
      <c r="K21" s="1" t="str">
        <f t="shared" si="7"/>
        <v>FY23P9        FS04B</v>
      </c>
      <c r="L21" s="1" t="str">
        <f t="shared" si="8"/>
        <v>FY23        FS04</v>
      </c>
      <c r="M21" s="1" t="str">
        <f>IF((O21&gt;='[1]DT date range'!$A$15)*AND(O21&lt;='[1]DT date range'!$A$17), IF(P21='[1]DT date range'!$A$19, "in", IF('[1]DT date range'!$A$19="Both", "in", "out")),"out")&amp;Q21</f>
        <v>in        FS04</v>
      </c>
      <c r="N21" s="1" t="str">
        <f t="shared" si="9"/>
        <v>FY23P9        FS04</v>
      </c>
      <c r="O21" s="125">
        <v>45013</v>
      </c>
      <c r="P21" s="135" t="s">
        <v>18</v>
      </c>
      <c r="Q21" t="s">
        <v>21</v>
      </c>
      <c r="R21">
        <v>428113</v>
      </c>
      <c r="S21">
        <v>96705001</v>
      </c>
      <c r="T21" t="s">
        <v>199</v>
      </c>
      <c r="U21">
        <v>22.05</v>
      </c>
      <c r="V21">
        <v>270</v>
      </c>
      <c r="W21">
        <v>12</v>
      </c>
      <c r="X21">
        <v>3240</v>
      </c>
      <c r="Y21">
        <v>185</v>
      </c>
      <c r="Z21">
        <v>185</v>
      </c>
      <c r="AA21">
        <v>189</v>
      </c>
      <c r="AC21">
        <v>189</v>
      </c>
      <c r="AD21">
        <v>34965</v>
      </c>
      <c r="AE21">
        <v>2914</v>
      </c>
      <c r="AF21">
        <v>3240</v>
      </c>
      <c r="AG21">
        <v>9.27</v>
      </c>
      <c r="AH21">
        <v>15.34</v>
      </c>
      <c r="AI21">
        <v>60.39</v>
      </c>
      <c r="AJ21">
        <v>100</v>
      </c>
      <c r="AL21">
        <v>15</v>
      </c>
      <c r="AQ21">
        <v>145</v>
      </c>
      <c r="AR21">
        <v>160</v>
      </c>
      <c r="AU21">
        <v>15</v>
      </c>
      <c r="AY21">
        <v>25</v>
      </c>
      <c r="BE21">
        <v>16</v>
      </c>
      <c r="BO21">
        <v>104</v>
      </c>
      <c r="BP21">
        <v>6</v>
      </c>
      <c r="BY21">
        <v>270</v>
      </c>
      <c r="BZ21">
        <v>151</v>
      </c>
    </row>
    <row r="22" spans="1:78" x14ac:dyDescent="0.25">
      <c r="A22" s="1" t="s">
        <v>17</v>
      </c>
      <c r="B22" s="1" t="s">
        <v>182</v>
      </c>
      <c r="C22" s="1" t="str">
        <f>VLOOKUP(B22,Months!$A$1:$B$12,2,0)</f>
        <v>March</v>
      </c>
      <c r="D22" s="1" t="str">
        <f t="shared" si="0"/>
        <v>FY23P9B</v>
      </c>
      <c r="E22" s="1" t="str">
        <f t="shared" si="1"/>
        <v>FY23P930001034</v>
      </c>
      <c r="F22" s="1">
        <f t="shared" si="25"/>
        <v>0</v>
      </c>
      <c r="G22" s="1">
        <f t="shared" si="26"/>
        <v>0</v>
      </c>
      <c r="H22" s="1">
        <f t="shared" si="27"/>
        <v>1</v>
      </c>
      <c r="I22" s="1" t="str">
        <f t="shared" si="28"/>
        <v>45013B</v>
      </c>
      <c r="J22" s="2" t="str">
        <f t="shared" si="29"/>
        <v>45013B        FS05</v>
      </c>
      <c r="K22" s="1" t="str">
        <f t="shared" si="7"/>
        <v>FY23P9        FS05B</v>
      </c>
      <c r="L22" s="1" t="str">
        <f t="shared" si="8"/>
        <v>FY23        FS05</v>
      </c>
      <c r="M22" s="1" t="str">
        <f>IF((O22&gt;='[1]DT date range'!$A$15)*AND(O22&lt;='[1]DT date range'!$A$17), IF(P22='[1]DT date range'!$A$19, "in", IF('[1]DT date range'!$A$19="Both", "in", "out")),"out")&amp;Q22</f>
        <v>in        FS05</v>
      </c>
      <c r="N22" s="1" t="str">
        <f t="shared" si="9"/>
        <v>FY23P9        FS05</v>
      </c>
      <c r="O22" s="125">
        <v>45013</v>
      </c>
      <c r="P22" s="135" t="s">
        <v>18</v>
      </c>
      <c r="Q22" t="s">
        <v>22</v>
      </c>
      <c r="R22">
        <v>417594</v>
      </c>
      <c r="S22">
        <v>30001034</v>
      </c>
      <c r="T22" t="s">
        <v>203</v>
      </c>
      <c r="U22">
        <v>17.09</v>
      </c>
      <c r="V22">
        <v>540</v>
      </c>
      <c r="W22">
        <v>48</v>
      </c>
      <c r="X22">
        <v>25920</v>
      </c>
      <c r="Y22">
        <v>250</v>
      </c>
      <c r="Z22">
        <v>250</v>
      </c>
      <c r="AA22">
        <v>205</v>
      </c>
      <c r="AC22">
        <v>205</v>
      </c>
      <c r="AD22">
        <v>51250</v>
      </c>
      <c r="AE22">
        <v>1068</v>
      </c>
      <c r="AF22">
        <v>25920</v>
      </c>
      <c r="AG22">
        <v>50.58</v>
      </c>
      <c r="AH22">
        <v>70.73</v>
      </c>
      <c r="AI22">
        <v>71.5</v>
      </c>
      <c r="AJ22">
        <v>100</v>
      </c>
      <c r="AK22">
        <v>5</v>
      </c>
      <c r="AL22">
        <v>15</v>
      </c>
      <c r="AQ22">
        <v>40</v>
      </c>
      <c r="AR22">
        <v>60</v>
      </c>
      <c r="AU22">
        <v>20</v>
      </c>
      <c r="AW22">
        <v>15</v>
      </c>
      <c r="AX22">
        <v>5</v>
      </c>
      <c r="BA22">
        <v>5</v>
      </c>
      <c r="BC22">
        <v>3</v>
      </c>
      <c r="BE22">
        <v>6</v>
      </c>
      <c r="BJ22">
        <v>6</v>
      </c>
      <c r="BM22">
        <v>5</v>
      </c>
      <c r="BN22">
        <v>25</v>
      </c>
      <c r="BP22">
        <v>2</v>
      </c>
      <c r="BY22">
        <v>190</v>
      </c>
      <c r="BZ22">
        <v>72</v>
      </c>
    </row>
    <row r="23" spans="1:78" x14ac:dyDescent="0.25">
      <c r="A23" s="1" t="s">
        <v>17</v>
      </c>
      <c r="B23" s="1" t="s">
        <v>182</v>
      </c>
      <c r="C23" s="1" t="str">
        <f>VLOOKUP(B23,Months!$A$1:$B$12,2,0)</f>
        <v>March</v>
      </c>
      <c r="D23" s="1" t="str">
        <f t="shared" si="0"/>
        <v>FY23P9B</v>
      </c>
      <c r="E23" s="1" t="str">
        <f t="shared" si="1"/>
        <v>FY23P930001034</v>
      </c>
      <c r="F23" s="1">
        <f t="shared" si="25"/>
        <v>0</v>
      </c>
      <c r="G23" s="1">
        <f t="shared" si="26"/>
        <v>0</v>
      </c>
      <c r="H23" s="1">
        <f t="shared" si="27"/>
        <v>0</v>
      </c>
      <c r="I23" s="1" t="str">
        <f t="shared" si="28"/>
        <v>45013B</v>
      </c>
      <c r="J23" s="2" t="str">
        <f t="shared" si="29"/>
        <v>45013B        FS05</v>
      </c>
      <c r="K23" s="1" t="str">
        <f t="shared" si="7"/>
        <v>FY23P9        FS05B</v>
      </c>
      <c r="L23" s="1" t="str">
        <f t="shared" si="8"/>
        <v>FY23        FS05</v>
      </c>
      <c r="M23" s="1" t="str">
        <f>IF((O23&gt;='[1]DT date range'!$A$15)*AND(O23&lt;='[1]DT date range'!$A$17), IF(P23='[1]DT date range'!$A$19, "in", IF('[1]DT date range'!$A$19="Both", "in", "out")),"out")&amp;Q23</f>
        <v>in        FS05</v>
      </c>
      <c r="N23" s="1" t="str">
        <f t="shared" si="9"/>
        <v>FY23P9        FS05</v>
      </c>
      <c r="O23" s="125">
        <v>45013</v>
      </c>
      <c r="P23" s="135" t="s">
        <v>18</v>
      </c>
      <c r="Q23" t="s">
        <v>22</v>
      </c>
      <c r="R23">
        <v>417601</v>
      </c>
      <c r="S23">
        <v>30001034</v>
      </c>
      <c r="T23" t="s">
        <v>203</v>
      </c>
      <c r="U23">
        <v>41.25</v>
      </c>
      <c r="V23">
        <v>1099</v>
      </c>
      <c r="W23">
        <v>48</v>
      </c>
      <c r="X23">
        <v>52752</v>
      </c>
      <c r="Y23">
        <v>250</v>
      </c>
      <c r="Z23">
        <v>250</v>
      </c>
      <c r="AA23">
        <v>495</v>
      </c>
      <c r="AB23">
        <v>30</v>
      </c>
      <c r="AC23">
        <v>465</v>
      </c>
      <c r="AD23">
        <v>116250</v>
      </c>
      <c r="AE23">
        <v>2422</v>
      </c>
      <c r="AF23">
        <v>52752</v>
      </c>
      <c r="AG23">
        <v>45.38</v>
      </c>
      <c r="AH23">
        <v>66.67</v>
      </c>
      <c r="AI23">
        <v>68.069999999999993</v>
      </c>
      <c r="AJ23">
        <v>100</v>
      </c>
      <c r="AL23">
        <v>15</v>
      </c>
      <c r="AO23">
        <v>30</v>
      </c>
      <c r="AQ23">
        <v>110</v>
      </c>
      <c r="AR23">
        <v>155</v>
      </c>
      <c r="AU23">
        <v>75</v>
      </c>
      <c r="AX23">
        <v>8</v>
      </c>
      <c r="AY23">
        <v>15</v>
      </c>
      <c r="BA23">
        <v>5</v>
      </c>
      <c r="BC23">
        <v>10</v>
      </c>
      <c r="BE23">
        <v>3</v>
      </c>
      <c r="BF23">
        <v>40</v>
      </c>
      <c r="BH23">
        <v>4</v>
      </c>
      <c r="BI23">
        <v>9</v>
      </c>
      <c r="BJ23">
        <v>24</v>
      </c>
      <c r="BN23">
        <v>21</v>
      </c>
      <c r="BP23">
        <v>6</v>
      </c>
      <c r="BZ23">
        <v>145</v>
      </c>
    </row>
    <row r="24" spans="1:78" x14ac:dyDescent="0.25">
      <c r="A24" s="1" t="s">
        <v>17</v>
      </c>
      <c r="B24" s="1" t="s">
        <v>182</v>
      </c>
      <c r="C24" s="1" t="str">
        <f>VLOOKUP(B24,Months!$A$1:$B$12,2,0)</f>
        <v>March</v>
      </c>
      <c r="D24" s="1" t="str">
        <f t="shared" si="0"/>
        <v>FY23P9B</v>
      </c>
      <c r="E24" s="1" t="str">
        <f t="shared" si="1"/>
        <v>FY23P963009851</v>
      </c>
      <c r="F24" s="1">
        <f t="shared" si="25"/>
        <v>0</v>
      </c>
      <c r="G24" s="1">
        <f t="shared" si="26"/>
        <v>0</v>
      </c>
      <c r="H24" s="1">
        <f t="shared" si="27"/>
        <v>1</v>
      </c>
      <c r="I24" s="1" t="str">
        <f t="shared" si="28"/>
        <v>45013B</v>
      </c>
      <c r="J24" s="2" t="str">
        <f t="shared" si="29"/>
        <v>45013B        FS10</v>
      </c>
      <c r="K24" s="1" t="str">
        <f t="shared" si="7"/>
        <v>FY23P9        FS10B</v>
      </c>
      <c r="L24" s="1" t="str">
        <f t="shared" si="8"/>
        <v>FY23        FS10</v>
      </c>
      <c r="M24" s="1" t="str">
        <f>IF((O24&gt;='[1]DT date range'!$A$15)*AND(O24&lt;='[1]DT date range'!$A$17), IF(P24='[1]DT date range'!$A$19, "in", IF('[1]DT date range'!$A$19="Both", "in", "out")),"out")&amp;Q24</f>
        <v>in        FS10</v>
      </c>
      <c r="N24" s="1" t="str">
        <f t="shared" si="9"/>
        <v>FY23P9        FS10</v>
      </c>
      <c r="O24" s="125">
        <v>45013</v>
      </c>
      <c r="P24" s="135" t="s">
        <v>18</v>
      </c>
      <c r="Q24" t="s">
        <v>24</v>
      </c>
      <c r="R24">
        <v>417509</v>
      </c>
      <c r="S24">
        <v>63009851</v>
      </c>
      <c r="T24" t="s">
        <v>211</v>
      </c>
      <c r="U24">
        <v>63</v>
      </c>
      <c r="V24">
        <v>5222</v>
      </c>
      <c r="W24">
        <v>12</v>
      </c>
      <c r="X24">
        <v>62664</v>
      </c>
      <c r="Y24">
        <v>250</v>
      </c>
      <c r="Z24">
        <v>250</v>
      </c>
      <c r="AA24">
        <v>630</v>
      </c>
      <c r="AB24">
        <v>30</v>
      </c>
      <c r="AC24">
        <v>600</v>
      </c>
      <c r="AD24">
        <v>150000</v>
      </c>
      <c r="AE24">
        <v>12500</v>
      </c>
      <c r="AF24">
        <v>62664</v>
      </c>
      <c r="AG24">
        <v>41.78</v>
      </c>
      <c r="AH24">
        <v>42.83</v>
      </c>
      <c r="AI24">
        <v>97.53</v>
      </c>
      <c r="AJ24">
        <v>100</v>
      </c>
      <c r="AK24">
        <v>5</v>
      </c>
      <c r="AL24">
        <v>15</v>
      </c>
      <c r="AO24">
        <v>20</v>
      </c>
      <c r="AQ24">
        <v>303</v>
      </c>
      <c r="AR24">
        <v>343</v>
      </c>
      <c r="AU24">
        <v>70</v>
      </c>
      <c r="AW24">
        <v>35</v>
      </c>
      <c r="AY24">
        <v>22</v>
      </c>
      <c r="BC24">
        <v>12</v>
      </c>
      <c r="BF24">
        <v>45</v>
      </c>
      <c r="BH24">
        <v>25</v>
      </c>
      <c r="BN24">
        <v>22</v>
      </c>
      <c r="BP24">
        <v>44</v>
      </c>
      <c r="BQ24">
        <v>40</v>
      </c>
      <c r="BR24">
        <v>58</v>
      </c>
      <c r="BX24">
        <v>6</v>
      </c>
      <c r="BY24">
        <v>750</v>
      </c>
      <c r="BZ24">
        <v>309</v>
      </c>
    </row>
    <row r="25" spans="1:78" x14ac:dyDescent="0.25">
      <c r="A25" s="1" t="s">
        <v>17</v>
      </c>
      <c r="B25" s="1" t="s">
        <v>182</v>
      </c>
      <c r="C25" s="1" t="str">
        <f>VLOOKUP(B25,Months!$A$1:$B$12,2,0)</f>
        <v>March</v>
      </c>
      <c r="D25" s="1" t="str">
        <f t="shared" si="0"/>
        <v>FY23P9B</v>
      </c>
      <c r="E25" s="1" t="str">
        <f t="shared" si="1"/>
        <v>FY23P930012034</v>
      </c>
      <c r="F25" s="1">
        <f t="shared" si="25"/>
        <v>0</v>
      </c>
      <c r="G25" s="1">
        <f t="shared" si="26"/>
        <v>0</v>
      </c>
      <c r="H25" s="1">
        <f t="shared" si="27"/>
        <v>1</v>
      </c>
      <c r="I25" s="1" t="str">
        <f t="shared" si="28"/>
        <v>45013B</v>
      </c>
      <c r="J25" s="2" t="str">
        <f t="shared" si="29"/>
        <v>45013B        FS12</v>
      </c>
      <c r="K25" s="1" t="str">
        <f t="shared" si="7"/>
        <v>FY23P9        FS12B</v>
      </c>
      <c r="L25" s="1" t="str">
        <f t="shared" si="8"/>
        <v>FY23        FS12</v>
      </c>
      <c r="M25" s="1" t="str">
        <f>IF((O25&gt;='[1]DT date range'!$A$15)*AND(O25&lt;='[1]DT date range'!$A$17), IF(P25='[1]DT date range'!$A$19, "in", IF('[1]DT date range'!$A$19="Both", "in", "out")),"out")&amp;Q25</f>
        <v>in        FS12</v>
      </c>
      <c r="N25" s="1" t="str">
        <f t="shared" si="9"/>
        <v>FY23P9        FS12</v>
      </c>
      <c r="O25" s="125">
        <v>45013</v>
      </c>
      <c r="P25" s="135" t="s">
        <v>18</v>
      </c>
      <c r="Q25" t="s">
        <v>25</v>
      </c>
      <c r="R25">
        <v>417600</v>
      </c>
      <c r="S25">
        <v>30012034</v>
      </c>
      <c r="T25" t="s">
        <v>201</v>
      </c>
      <c r="U25">
        <v>63</v>
      </c>
      <c r="V25">
        <v>6690</v>
      </c>
      <c r="W25">
        <v>6</v>
      </c>
      <c r="X25">
        <v>40140</v>
      </c>
      <c r="Y25">
        <v>130</v>
      </c>
      <c r="Z25">
        <v>130</v>
      </c>
      <c r="AA25">
        <v>630</v>
      </c>
      <c r="AB25">
        <v>30</v>
      </c>
      <c r="AC25">
        <v>600</v>
      </c>
      <c r="AD25">
        <v>78000</v>
      </c>
      <c r="AE25">
        <v>13000</v>
      </c>
      <c r="AF25">
        <v>40140</v>
      </c>
      <c r="AG25">
        <v>51.46</v>
      </c>
      <c r="AH25">
        <v>72</v>
      </c>
      <c r="AI25">
        <v>71.47</v>
      </c>
      <c r="AJ25">
        <v>100</v>
      </c>
      <c r="AK25">
        <v>10</v>
      </c>
      <c r="AL25">
        <v>45</v>
      </c>
      <c r="AO25">
        <v>20</v>
      </c>
      <c r="AQ25">
        <v>93</v>
      </c>
      <c r="AR25">
        <v>168</v>
      </c>
      <c r="AU25">
        <v>105</v>
      </c>
      <c r="AX25">
        <v>34</v>
      </c>
      <c r="AY25">
        <v>7</v>
      </c>
      <c r="BF25">
        <v>25</v>
      </c>
      <c r="BH25">
        <v>5</v>
      </c>
      <c r="BJ25">
        <v>5</v>
      </c>
      <c r="BN25">
        <v>21</v>
      </c>
      <c r="BP25">
        <v>13</v>
      </c>
      <c r="BY25">
        <v>880</v>
      </c>
      <c r="BZ25">
        <v>110</v>
      </c>
    </row>
    <row r="26" spans="1:78" x14ac:dyDescent="0.25">
      <c r="A26" s="1" t="s">
        <v>17</v>
      </c>
      <c r="B26" s="1" t="s">
        <v>182</v>
      </c>
      <c r="C26" s="1" t="str">
        <f>VLOOKUP(B26,Months!$A$1:$B$12,2,0)</f>
        <v>March</v>
      </c>
      <c r="D26" s="1" t="str">
        <f t="shared" si="0"/>
        <v>FY23P9C</v>
      </c>
      <c r="E26" s="1" t="str">
        <f t="shared" si="1"/>
        <v>FY23P971608004</v>
      </c>
      <c r="F26" s="1">
        <f t="shared" si="25"/>
        <v>0</v>
      </c>
      <c r="G26" s="1">
        <f t="shared" si="26"/>
        <v>1</v>
      </c>
      <c r="H26" s="1">
        <f t="shared" si="27"/>
        <v>1</v>
      </c>
      <c r="I26" s="1" t="str">
        <f t="shared" si="28"/>
        <v>45013C</v>
      </c>
      <c r="J26" s="2" t="str">
        <f t="shared" si="29"/>
        <v>45013C        FS01</v>
      </c>
      <c r="K26" s="1" t="str">
        <f t="shared" si="7"/>
        <v>FY23P9        FS01C</v>
      </c>
      <c r="L26" s="1" t="str">
        <f t="shared" si="8"/>
        <v>FY23        FS01</v>
      </c>
      <c r="M26" s="1" t="str">
        <f>IF((O26&gt;='[1]DT date range'!$A$15)*AND(O26&lt;='[1]DT date range'!$A$17), IF(P26='[1]DT date range'!$A$19, "in", IF('[1]DT date range'!$A$19="Both", "in", "out")),"out")&amp;Q26</f>
        <v>in        FS01</v>
      </c>
      <c r="N26" s="1" t="str">
        <f t="shared" si="9"/>
        <v>FY23P9        FS01</v>
      </c>
      <c r="O26" s="125">
        <v>45013</v>
      </c>
      <c r="P26" s="135" t="s">
        <v>16</v>
      </c>
      <c r="Q26" t="s">
        <v>19</v>
      </c>
      <c r="R26">
        <v>415762</v>
      </c>
      <c r="S26">
        <v>71608004</v>
      </c>
      <c r="T26" t="s">
        <v>202</v>
      </c>
      <c r="U26">
        <v>180</v>
      </c>
      <c r="V26">
        <v>1981</v>
      </c>
      <c r="W26">
        <v>6</v>
      </c>
      <c r="X26">
        <v>11886</v>
      </c>
      <c r="Y26">
        <v>55</v>
      </c>
      <c r="Z26">
        <v>55</v>
      </c>
      <c r="AA26">
        <v>600</v>
      </c>
      <c r="AB26">
        <v>30</v>
      </c>
      <c r="AC26">
        <v>570</v>
      </c>
      <c r="AD26">
        <v>31350</v>
      </c>
      <c r="AE26">
        <v>5225</v>
      </c>
      <c r="AF26">
        <v>11886</v>
      </c>
      <c r="AG26">
        <v>37.909999999999997</v>
      </c>
      <c r="AH26">
        <v>43.33</v>
      </c>
      <c r="AI26">
        <v>87.49</v>
      </c>
      <c r="AJ26">
        <v>100</v>
      </c>
      <c r="AL26">
        <v>60</v>
      </c>
      <c r="AM26">
        <v>20</v>
      </c>
      <c r="AO26">
        <v>30</v>
      </c>
      <c r="AQ26">
        <v>213</v>
      </c>
      <c r="AR26">
        <v>323</v>
      </c>
      <c r="AU26">
        <v>140</v>
      </c>
      <c r="AY26">
        <v>15</v>
      </c>
      <c r="BB26">
        <v>15</v>
      </c>
      <c r="BF26">
        <v>43</v>
      </c>
      <c r="BI26">
        <v>21</v>
      </c>
      <c r="BK26">
        <v>8</v>
      </c>
      <c r="BN26">
        <v>77</v>
      </c>
      <c r="BP26">
        <v>32</v>
      </c>
      <c r="BX26">
        <v>10</v>
      </c>
      <c r="BZ26">
        <v>221</v>
      </c>
    </row>
    <row r="27" spans="1:78" x14ac:dyDescent="0.25">
      <c r="A27" s="1" t="s">
        <v>17</v>
      </c>
      <c r="B27" s="1" t="s">
        <v>182</v>
      </c>
      <c r="C27" s="1" t="str">
        <f>VLOOKUP(B27,Months!$A$1:$B$12,2,0)</f>
        <v>March</v>
      </c>
      <c r="D27" s="1" t="str">
        <f t="shared" si="0"/>
        <v>FY23P9C</v>
      </c>
      <c r="E27" s="1" t="str">
        <f t="shared" si="1"/>
        <v>FY23P971608004</v>
      </c>
      <c r="F27" s="1">
        <f t="shared" si="25"/>
        <v>0</v>
      </c>
      <c r="G27" s="1">
        <f t="shared" si="26"/>
        <v>0</v>
      </c>
      <c r="H27" s="1">
        <f t="shared" si="27"/>
        <v>0</v>
      </c>
      <c r="I27" s="1" t="str">
        <f t="shared" si="28"/>
        <v>45013C</v>
      </c>
      <c r="J27" s="2" t="str">
        <f t="shared" si="29"/>
        <v>45013C        FS01</v>
      </c>
      <c r="K27" s="1" t="str">
        <f t="shared" si="7"/>
        <v>FY23P9        FS01C</v>
      </c>
      <c r="L27" s="1" t="str">
        <f t="shared" si="8"/>
        <v>FY23        FS01</v>
      </c>
      <c r="M27" s="1" t="str">
        <f>IF((O27&gt;='[1]DT date range'!$A$15)*AND(O27&lt;='[1]DT date range'!$A$17), IF(P27='[1]DT date range'!$A$19, "in", IF('[1]DT date range'!$A$19="Both", "in", "out")),"out")&amp;Q27</f>
        <v>in        FS01</v>
      </c>
      <c r="N27" s="1" t="str">
        <f t="shared" si="9"/>
        <v>FY23P9        FS01</v>
      </c>
      <c r="O27" s="125">
        <v>45013</v>
      </c>
      <c r="P27" s="135" t="s">
        <v>16</v>
      </c>
      <c r="Q27" t="s">
        <v>19</v>
      </c>
      <c r="R27">
        <v>424499</v>
      </c>
      <c r="S27">
        <v>71608004</v>
      </c>
      <c r="T27" t="s">
        <v>202</v>
      </c>
      <c r="U27">
        <v>26</v>
      </c>
      <c r="V27">
        <v>113</v>
      </c>
      <c r="W27">
        <v>6</v>
      </c>
      <c r="X27">
        <v>678</v>
      </c>
      <c r="Y27">
        <v>55</v>
      </c>
      <c r="Z27">
        <v>55</v>
      </c>
      <c r="AA27">
        <v>120</v>
      </c>
      <c r="AC27">
        <v>120</v>
      </c>
      <c r="AD27">
        <v>6600</v>
      </c>
      <c r="AE27">
        <v>1100</v>
      </c>
      <c r="AF27">
        <v>678</v>
      </c>
      <c r="AG27">
        <v>10.27</v>
      </c>
      <c r="AH27">
        <v>11.67</v>
      </c>
      <c r="AI27">
        <v>88.05</v>
      </c>
      <c r="AJ27">
        <v>100</v>
      </c>
      <c r="AK27">
        <v>5</v>
      </c>
      <c r="AQ27">
        <v>101</v>
      </c>
      <c r="AR27">
        <v>106</v>
      </c>
      <c r="AU27">
        <v>5</v>
      </c>
      <c r="BD27">
        <v>101</v>
      </c>
      <c r="BY27">
        <v>20</v>
      </c>
      <c r="BZ27">
        <v>101</v>
      </c>
    </row>
    <row r="28" spans="1:78" x14ac:dyDescent="0.25">
      <c r="A28" s="1" t="s">
        <v>17</v>
      </c>
      <c r="B28" s="1" t="s">
        <v>182</v>
      </c>
      <c r="C28" s="1" t="str">
        <f>VLOOKUP(B28,Months!$A$1:$B$12,2,0)</f>
        <v>March</v>
      </c>
      <c r="D28" s="1" t="str">
        <f t="shared" si="0"/>
        <v>FY23P9C</v>
      </c>
      <c r="E28" s="1" t="str">
        <f t="shared" si="1"/>
        <v>FY23P930000034</v>
      </c>
      <c r="F28" s="1">
        <f t="shared" si="25"/>
        <v>0</v>
      </c>
      <c r="G28" s="1">
        <f t="shared" si="26"/>
        <v>0</v>
      </c>
      <c r="H28" s="1">
        <f t="shared" si="27"/>
        <v>1</v>
      </c>
      <c r="I28" s="1" t="str">
        <f t="shared" si="28"/>
        <v>45013C</v>
      </c>
      <c r="J28" s="2" t="str">
        <f t="shared" si="29"/>
        <v>45013C        FS03</v>
      </c>
      <c r="K28" s="1" t="str">
        <f t="shared" si="7"/>
        <v>FY23P9        FS03C</v>
      </c>
      <c r="L28" s="1" t="str">
        <f t="shared" si="8"/>
        <v>FY23        FS03</v>
      </c>
      <c r="M28" s="1" t="str">
        <f>IF((O28&gt;='[1]DT date range'!$A$15)*AND(O28&lt;='[1]DT date range'!$A$17), IF(P28='[1]DT date range'!$A$19, "in", IF('[1]DT date range'!$A$19="Both", "in", "out")),"out")&amp;Q28</f>
        <v>in        FS03</v>
      </c>
      <c r="N28" s="1" t="str">
        <f t="shared" si="9"/>
        <v>FY23P9        FS03</v>
      </c>
      <c r="O28" s="125">
        <v>45013</v>
      </c>
      <c r="P28" s="135" t="s">
        <v>16</v>
      </c>
      <c r="Q28" t="s">
        <v>20</v>
      </c>
      <c r="R28">
        <v>419156</v>
      </c>
      <c r="S28">
        <v>30000034</v>
      </c>
      <c r="T28" t="s">
        <v>194</v>
      </c>
      <c r="U28">
        <v>60</v>
      </c>
      <c r="V28">
        <v>954</v>
      </c>
      <c r="W28">
        <v>120</v>
      </c>
      <c r="X28">
        <v>114480</v>
      </c>
      <c r="Y28">
        <v>380</v>
      </c>
      <c r="Z28">
        <v>380</v>
      </c>
      <c r="AA28">
        <v>720</v>
      </c>
      <c r="AB28">
        <v>30</v>
      </c>
      <c r="AC28">
        <v>690</v>
      </c>
      <c r="AD28">
        <v>262200</v>
      </c>
      <c r="AE28">
        <v>2185</v>
      </c>
      <c r="AF28">
        <v>114480</v>
      </c>
      <c r="AG28">
        <v>10.27</v>
      </c>
      <c r="AH28">
        <v>49.13</v>
      </c>
      <c r="AI28">
        <v>88.87</v>
      </c>
      <c r="AJ28">
        <v>100</v>
      </c>
      <c r="AK28">
        <v>10</v>
      </c>
      <c r="AL28">
        <v>60</v>
      </c>
      <c r="AO28">
        <v>20</v>
      </c>
      <c r="AQ28">
        <v>261</v>
      </c>
      <c r="AR28">
        <v>351</v>
      </c>
      <c r="AU28">
        <v>120</v>
      </c>
      <c r="AX28">
        <v>28</v>
      </c>
      <c r="BG28">
        <v>44</v>
      </c>
      <c r="BH28">
        <v>8</v>
      </c>
      <c r="BI28">
        <v>117</v>
      </c>
      <c r="BJ28">
        <v>21</v>
      </c>
      <c r="BM28">
        <v>14</v>
      </c>
      <c r="BN28">
        <v>4</v>
      </c>
      <c r="BP28">
        <v>11</v>
      </c>
      <c r="BS28">
        <v>26</v>
      </c>
      <c r="BY28">
        <v>97</v>
      </c>
      <c r="BZ28">
        <v>273</v>
      </c>
    </row>
    <row r="29" spans="1:78" x14ac:dyDescent="0.25">
      <c r="A29" s="1" t="s">
        <v>17</v>
      </c>
      <c r="B29" s="1" t="s">
        <v>182</v>
      </c>
      <c r="C29" s="1" t="str">
        <f>VLOOKUP(B29,Months!$A$1:$B$12,2,0)</f>
        <v>March</v>
      </c>
      <c r="D29" s="1" t="str">
        <f t="shared" si="0"/>
        <v>FY23P9C</v>
      </c>
      <c r="E29" s="1" t="str">
        <f t="shared" si="1"/>
        <v>FY23P963009851</v>
      </c>
      <c r="F29" s="1">
        <f t="shared" si="25"/>
        <v>0</v>
      </c>
      <c r="G29" s="1">
        <f t="shared" si="26"/>
        <v>0</v>
      </c>
      <c r="H29" s="1">
        <f t="shared" si="27"/>
        <v>1</v>
      </c>
      <c r="I29" s="1" t="str">
        <f t="shared" si="28"/>
        <v>45013C</v>
      </c>
      <c r="J29" s="2" t="str">
        <f t="shared" si="29"/>
        <v>45013C        FS10</v>
      </c>
      <c r="K29" s="1" t="str">
        <f t="shared" si="7"/>
        <v>FY23P9        FS10C</v>
      </c>
      <c r="L29" s="1" t="str">
        <f t="shared" si="8"/>
        <v>FY23        FS10</v>
      </c>
      <c r="M29" s="1" t="str">
        <f>IF((O29&gt;='[1]DT date range'!$A$15)*AND(O29&lt;='[1]DT date range'!$A$17), IF(P29='[1]DT date range'!$A$19, "in", IF('[1]DT date range'!$A$19="Both", "in", "out")),"out")&amp;Q29</f>
        <v>in        FS10</v>
      </c>
      <c r="N29" s="1" t="str">
        <f t="shared" si="9"/>
        <v>FY23P9        FS10</v>
      </c>
      <c r="O29" s="125">
        <v>45013</v>
      </c>
      <c r="P29" s="135" t="s">
        <v>16</v>
      </c>
      <c r="Q29" t="s">
        <v>24</v>
      </c>
      <c r="R29">
        <v>417516</v>
      </c>
      <c r="S29">
        <v>63009851</v>
      </c>
      <c r="T29" t="s">
        <v>211</v>
      </c>
      <c r="U29">
        <v>64</v>
      </c>
      <c r="V29">
        <v>6667</v>
      </c>
      <c r="W29">
        <v>12</v>
      </c>
      <c r="X29">
        <v>80004</v>
      </c>
      <c r="Y29">
        <v>250</v>
      </c>
      <c r="Z29">
        <v>250</v>
      </c>
      <c r="AA29">
        <v>480</v>
      </c>
      <c r="AB29">
        <v>30</v>
      </c>
      <c r="AC29">
        <v>450</v>
      </c>
      <c r="AD29">
        <v>112500</v>
      </c>
      <c r="AE29">
        <v>9375</v>
      </c>
      <c r="AF29">
        <v>80004</v>
      </c>
      <c r="AG29">
        <v>71.11</v>
      </c>
      <c r="AH29">
        <v>78.89</v>
      </c>
      <c r="AI29">
        <v>90.15</v>
      </c>
      <c r="AJ29">
        <v>100</v>
      </c>
      <c r="AK29">
        <v>10</v>
      </c>
      <c r="AQ29">
        <v>85</v>
      </c>
      <c r="AR29">
        <v>95</v>
      </c>
      <c r="AU29">
        <v>40</v>
      </c>
      <c r="AX29">
        <v>20</v>
      </c>
      <c r="BE29">
        <v>20</v>
      </c>
      <c r="BK29">
        <v>12</v>
      </c>
      <c r="BN29">
        <v>12</v>
      </c>
      <c r="BP29">
        <v>11</v>
      </c>
      <c r="BQ29">
        <v>10</v>
      </c>
      <c r="BR29">
        <v>5</v>
      </c>
      <c r="BY29">
        <v>883</v>
      </c>
      <c r="BZ29">
        <v>90</v>
      </c>
    </row>
    <row r="30" spans="1:78" x14ac:dyDescent="0.25">
      <c r="A30" s="1" t="s">
        <v>17</v>
      </c>
      <c r="B30" s="1" t="s">
        <v>182</v>
      </c>
      <c r="C30" s="1" t="str">
        <f>VLOOKUP(B30,Months!$A$1:$B$12,2,0)</f>
        <v>March</v>
      </c>
      <c r="D30" s="1" t="str">
        <f t="shared" si="0"/>
        <v>FY23P9C</v>
      </c>
      <c r="E30" s="1" t="str">
        <f t="shared" si="1"/>
        <v>FY23P963009851</v>
      </c>
      <c r="F30" s="1">
        <f t="shared" si="25"/>
        <v>0</v>
      </c>
      <c r="G30" s="1">
        <f t="shared" si="26"/>
        <v>0</v>
      </c>
      <c r="H30" s="1">
        <f t="shared" si="27"/>
        <v>0</v>
      </c>
      <c r="I30" s="1" t="str">
        <f t="shared" si="28"/>
        <v>45013C</v>
      </c>
      <c r="J30" s="2" t="str">
        <f t="shared" si="29"/>
        <v>45013C        FS10</v>
      </c>
      <c r="K30" s="1" t="str">
        <f t="shared" si="7"/>
        <v>FY23P9        FS10C</v>
      </c>
      <c r="L30" s="1" t="str">
        <f t="shared" si="8"/>
        <v>FY23        FS10</v>
      </c>
      <c r="M30" s="1" t="str">
        <f>IF((O30&gt;='[1]DT date range'!$A$15)*AND(O30&lt;='[1]DT date range'!$A$17), IF(P30='[1]DT date range'!$A$19, "in", IF('[1]DT date range'!$A$19="Both", "in", "out")),"out")&amp;Q30</f>
        <v>in        FS10</v>
      </c>
      <c r="N30" s="1" t="str">
        <f t="shared" si="9"/>
        <v>FY23P9        FS10</v>
      </c>
      <c r="O30" s="125">
        <v>45013</v>
      </c>
      <c r="P30" s="135" t="s">
        <v>16</v>
      </c>
      <c r="Q30" t="s">
        <v>24</v>
      </c>
      <c r="R30">
        <v>417509</v>
      </c>
      <c r="S30">
        <v>63009851</v>
      </c>
      <c r="T30" t="s">
        <v>211</v>
      </c>
      <c r="U30">
        <v>16.5</v>
      </c>
      <c r="V30">
        <v>1010</v>
      </c>
      <c r="W30">
        <v>12</v>
      </c>
      <c r="X30">
        <v>12120</v>
      </c>
      <c r="Y30">
        <v>250</v>
      </c>
      <c r="Z30">
        <v>250</v>
      </c>
      <c r="AA30">
        <v>110</v>
      </c>
      <c r="AC30">
        <v>110</v>
      </c>
      <c r="AD30">
        <v>27500</v>
      </c>
      <c r="AE30">
        <v>2292</v>
      </c>
      <c r="AF30">
        <v>12120</v>
      </c>
      <c r="AG30">
        <v>44.07</v>
      </c>
      <c r="AH30">
        <v>43.64</v>
      </c>
      <c r="AI30">
        <v>101</v>
      </c>
      <c r="AJ30">
        <v>100</v>
      </c>
      <c r="AM30">
        <v>10</v>
      </c>
      <c r="AO30">
        <v>30</v>
      </c>
      <c r="AQ30">
        <v>22</v>
      </c>
      <c r="AR30">
        <v>62</v>
      </c>
      <c r="AU30">
        <v>40</v>
      </c>
      <c r="BN30">
        <v>22</v>
      </c>
      <c r="BY30">
        <v>820</v>
      </c>
      <c r="BZ30">
        <v>22</v>
      </c>
    </row>
    <row r="31" spans="1:78" x14ac:dyDescent="0.25">
      <c r="A31" s="1" t="s">
        <v>17</v>
      </c>
      <c r="B31" s="1" t="s">
        <v>182</v>
      </c>
      <c r="C31" s="1" t="str">
        <f>VLOOKUP(B31,Months!$A$1:$B$12,2,0)</f>
        <v>March</v>
      </c>
      <c r="D31" s="1" t="str">
        <f t="shared" si="0"/>
        <v>FY23P9B</v>
      </c>
      <c r="E31" s="1" t="str">
        <f t="shared" si="1"/>
        <v>FY23P971608004</v>
      </c>
      <c r="F31" s="1">
        <f t="shared" ref="F31:F43" si="30">IF(O31=O30,0,1)</f>
        <v>1</v>
      </c>
      <c r="G31" s="1">
        <f t="shared" ref="G31:G43" si="31">IF(AND(O31=O30, P31=P30),0,1)</f>
        <v>1</v>
      </c>
      <c r="H31" s="1">
        <f t="shared" ref="H31:H43" si="32">IF(AND(O31=O30, P31=P30, Q31=Q30),0,1)</f>
        <v>1</v>
      </c>
      <c r="I31" s="1" t="str">
        <f t="shared" ref="I31:I43" si="33">CONCATENATE(O31,P31)</f>
        <v>45014B</v>
      </c>
      <c r="J31" s="2" t="str">
        <f t="shared" ref="J31:J43" si="34">CONCATENATE(O31,P31,Q31)</f>
        <v>45014B        FS01</v>
      </c>
      <c r="K31" s="1" t="str">
        <f t="shared" si="7"/>
        <v>FY23P9        FS01B</v>
      </c>
      <c r="L31" s="1" t="str">
        <f t="shared" si="8"/>
        <v>FY23        FS01</v>
      </c>
      <c r="M31" s="1" t="str">
        <f>IF((O31&gt;='[1]DT date range'!$A$15)*AND(O31&lt;='[1]DT date range'!$A$17), IF(P31='[1]DT date range'!$A$19, "in", IF('[1]DT date range'!$A$19="Both", "in", "out")),"out")&amp;Q31</f>
        <v>in        FS01</v>
      </c>
      <c r="N31" s="1" t="str">
        <f t="shared" si="9"/>
        <v>FY23P9        FS01</v>
      </c>
      <c r="O31" s="125">
        <v>45014</v>
      </c>
      <c r="P31" s="135" t="s">
        <v>18</v>
      </c>
      <c r="Q31" t="s">
        <v>19</v>
      </c>
      <c r="R31">
        <v>415762</v>
      </c>
      <c r="S31">
        <v>71608004</v>
      </c>
      <c r="T31" t="s">
        <v>202</v>
      </c>
      <c r="U31">
        <v>45.5</v>
      </c>
      <c r="V31">
        <v>820</v>
      </c>
      <c r="W31">
        <v>6</v>
      </c>
      <c r="X31">
        <v>4920</v>
      </c>
      <c r="Y31">
        <v>55</v>
      </c>
      <c r="Z31">
        <v>55</v>
      </c>
      <c r="AA31">
        <v>210</v>
      </c>
      <c r="AC31">
        <v>210</v>
      </c>
      <c r="AD31">
        <v>11550</v>
      </c>
      <c r="AE31">
        <v>1925</v>
      </c>
      <c r="AF31">
        <v>4920</v>
      </c>
      <c r="AG31">
        <v>42.6</v>
      </c>
      <c r="AH31">
        <v>60.95</v>
      </c>
      <c r="AI31">
        <v>69.89</v>
      </c>
      <c r="AJ31">
        <v>100</v>
      </c>
      <c r="AK31">
        <v>10</v>
      </c>
      <c r="AL31">
        <v>15</v>
      </c>
      <c r="AM31">
        <v>10</v>
      </c>
      <c r="AQ31">
        <v>47</v>
      </c>
      <c r="AR31">
        <v>82</v>
      </c>
      <c r="AU31">
        <v>35</v>
      </c>
      <c r="AY31">
        <v>15</v>
      </c>
      <c r="BF31">
        <v>16</v>
      </c>
      <c r="BM31">
        <v>3</v>
      </c>
      <c r="BO31">
        <v>16</v>
      </c>
      <c r="BY31">
        <v>235</v>
      </c>
      <c r="BZ31">
        <v>50</v>
      </c>
    </row>
    <row r="32" spans="1:78" x14ac:dyDescent="0.25">
      <c r="A32" s="1" t="s">
        <v>17</v>
      </c>
      <c r="B32" s="1" t="s">
        <v>182</v>
      </c>
      <c r="C32" s="1" t="str">
        <f>VLOOKUP(B32,Months!$A$1:$B$12,2,0)</f>
        <v>March</v>
      </c>
      <c r="D32" s="1" t="str">
        <f t="shared" si="0"/>
        <v>FY23P9B</v>
      </c>
      <c r="E32" s="1" t="str">
        <f t="shared" si="1"/>
        <v>FY23P971608001</v>
      </c>
      <c r="F32" s="1">
        <f t="shared" si="30"/>
        <v>0</v>
      </c>
      <c r="G32" s="1">
        <f t="shared" si="31"/>
        <v>0</v>
      </c>
      <c r="H32" s="1">
        <f t="shared" si="32"/>
        <v>0</v>
      </c>
      <c r="I32" s="1" t="str">
        <f t="shared" si="33"/>
        <v>45014B</v>
      </c>
      <c r="J32" s="2" t="str">
        <f t="shared" si="34"/>
        <v>45014B        FS01</v>
      </c>
      <c r="K32" s="1" t="str">
        <f t="shared" si="7"/>
        <v>FY23P9        FS01B</v>
      </c>
      <c r="L32" s="1" t="str">
        <f t="shared" si="8"/>
        <v>FY23        FS01</v>
      </c>
      <c r="M32" s="1" t="str">
        <f>IF((O32&gt;='[1]DT date range'!$A$15)*AND(O32&lt;='[1]DT date range'!$A$17), IF(P32='[1]DT date range'!$A$19, "in", IF('[1]DT date range'!$A$19="Both", "in", "out")),"out")&amp;Q32</f>
        <v>in        FS01</v>
      </c>
      <c r="N32" s="1" t="str">
        <f t="shared" si="9"/>
        <v>FY23P9        FS01</v>
      </c>
      <c r="O32" s="125">
        <v>45014</v>
      </c>
      <c r="P32" s="135" t="s">
        <v>18</v>
      </c>
      <c r="Q32" t="s">
        <v>19</v>
      </c>
      <c r="R32">
        <v>413422</v>
      </c>
      <c r="S32">
        <v>71608001</v>
      </c>
      <c r="T32" t="s">
        <v>220</v>
      </c>
      <c r="U32">
        <v>110.5</v>
      </c>
      <c r="V32">
        <v>2052</v>
      </c>
      <c r="W32">
        <v>6</v>
      </c>
      <c r="X32">
        <v>12312</v>
      </c>
      <c r="Y32">
        <v>55</v>
      </c>
      <c r="Z32">
        <v>55</v>
      </c>
      <c r="AA32">
        <v>510</v>
      </c>
      <c r="AB32">
        <v>30</v>
      </c>
      <c r="AC32">
        <v>480</v>
      </c>
      <c r="AD32">
        <v>26400</v>
      </c>
      <c r="AE32">
        <v>4400</v>
      </c>
      <c r="AF32">
        <v>12312</v>
      </c>
      <c r="AG32">
        <v>46.64</v>
      </c>
      <c r="AH32">
        <v>75.42</v>
      </c>
      <c r="AI32">
        <v>61.84</v>
      </c>
      <c r="AJ32">
        <v>100</v>
      </c>
      <c r="AL32">
        <v>30</v>
      </c>
      <c r="AO32">
        <v>20</v>
      </c>
      <c r="AQ32">
        <v>68</v>
      </c>
      <c r="AR32">
        <v>118</v>
      </c>
      <c r="AU32">
        <v>80</v>
      </c>
      <c r="AY32">
        <v>21</v>
      </c>
      <c r="BB32">
        <v>16</v>
      </c>
      <c r="BF32">
        <v>11</v>
      </c>
      <c r="BI32">
        <v>4</v>
      </c>
      <c r="BN32">
        <v>4</v>
      </c>
      <c r="BP32">
        <v>4</v>
      </c>
      <c r="BT32">
        <v>7</v>
      </c>
      <c r="BX32">
        <v>20</v>
      </c>
      <c r="BZ32">
        <v>87</v>
      </c>
    </row>
    <row r="33" spans="1:78" x14ac:dyDescent="0.25">
      <c r="A33" s="1" t="s">
        <v>17</v>
      </c>
      <c r="B33" s="1" t="s">
        <v>182</v>
      </c>
      <c r="C33" s="1" t="str">
        <f>VLOOKUP(B33,Months!$A$1:$B$12,2,0)</f>
        <v>March</v>
      </c>
      <c r="D33" s="1" t="str">
        <f t="shared" si="0"/>
        <v>FY23P9B</v>
      </c>
      <c r="E33" s="1" t="str">
        <f t="shared" si="1"/>
        <v>FY23P930000034</v>
      </c>
      <c r="F33" s="1">
        <f t="shared" si="30"/>
        <v>0</v>
      </c>
      <c r="G33" s="1">
        <f t="shared" si="31"/>
        <v>0</v>
      </c>
      <c r="H33" s="1">
        <f t="shared" si="32"/>
        <v>1</v>
      </c>
      <c r="I33" s="1" t="str">
        <f t="shared" si="33"/>
        <v>45014B</v>
      </c>
      <c r="J33" s="2" t="str">
        <f t="shared" si="34"/>
        <v>45014B        FS03</v>
      </c>
      <c r="K33" s="1" t="str">
        <f t="shared" si="7"/>
        <v>FY23P9        FS03B</v>
      </c>
      <c r="L33" s="1" t="str">
        <f t="shared" si="8"/>
        <v>FY23        FS03</v>
      </c>
      <c r="M33" s="1" t="str">
        <f>IF((O33&gt;='[1]DT date range'!$A$15)*AND(O33&lt;='[1]DT date range'!$A$17), IF(P33='[1]DT date range'!$A$19, "in", IF('[1]DT date range'!$A$19="Both", "in", "out")),"out")&amp;Q33</f>
        <v>in        FS03</v>
      </c>
      <c r="N33" s="1" t="str">
        <f t="shared" si="9"/>
        <v>FY23P9        FS03</v>
      </c>
      <c r="O33" s="125">
        <v>45014</v>
      </c>
      <c r="P33" s="135" t="s">
        <v>18</v>
      </c>
      <c r="Q33" t="s">
        <v>20</v>
      </c>
      <c r="R33">
        <v>419157</v>
      </c>
      <c r="S33">
        <v>30000034</v>
      </c>
      <c r="T33" t="s">
        <v>194</v>
      </c>
      <c r="U33">
        <v>30</v>
      </c>
      <c r="V33">
        <v>364</v>
      </c>
      <c r="W33">
        <v>120</v>
      </c>
      <c r="X33">
        <v>43680</v>
      </c>
      <c r="Y33">
        <v>380</v>
      </c>
      <c r="Z33">
        <v>380</v>
      </c>
      <c r="AA33">
        <v>360</v>
      </c>
      <c r="AC33">
        <v>360</v>
      </c>
      <c r="AD33">
        <v>136800</v>
      </c>
      <c r="AE33">
        <v>1140</v>
      </c>
      <c r="AF33">
        <v>43680</v>
      </c>
      <c r="AG33">
        <v>31.93</v>
      </c>
      <c r="AH33">
        <v>39.44</v>
      </c>
      <c r="AI33">
        <v>80.95</v>
      </c>
      <c r="AJ33">
        <v>100</v>
      </c>
      <c r="AK33">
        <v>15</v>
      </c>
      <c r="AL33">
        <v>45</v>
      </c>
      <c r="AM33">
        <v>15</v>
      </c>
      <c r="AQ33">
        <v>143</v>
      </c>
      <c r="AR33">
        <v>218</v>
      </c>
      <c r="AU33">
        <v>75</v>
      </c>
      <c r="AX33">
        <v>10</v>
      </c>
      <c r="AY33">
        <v>20</v>
      </c>
      <c r="BF33">
        <v>12</v>
      </c>
      <c r="BI33">
        <v>101</v>
      </c>
      <c r="BJ33">
        <v>9</v>
      </c>
      <c r="BM33">
        <v>8</v>
      </c>
      <c r="BR33">
        <v>5</v>
      </c>
      <c r="BX33">
        <v>5</v>
      </c>
      <c r="BY33">
        <v>100</v>
      </c>
      <c r="BZ33">
        <v>170</v>
      </c>
    </row>
    <row r="34" spans="1:78" x14ac:dyDescent="0.25">
      <c r="A34" s="1" t="s">
        <v>17</v>
      </c>
      <c r="B34" s="1" t="s">
        <v>182</v>
      </c>
      <c r="C34" s="1" t="str">
        <f>VLOOKUP(B34,Months!$A$1:$B$12,2,0)</f>
        <v>March</v>
      </c>
      <c r="D34" s="1" t="str">
        <f t="shared" si="0"/>
        <v>FY23P9B</v>
      </c>
      <c r="E34" s="1" t="str">
        <f t="shared" si="1"/>
        <v>FY23P961005002</v>
      </c>
      <c r="F34" s="1">
        <f t="shared" si="30"/>
        <v>0</v>
      </c>
      <c r="G34" s="1">
        <f t="shared" si="31"/>
        <v>0</v>
      </c>
      <c r="H34" s="1">
        <f t="shared" si="32"/>
        <v>1</v>
      </c>
      <c r="I34" s="1" t="str">
        <f t="shared" si="33"/>
        <v>45014B</v>
      </c>
      <c r="J34" s="2" t="str">
        <f t="shared" si="34"/>
        <v>45014B        FS04</v>
      </c>
      <c r="K34" s="1" t="str">
        <f t="shared" si="7"/>
        <v>FY23P9        FS04B</v>
      </c>
      <c r="L34" s="1" t="str">
        <f t="shared" si="8"/>
        <v>FY23        FS04</v>
      </c>
      <c r="M34" s="1" t="str">
        <f>IF((O34&gt;='[1]DT date range'!$A$15)*AND(O34&lt;='[1]DT date range'!$A$17), IF(P34='[1]DT date range'!$A$19, "in", IF('[1]DT date range'!$A$19="Both", "in", "out")),"out")&amp;Q34</f>
        <v>in        FS04</v>
      </c>
      <c r="N34" s="1" t="str">
        <f t="shared" si="9"/>
        <v>FY23P9        FS04</v>
      </c>
      <c r="O34" s="125">
        <v>45014</v>
      </c>
      <c r="P34" s="135" t="s">
        <v>18</v>
      </c>
      <c r="Q34" t="s">
        <v>21</v>
      </c>
      <c r="R34">
        <v>421250</v>
      </c>
      <c r="S34">
        <v>61005002</v>
      </c>
      <c r="T34" t="s">
        <v>221</v>
      </c>
      <c r="U34">
        <v>63</v>
      </c>
      <c r="V34">
        <v>280</v>
      </c>
      <c r="W34">
        <v>24</v>
      </c>
      <c r="X34">
        <v>6720</v>
      </c>
      <c r="Y34">
        <v>230</v>
      </c>
      <c r="Z34">
        <v>230</v>
      </c>
      <c r="AA34">
        <v>630</v>
      </c>
      <c r="AB34">
        <v>30</v>
      </c>
      <c r="AC34">
        <v>600</v>
      </c>
      <c r="AD34">
        <v>138000</v>
      </c>
      <c r="AE34">
        <v>5750</v>
      </c>
      <c r="AF34">
        <v>6720</v>
      </c>
      <c r="AG34">
        <v>4.87</v>
      </c>
      <c r="AH34">
        <v>9</v>
      </c>
      <c r="AI34">
        <v>54.11</v>
      </c>
      <c r="AJ34">
        <v>100</v>
      </c>
      <c r="AK34">
        <v>5</v>
      </c>
      <c r="AL34">
        <v>30</v>
      </c>
      <c r="AO34">
        <v>30</v>
      </c>
      <c r="AQ34">
        <v>481</v>
      </c>
      <c r="AR34">
        <v>546</v>
      </c>
      <c r="AU34">
        <v>95</v>
      </c>
      <c r="BA34">
        <v>74</v>
      </c>
      <c r="BE34">
        <v>4</v>
      </c>
      <c r="BH34">
        <v>3</v>
      </c>
      <c r="BJ34">
        <v>237</v>
      </c>
      <c r="BN34">
        <v>151</v>
      </c>
      <c r="BP34">
        <v>19</v>
      </c>
      <c r="BU34">
        <v>5</v>
      </c>
      <c r="BY34">
        <v>24</v>
      </c>
      <c r="BZ34">
        <v>493</v>
      </c>
    </row>
    <row r="35" spans="1:78" x14ac:dyDescent="0.25">
      <c r="A35" s="1" t="s">
        <v>17</v>
      </c>
      <c r="B35" s="1" t="s">
        <v>182</v>
      </c>
      <c r="C35" s="1" t="str">
        <f>VLOOKUP(B35,Months!$A$1:$B$12,2,0)</f>
        <v>March</v>
      </c>
      <c r="D35" s="1" t="str">
        <f t="shared" si="0"/>
        <v>FY23P9B</v>
      </c>
      <c r="E35" s="1" t="str">
        <f t="shared" si="1"/>
        <v>FY23P963109031</v>
      </c>
      <c r="F35" s="1">
        <f t="shared" si="30"/>
        <v>0</v>
      </c>
      <c r="G35" s="1">
        <f t="shared" si="31"/>
        <v>0</v>
      </c>
      <c r="H35" s="1">
        <f t="shared" si="32"/>
        <v>1</v>
      </c>
      <c r="I35" s="1" t="str">
        <f t="shared" si="33"/>
        <v>45014B</v>
      </c>
      <c r="J35" s="2" t="str">
        <f t="shared" si="34"/>
        <v>45014B        FS10</v>
      </c>
      <c r="K35" s="1" t="str">
        <f t="shared" si="7"/>
        <v>FY23P9        FS10B</v>
      </c>
      <c r="L35" s="1" t="str">
        <f t="shared" si="8"/>
        <v>FY23        FS10</v>
      </c>
      <c r="M35" s="1" t="str">
        <f>IF((O35&gt;='[1]DT date range'!$A$15)*AND(O35&lt;='[1]DT date range'!$A$17), IF(P35='[1]DT date range'!$A$19, "in", IF('[1]DT date range'!$A$19="Both", "in", "out")),"out")&amp;Q35</f>
        <v>in        FS10</v>
      </c>
      <c r="N35" s="1" t="str">
        <f t="shared" si="9"/>
        <v>FY23P9        FS10</v>
      </c>
      <c r="O35" s="125">
        <v>45014</v>
      </c>
      <c r="P35" s="135" t="s">
        <v>18</v>
      </c>
      <c r="Q35" t="s">
        <v>24</v>
      </c>
      <c r="R35">
        <v>425332</v>
      </c>
      <c r="S35">
        <v>63109031</v>
      </c>
      <c r="T35" t="s">
        <v>222</v>
      </c>
      <c r="U35">
        <v>12.48</v>
      </c>
      <c r="V35">
        <v>470</v>
      </c>
      <c r="W35">
        <v>12</v>
      </c>
      <c r="X35">
        <v>5640</v>
      </c>
      <c r="Y35">
        <v>250</v>
      </c>
      <c r="Z35">
        <v>250</v>
      </c>
      <c r="AA35">
        <v>107</v>
      </c>
      <c r="AC35">
        <v>107</v>
      </c>
      <c r="AD35">
        <v>26750</v>
      </c>
      <c r="AE35">
        <v>2229</v>
      </c>
      <c r="AF35">
        <v>5640</v>
      </c>
      <c r="AG35">
        <v>21.08</v>
      </c>
      <c r="AH35">
        <v>-14.95</v>
      </c>
      <c r="AI35">
        <v>-141</v>
      </c>
      <c r="AJ35">
        <v>100</v>
      </c>
      <c r="AK35">
        <v>5</v>
      </c>
      <c r="AO35">
        <v>6</v>
      </c>
      <c r="AQ35">
        <v>112</v>
      </c>
      <c r="AR35">
        <v>123</v>
      </c>
      <c r="AU35">
        <v>11</v>
      </c>
      <c r="BI35">
        <v>21</v>
      </c>
      <c r="BN35">
        <v>45</v>
      </c>
      <c r="BO35">
        <v>46</v>
      </c>
      <c r="BX35">
        <v>7</v>
      </c>
      <c r="BY35">
        <v>275</v>
      </c>
      <c r="BZ35">
        <v>119</v>
      </c>
    </row>
    <row r="36" spans="1:78" x14ac:dyDescent="0.25">
      <c r="A36" s="1" t="s">
        <v>17</v>
      </c>
      <c r="B36" s="1" t="s">
        <v>182</v>
      </c>
      <c r="C36" s="1" t="str">
        <f>VLOOKUP(B36,Months!$A$1:$B$12,2,0)</f>
        <v>March</v>
      </c>
      <c r="D36" s="1" t="str">
        <f t="shared" si="0"/>
        <v>FY23P9B</v>
      </c>
      <c r="E36" s="1" t="str">
        <f t="shared" si="1"/>
        <v>FY23P964509017</v>
      </c>
      <c r="F36" s="1">
        <f t="shared" si="30"/>
        <v>0</v>
      </c>
      <c r="G36" s="1">
        <f t="shared" si="31"/>
        <v>0</v>
      </c>
      <c r="H36" s="1">
        <f t="shared" si="32"/>
        <v>0</v>
      </c>
      <c r="I36" s="1" t="str">
        <f t="shared" si="33"/>
        <v>45014B</v>
      </c>
      <c r="J36" s="2" t="str">
        <f t="shared" si="34"/>
        <v>45014B        FS10</v>
      </c>
      <c r="K36" s="1" t="str">
        <f t="shared" si="7"/>
        <v>FY23P9        FS10B</v>
      </c>
      <c r="L36" s="1" t="str">
        <f t="shared" si="8"/>
        <v>FY23        FS10</v>
      </c>
      <c r="M36" s="1" t="str">
        <f>IF((O36&gt;='[1]DT date range'!$A$15)*AND(O36&lt;='[1]DT date range'!$A$17), IF(P36='[1]DT date range'!$A$19, "in", IF('[1]DT date range'!$A$19="Both", "in", "out")),"out")&amp;Q36</f>
        <v>in        FS10</v>
      </c>
      <c r="N36" s="1" t="str">
        <f t="shared" si="9"/>
        <v>FY23P9        FS10</v>
      </c>
      <c r="O36" s="125">
        <v>45014</v>
      </c>
      <c r="P36" s="135" t="s">
        <v>18</v>
      </c>
      <c r="Q36" t="s">
        <v>24</v>
      </c>
      <c r="R36">
        <v>412452</v>
      </c>
      <c r="S36">
        <v>64509017</v>
      </c>
      <c r="T36" t="s">
        <v>223</v>
      </c>
      <c r="U36">
        <v>49</v>
      </c>
      <c r="W36">
        <v>6</v>
      </c>
      <c r="Y36">
        <v>180</v>
      </c>
      <c r="Z36">
        <v>180</v>
      </c>
      <c r="AA36">
        <v>420</v>
      </c>
      <c r="AB36">
        <v>30</v>
      </c>
      <c r="AC36">
        <v>390</v>
      </c>
      <c r="AD36">
        <v>70200</v>
      </c>
      <c r="AE36">
        <v>11700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30</v>
      </c>
      <c r="AN36">
        <v>360</v>
      </c>
      <c r="AR36">
        <v>390</v>
      </c>
      <c r="AU36">
        <v>420</v>
      </c>
    </row>
    <row r="37" spans="1:78" x14ac:dyDescent="0.25">
      <c r="A37" s="1" t="s">
        <v>17</v>
      </c>
      <c r="B37" s="1" t="s">
        <v>182</v>
      </c>
      <c r="C37" s="1" t="str">
        <f>VLOOKUP(B37,Months!$A$1:$B$12,2,0)</f>
        <v>March</v>
      </c>
      <c r="D37" s="1" t="str">
        <f t="shared" si="0"/>
        <v>FY23P9B</v>
      </c>
      <c r="E37" s="1" t="str">
        <f t="shared" si="1"/>
        <v>FY23P930012034</v>
      </c>
      <c r="F37" s="1">
        <f t="shared" si="30"/>
        <v>0</v>
      </c>
      <c r="G37" s="1">
        <f t="shared" si="31"/>
        <v>0</v>
      </c>
      <c r="H37" s="1">
        <f t="shared" si="32"/>
        <v>1</v>
      </c>
      <c r="I37" s="1" t="str">
        <f t="shared" si="33"/>
        <v>45014B</v>
      </c>
      <c r="J37" s="2" t="str">
        <f t="shared" si="34"/>
        <v>45014B        FS12</v>
      </c>
      <c r="K37" s="1" t="str">
        <f t="shared" si="7"/>
        <v>FY23P9        FS12B</v>
      </c>
      <c r="L37" s="1" t="str">
        <f t="shared" si="8"/>
        <v>FY23        FS12</v>
      </c>
      <c r="M37" s="1" t="str">
        <f>IF((O37&gt;='[1]DT date range'!$A$15)*AND(O37&lt;='[1]DT date range'!$A$17), IF(P37='[1]DT date range'!$A$19, "in", IF('[1]DT date range'!$A$19="Both", "in", "out")),"out")&amp;Q37</f>
        <v>in        FS12</v>
      </c>
      <c r="N37" s="1" t="str">
        <f t="shared" si="9"/>
        <v>FY23P9        FS12</v>
      </c>
      <c r="O37" s="125">
        <v>45014</v>
      </c>
      <c r="P37" s="135" t="s">
        <v>18</v>
      </c>
      <c r="Q37" t="s">
        <v>25</v>
      </c>
      <c r="R37">
        <v>417611</v>
      </c>
      <c r="S37">
        <v>30012034</v>
      </c>
      <c r="T37" t="s">
        <v>201</v>
      </c>
      <c r="U37">
        <v>35</v>
      </c>
      <c r="V37">
        <v>5775</v>
      </c>
      <c r="W37">
        <v>6</v>
      </c>
      <c r="X37">
        <v>34650</v>
      </c>
      <c r="Y37">
        <v>130</v>
      </c>
      <c r="Z37">
        <v>130</v>
      </c>
      <c r="AA37">
        <v>420</v>
      </c>
      <c r="AB37">
        <v>30</v>
      </c>
      <c r="AC37">
        <v>390</v>
      </c>
      <c r="AD37">
        <v>50700</v>
      </c>
      <c r="AE37">
        <v>8450</v>
      </c>
      <c r="AF37">
        <v>34650</v>
      </c>
      <c r="AG37">
        <v>68.34</v>
      </c>
      <c r="AH37">
        <v>78.97</v>
      </c>
      <c r="AI37">
        <v>86.54</v>
      </c>
      <c r="AJ37">
        <v>100</v>
      </c>
      <c r="AK37">
        <v>10</v>
      </c>
      <c r="AL37">
        <v>30</v>
      </c>
      <c r="AO37">
        <v>20</v>
      </c>
      <c r="AQ37">
        <v>22</v>
      </c>
      <c r="AR37">
        <v>82</v>
      </c>
      <c r="AU37">
        <v>90</v>
      </c>
      <c r="BJ37">
        <v>4</v>
      </c>
      <c r="BN37">
        <v>11</v>
      </c>
      <c r="BP37">
        <v>11</v>
      </c>
      <c r="BY37">
        <v>767</v>
      </c>
      <c r="BZ37">
        <v>26</v>
      </c>
    </row>
    <row r="38" spans="1:78" x14ac:dyDescent="0.25">
      <c r="A38" s="1" t="s">
        <v>17</v>
      </c>
      <c r="B38" s="1" t="s">
        <v>182</v>
      </c>
      <c r="C38" s="1" t="str">
        <f>VLOOKUP(B38,Months!$A$1:$B$12,2,0)</f>
        <v>March</v>
      </c>
      <c r="D38" s="1" t="str">
        <f t="shared" si="0"/>
        <v>FY23P9B</v>
      </c>
      <c r="E38" s="1" t="str">
        <f t="shared" si="1"/>
        <v>FY23P981719001</v>
      </c>
      <c r="F38" s="1">
        <f t="shared" si="30"/>
        <v>0</v>
      </c>
      <c r="G38" s="1">
        <f t="shared" si="31"/>
        <v>0</v>
      </c>
      <c r="H38" s="1">
        <f t="shared" si="32"/>
        <v>1</v>
      </c>
      <c r="I38" s="1" t="str">
        <f t="shared" si="33"/>
        <v>45014B</v>
      </c>
      <c r="J38" s="2" t="str">
        <f t="shared" si="34"/>
        <v>45014B        FS14</v>
      </c>
      <c r="K38" s="1" t="str">
        <f t="shared" si="7"/>
        <v>FY23P9        FS14B</v>
      </c>
      <c r="L38" s="1" t="str">
        <f t="shared" si="8"/>
        <v>FY23        FS14</v>
      </c>
      <c r="M38" s="1" t="str">
        <f>IF((O38&gt;='[1]DT date range'!$A$15)*AND(O38&lt;='[1]DT date range'!$A$17), IF(P38='[1]DT date range'!$A$19, "in", IF('[1]DT date range'!$A$19="Both", "in", "out")),"out")&amp;Q38</f>
        <v>in        FS14</v>
      </c>
      <c r="N38" s="1" t="str">
        <f t="shared" si="9"/>
        <v>FY23P9        FS14</v>
      </c>
      <c r="O38" s="125">
        <v>45014</v>
      </c>
      <c r="P38" s="135" t="s">
        <v>18</v>
      </c>
      <c r="Q38" t="s">
        <v>138</v>
      </c>
      <c r="R38">
        <v>409124</v>
      </c>
      <c r="S38">
        <v>81719001</v>
      </c>
      <c r="T38" t="s">
        <v>224</v>
      </c>
      <c r="U38">
        <v>60.5</v>
      </c>
      <c r="V38">
        <v>1817</v>
      </c>
      <c r="W38">
        <v>24</v>
      </c>
      <c r="X38">
        <v>43608</v>
      </c>
      <c r="Y38">
        <v>533</v>
      </c>
      <c r="Z38">
        <v>533</v>
      </c>
      <c r="AA38">
        <v>605</v>
      </c>
      <c r="AB38">
        <v>30</v>
      </c>
      <c r="AC38">
        <v>575</v>
      </c>
      <c r="AD38">
        <v>306475</v>
      </c>
      <c r="AE38">
        <v>12770</v>
      </c>
      <c r="AF38">
        <v>43608</v>
      </c>
      <c r="AG38">
        <v>14.23</v>
      </c>
      <c r="AH38">
        <v>16.52</v>
      </c>
      <c r="AI38">
        <v>86.12</v>
      </c>
      <c r="AJ38">
        <v>100</v>
      </c>
      <c r="AK38">
        <v>5</v>
      </c>
      <c r="AL38">
        <v>30</v>
      </c>
      <c r="AQ38">
        <v>445</v>
      </c>
      <c r="AR38">
        <v>480</v>
      </c>
      <c r="AU38">
        <v>65</v>
      </c>
      <c r="AY38">
        <v>20</v>
      </c>
      <c r="BA38">
        <v>165</v>
      </c>
      <c r="BD38">
        <v>90</v>
      </c>
      <c r="BP38">
        <v>35</v>
      </c>
      <c r="BX38">
        <v>135</v>
      </c>
      <c r="BZ38">
        <v>445</v>
      </c>
    </row>
    <row r="39" spans="1:78" x14ac:dyDescent="0.25">
      <c r="A39" s="1" t="s">
        <v>17</v>
      </c>
      <c r="B39" s="1" t="s">
        <v>182</v>
      </c>
      <c r="C39" s="1" t="str">
        <f>VLOOKUP(B39,Months!$A$1:$B$12,2,0)</f>
        <v>March</v>
      </c>
      <c r="D39" s="1" t="str">
        <f t="shared" si="0"/>
        <v>FY23P9C</v>
      </c>
      <c r="E39" s="1" t="str">
        <f t="shared" si="1"/>
        <v>FY23P971608001</v>
      </c>
      <c r="F39" s="1">
        <f t="shared" si="30"/>
        <v>0</v>
      </c>
      <c r="G39" s="1">
        <f t="shared" si="31"/>
        <v>1</v>
      </c>
      <c r="H39" s="1">
        <f t="shared" si="32"/>
        <v>1</v>
      </c>
      <c r="I39" s="1" t="str">
        <f t="shared" si="33"/>
        <v>45014C</v>
      </c>
      <c r="J39" s="2" t="str">
        <f t="shared" si="34"/>
        <v>45014C        FS01</v>
      </c>
      <c r="K39" s="1" t="str">
        <f t="shared" si="7"/>
        <v>FY23P9        FS01C</v>
      </c>
      <c r="L39" s="1" t="str">
        <f t="shared" si="8"/>
        <v>FY23        FS01</v>
      </c>
      <c r="M39" s="1" t="str">
        <f>IF((O39&gt;='[1]DT date range'!$A$15)*AND(O39&lt;='[1]DT date range'!$A$17), IF(P39='[1]DT date range'!$A$19, "in", IF('[1]DT date range'!$A$19="Both", "in", "out")),"out")&amp;Q39</f>
        <v>in        FS01</v>
      </c>
      <c r="N39" s="1" t="str">
        <f t="shared" si="9"/>
        <v>FY23P9        FS01</v>
      </c>
      <c r="O39" s="125">
        <v>45014</v>
      </c>
      <c r="P39" s="135" t="s">
        <v>16</v>
      </c>
      <c r="Q39" t="s">
        <v>19</v>
      </c>
      <c r="R39">
        <v>413422</v>
      </c>
      <c r="S39">
        <v>71608001</v>
      </c>
      <c r="T39" t="s">
        <v>220</v>
      </c>
      <c r="U39">
        <v>180</v>
      </c>
      <c r="V39">
        <v>3306</v>
      </c>
      <c r="W39">
        <v>6</v>
      </c>
      <c r="X39">
        <v>19836</v>
      </c>
      <c r="Y39">
        <v>55</v>
      </c>
      <c r="Z39">
        <v>55</v>
      </c>
      <c r="AA39">
        <v>720</v>
      </c>
      <c r="AB39">
        <v>30</v>
      </c>
      <c r="AC39">
        <v>690</v>
      </c>
      <c r="AD39">
        <v>37950</v>
      </c>
      <c r="AE39">
        <v>6325</v>
      </c>
      <c r="AF39">
        <v>19836</v>
      </c>
      <c r="AG39">
        <v>52.27</v>
      </c>
      <c r="AH39">
        <v>61.59</v>
      </c>
      <c r="AI39">
        <v>84.86</v>
      </c>
      <c r="AJ39">
        <v>100</v>
      </c>
      <c r="AK39">
        <v>10</v>
      </c>
      <c r="AL39">
        <v>60</v>
      </c>
      <c r="AO39">
        <v>20</v>
      </c>
      <c r="AQ39">
        <v>175</v>
      </c>
      <c r="AR39">
        <v>265</v>
      </c>
      <c r="AU39">
        <v>120</v>
      </c>
      <c r="BF39">
        <v>15</v>
      </c>
      <c r="BH39">
        <v>15</v>
      </c>
      <c r="BN39">
        <v>30</v>
      </c>
      <c r="BP39">
        <v>115</v>
      </c>
      <c r="BY39">
        <v>233</v>
      </c>
      <c r="BZ39">
        <v>175</v>
      </c>
    </row>
    <row r="40" spans="1:78" x14ac:dyDescent="0.25">
      <c r="A40" s="1" t="s">
        <v>17</v>
      </c>
      <c r="B40" s="1" t="s">
        <v>182</v>
      </c>
      <c r="C40" s="1" t="str">
        <f>VLOOKUP(B40,Months!$A$1:$B$12,2,0)</f>
        <v>March</v>
      </c>
      <c r="D40" s="1" t="str">
        <f t="shared" si="0"/>
        <v>FY23P9C</v>
      </c>
      <c r="E40" s="1" t="str">
        <f t="shared" si="1"/>
        <v>FY23P920000054</v>
      </c>
      <c r="F40" s="1">
        <f t="shared" si="30"/>
        <v>0</v>
      </c>
      <c r="G40" s="1">
        <f t="shared" si="31"/>
        <v>0</v>
      </c>
      <c r="H40" s="1">
        <f t="shared" si="32"/>
        <v>1</v>
      </c>
      <c r="I40" s="1" t="str">
        <f t="shared" si="33"/>
        <v>45014C</v>
      </c>
      <c r="J40" s="2" t="str">
        <f t="shared" si="34"/>
        <v>45014C        FS03</v>
      </c>
      <c r="K40" s="1" t="str">
        <f t="shared" si="7"/>
        <v>FY23P9        FS03C</v>
      </c>
      <c r="L40" s="1" t="str">
        <f t="shared" si="8"/>
        <v>FY23        FS03</v>
      </c>
      <c r="M40" s="1" t="str">
        <f>IF((O40&gt;='[1]DT date range'!$A$15)*AND(O40&lt;='[1]DT date range'!$A$17), IF(P40='[1]DT date range'!$A$19, "in", IF('[1]DT date range'!$A$19="Both", "in", "out")),"out")&amp;Q40</f>
        <v>in        FS03</v>
      </c>
      <c r="N40" s="1" t="str">
        <f t="shared" si="9"/>
        <v>FY23P9        FS03</v>
      </c>
      <c r="O40" s="125">
        <v>45014</v>
      </c>
      <c r="P40" s="135" t="s">
        <v>16</v>
      </c>
      <c r="Q40" t="s">
        <v>20</v>
      </c>
      <c r="R40">
        <v>417650</v>
      </c>
      <c r="S40">
        <v>20000054</v>
      </c>
      <c r="T40" t="s">
        <v>225</v>
      </c>
      <c r="U40">
        <v>60</v>
      </c>
      <c r="V40">
        <v>224</v>
      </c>
      <c r="W40">
        <v>120</v>
      </c>
      <c r="X40">
        <v>26880</v>
      </c>
      <c r="Y40">
        <v>380</v>
      </c>
      <c r="Z40">
        <v>380</v>
      </c>
      <c r="AA40">
        <v>720</v>
      </c>
      <c r="AB40">
        <v>30</v>
      </c>
      <c r="AC40">
        <v>690</v>
      </c>
      <c r="AD40">
        <v>262200</v>
      </c>
      <c r="AE40">
        <v>2185</v>
      </c>
      <c r="AF40">
        <v>26880</v>
      </c>
      <c r="AG40">
        <v>10.25</v>
      </c>
      <c r="AH40">
        <v>14.64</v>
      </c>
      <c r="AI40">
        <v>70.040000000000006</v>
      </c>
      <c r="AJ40">
        <v>100</v>
      </c>
      <c r="AK40">
        <v>10</v>
      </c>
      <c r="AL40">
        <v>60</v>
      </c>
      <c r="AO40">
        <v>30</v>
      </c>
      <c r="AQ40">
        <v>489</v>
      </c>
      <c r="AR40">
        <v>589</v>
      </c>
      <c r="AU40">
        <v>130</v>
      </c>
      <c r="AX40">
        <v>32</v>
      </c>
      <c r="BB40">
        <v>25</v>
      </c>
      <c r="BG40">
        <v>131</v>
      </c>
      <c r="BH40">
        <v>4</v>
      </c>
      <c r="BI40">
        <v>105</v>
      </c>
      <c r="BJ40">
        <v>9</v>
      </c>
      <c r="BM40">
        <v>4</v>
      </c>
      <c r="BN40">
        <v>55</v>
      </c>
      <c r="BP40">
        <v>14</v>
      </c>
      <c r="BS40">
        <v>127</v>
      </c>
      <c r="BZ40">
        <v>506</v>
      </c>
    </row>
    <row r="41" spans="1:78" x14ac:dyDescent="0.25">
      <c r="A41" s="1" t="s">
        <v>17</v>
      </c>
      <c r="B41" s="1" t="s">
        <v>182</v>
      </c>
      <c r="C41" s="1" t="str">
        <f>VLOOKUP(B41,Months!$A$1:$B$12,2,0)</f>
        <v>March</v>
      </c>
      <c r="D41" s="1" t="str">
        <f t="shared" si="0"/>
        <v>FY23P9C</v>
      </c>
      <c r="E41" s="1" t="str">
        <f t="shared" si="1"/>
        <v>FY23P964508017</v>
      </c>
      <c r="F41" s="1">
        <f t="shared" si="30"/>
        <v>0</v>
      </c>
      <c r="G41" s="1">
        <f t="shared" si="31"/>
        <v>0</v>
      </c>
      <c r="H41" s="1">
        <f t="shared" si="32"/>
        <v>1</v>
      </c>
      <c r="I41" s="1" t="str">
        <f t="shared" si="33"/>
        <v>45014C</v>
      </c>
      <c r="J41" s="2" t="str">
        <f t="shared" si="34"/>
        <v>45014C        FS10</v>
      </c>
      <c r="K41" s="1" t="str">
        <f t="shared" si="7"/>
        <v>FY23P9        FS10C</v>
      </c>
      <c r="L41" s="1" t="str">
        <f t="shared" si="8"/>
        <v>FY23        FS10</v>
      </c>
      <c r="M41" s="1" t="str">
        <f>IF((O41&gt;='[1]DT date range'!$A$15)*AND(O41&lt;='[1]DT date range'!$A$17), IF(P41='[1]DT date range'!$A$19, "in", IF('[1]DT date range'!$A$19="Both", "in", "out")),"out")&amp;Q41</f>
        <v>in        FS10</v>
      </c>
      <c r="N41" s="1" t="str">
        <f t="shared" si="9"/>
        <v>FY23P9        FS10</v>
      </c>
      <c r="O41" s="125">
        <v>45014</v>
      </c>
      <c r="P41" s="135" t="s">
        <v>16</v>
      </c>
      <c r="Q41" t="s">
        <v>24</v>
      </c>
      <c r="R41">
        <v>413274</v>
      </c>
      <c r="S41">
        <v>64508017</v>
      </c>
      <c r="T41" t="s">
        <v>226</v>
      </c>
      <c r="U41">
        <v>31.5</v>
      </c>
      <c r="W41">
        <v>12</v>
      </c>
      <c r="Y41">
        <v>290</v>
      </c>
      <c r="Z41">
        <v>290</v>
      </c>
      <c r="AA41">
        <v>210</v>
      </c>
      <c r="AC41">
        <v>210</v>
      </c>
      <c r="AD41">
        <v>60900</v>
      </c>
      <c r="AE41">
        <v>5075</v>
      </c>
      <c r="AF41">
        <v>0</v>
      </c>
      <c r="AG41">
        <v>0</v>
      </c>
      <c r="AH41">
        <v>-42.86</v>
      </c>
      <c r="AI41">
        <v>0</v>
      </c>
      <c r="AJ41">
        <v>0</v>
      </c>
      <c r="AN41">
        <v>210</v>
      </c>
      <c r="AQ41">
        <v>90</v>
      </c>
      <c r="AR41">
        <v>300</v>
      </c>
      <c r="AU41">
        <v>210</v>
      </c>
      <c r="BH41">
        <v>90</v>
      </c>
      <c r="BZ41">
        <v>90</v>
      </c>
    </row>
    <row r="42" spans="1:78" x14ac:dyDescent="0.25">
      <c r="A42" s="1" t="s">
        <v>17</v>
      </c>
      <c r="B42" s="1" t="s">
        <v>182</v>
      </c>
      <c r="C42" s="1" t="str">
        <f>VLOOKUP(B42,Months!$A$1:$B$12,2,0)</f>
        <v>March</v>
      </c>
      <c r="D42" s="1" t="str">
        <f t="shared" si="0"/>
        <v>FY23P9C</v>
      </c>
      <c r="E42" s="1" t="str">
        <f t="shared" si="1"/>
        <v>FY23P963109031</v>
      </c>
      <c r="F42" s="1">
        <f t="shared" si="30"/>
        <v>0</v>
      </c>
      <c r="G42" s="1">
        <f t="shared" si="31"/>
        <v>0</v>
      </c>
      <c r="H42" s="1">
        <f t="shared" si="32"/>
        <v>0</v>
      </c>
      <c r="I42" s="1" t="str">
        <f t="shared" si="33"/>
        <v>45014C</v>
      </c>
      <c r="J42" s="2" t="str">
        <f t="shared" si="34"/>
        <v>45014C        FS10</v>
      </c>
      <c r="K42" s="1" t="str">
        <f t="shared" si="7"/>
        <v>FY23P9        FS10C</v>
      </c>
      <c r="L42" s="1" t="str">
        <f t="shared" si="8"/>
        <v>FY23        FS10</v>
      </c>
      <c r="M42" s="1" t="str">
        <f>IF((O42&gt;='[1]DT date range'!$A$15)*AND(O42&lt;='[1]DT date range'!$A$17), IF(P42='[1]DT date range'!$A$19, "in", IF('[1]DT date range'!$A$19="Both", "in", "out")),"out")&amp;Q42</f>
        <v>in        FS10</v>
      </c>
      <c r="N42" s="1" t="str">
        <f t="shared" si="9"/>
        <v>FY23P9        FS10</v>
      </c>
      <c r="O42" s="125">
        <v>45014</v>
      </c>
      <c r="P42" s="135" t="s">
        <v>16</v>
      </c>
      <c r="Q42" t="s">
        <v>24</v>
      </c>
      <c r="R42">
        <v>425332</v>
      </c>
      <c r="S42">
        <v>63109031</v>
      </c>
      <c r="T42" t="s">
        <v>222</v>
      </c>
      <c r="U42">
        <v>17.5</v>
      </c>
      <c r="W42">
        <v>12</v>
      </c>
      <c r="Y42">
        <v>250</v>
      </c>
      <c r="Z42">
        <v>250</v>
      </c>
      <c r="AA42">
        <v>150</v>
      </c>
      <c r="AC42">
        <v>150</v>
      </c>
      <c r="AD42">
        <v>37500</v>
      </c>
      <c r="AE42">
        <v>3125</v>
      </c>
      <c r="AF42">
        <v>0</v>
      </c>
      <c r="AG42">
        <v>0</v>
      </c>
      <c r="AH42">
        <v>0</v>
      </c>
      <c r="AI42">
        <v>0</v>
      </c>
      <c r="AJ42">
        <v>0</v>
      </c>
      <c r="AN42">
        <v>60</v>
      </c>
      <c r="AO42">
        <v>30</v>
      </c>
      <c r="AQ42">
        <v>60</v>
      </c>
      <c r="AR42">
        <v>150</v>
      </c>
      <c r="AU42">
        <v>90</v>
      </c>
      <c r="BN42">
        <v>30</v>
      </c>
      <c r="BY42">
        <v>1</v>
      </c>
      <c r="BZ42">
        <v>30</v>
      </c>
    </row>
    <row r="43" spans="1:78" x14ac:dyDescent="0.25">
      <c r="A43" s="1" t="s">
        <v>17</v>
      </c>
      <c r="B43" s="1" t="s">
        <v>182</v>
      </c>
      <c r="C43" s="1" t="str">
        <f>VLOOKUP(B43,Months!$A$1:$B$12,2,0)</f>
        <v>March</v>
      </c>
      <c r="D43" s="1" t="str">
        <f t="shared" si="0"/>
        <v>FY23P9C</v>
      </c>
      <c r="E43" s="1" t="str">
        <f t="shared" si="1"/>
        <v>FY23P964509017</v>
      </c>
      <c r="F43" s="1">
        <f t="shared" si="30"/>
        <v>0</v>
      </c>
      <c r="G43" s="1">
        <f t="shared" si="31"/>
        <v>0</v>
      </c>
      <c r="H43" s="1">
        <f t="shared" si="32"/>
        <v>0</v>
      </c>
      <c r="I43" s="1" t="str">
        <f t="shared" si="33"/>
        <v>45014C</v>
      </c>
      <c r="J43" s="2" t="str">
        <f t="shared" si="34"/>
        <v>45014C        FS10</v>
      </c>
      <c r="K43" s="1" t="str">
        <f t="shared" si="7"/>
        <v>FY23P9        FS10C</v>
      </c>
      <c r="L43" s="1" t="str">
        <f t="shared" si="8"/>
        <v>FY23        FS10</v>
      </c>
      <c r="M43" s="1" t="str">
        <f>IF((O43&gt;='[1]DT date range'!$A$15)*AND(O43&lt;='[1]DT date range'!$A$17), IF(P43='[1]DT date range'!$A$19, "in", IF('[1]DT date range'!$A$19="Both", "in", "out")),"out")&amp;Q43</f>
        <v>in        FS10</v>
      </c>
      <c r="N43" s="1" t="str">
        <f t="shared" si="9"/>
        <v>FY23P9        FS10</v>
      </c>
      <c r="O43" s="125">
        <v>45014</v>
      </c>
      <c r="P43" s="135" t="s">
        <v>16</v>
      </c>
      <c r="Q43" t="s">
        <v>24</v>
      </c>
      <c r="R43">
        <v>412452</v>
      </c>
      <c r="S43">
        <v>64509017</v>
      </c>
      <c r="T43" t="s">
        <v>223</v>
      </c>
      <c r="U43">
        <v>39</v>
      </c>
      <c r="V43">
        <v>1776</v>
      </c>
      <c r="W43">
        <v>6</v>
      </c>
      <c r="X43">
        <v>10656</v>
      </c>
      <c r="Y43">
        <v>180</v>
      </c>
      <c r="Z43">
        <v>180</v>
      </c>
      <c r="AA43">
        <v>260</v>
      </c>
      <c r="AC43">
        <v>260</v>
      </c>
      <c r="AD43">
        <v>46800</v>
      </c>
      <c r="AE43">
        <v>7800</v>
      </c>
      <c r="AF43">
        <v>10656</v>
      </c>
      <c r="AG43">
        <v>22.77</v>
      </c>
      <c r="AH43">
        <v>41.54</v>
      </c>
      <c r="AI43">
        <v>54.81</v>
      </c>
      <c r="AJ43">
        <v>100</v>
      </c>
      <c r="AK43">
        <v>10</v>
      </c>
      <c r="AL43">
        <v>15</v>
      </c>
      <c r="AQ43">
        <v>127</v>
      </c>
      <c r="AR43">
        <v>152</v>
      </c>
      <c r="AU43">
        <v>25</v>
      </c>
      <c r="AX43">
        <v>15</v>
      </c>
      <c r="BH43">
        <v>15</v>
      </c>
      <c r="BI43">
        <v>15</v>
      </c>
      <c r="BK43">
        <v>25</v>
      </c>
      <c r="BP43">
        <v>30</v>
      </c>
      <c r="BQ43">
        <v>27</v>
      </c>
      <c r="BY43">
        <v>334</v>
      </c>
      <c r="BZ43">
        <v>127</v>
      </c>
    </row>
    <row r="44" spans="1:78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25"/>
      <c r="P44" s="135"/>
    </row>
    <row r="45" spans="1:78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25"/>
      <c r="P45" s="135"/>
    </row>
    <row r="46" spans="1:78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25"/>
      <c r="P46" s="135"/>
    </row>
    <row r="47" spans="1:78" x14ac:dyDescent="0.25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25"/>
      <c r="P47" s="135"/>
    </row>
    <row r="48" spans="1:78" x14ac:dyDescent="0.25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25"/>
      <c r="P48" s="135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25"/>
      <c r="P49" s="135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25"/>
      <c r="P50" s="135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25"/>
      <c r="P51" s="135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25"/>
      <c r="P52" s="135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25"/>
      <c r="P53" s="135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25"/>
      <c r="P54" s="135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25"/>
      <c r="P55" s="135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25"/>
      <c r="P56" s="135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25"/>
      <c r="P57" s="135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25"/>
      <c r="P58" s="135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25"/>
      <c r="P59" s="135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25"/>
      <c r="P60" s="135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25"/>
      <c r="P61" s="135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25"/>
      <c r="P62" s="135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25"/>
      <c r="P63" s="135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25"/>
      <c r="P64" s="135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25"/>
      <c r="P65" s="135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25"/>
      <c r="P66" s="135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25"/>
      <c r="P67" s="135"/>
    </row>
  </sheetData>
  <autoFilter ref="A1:BZ2" xr:uid="{C4873F27-326D-4BC0-A58A-0EE72C03F39F}"/>
  <phoneticPr fontId="5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7C-48E2-4222-B5B4-96E0D040CD66}">
  <sheetPr codeName="Sheet3"/>
  <dimension ref="B1:AO281"/>
  <sheetViews>
    <sheetView workbookViewId="0">
      <selection activeCell="C9" sqref="C9"/>
    </sheetView>
  </sheetViews>
  <sheetFormatPr defaultRowHeight="15" x14ac:dyDescent="0.25"/>
  <cols>
    <col min="2" max="2" width="12.140625" bestFit="1" customWidth="1"/>
    <col min="3" max="3" width="19.42578125" bestFit="1" customWidth="1"/>
    <col min="4" max="4" width="7.140625" bestFit="1" customWidth="1"/>
    <col min="5" max="5" width="11.85546875" bestFit="1" customWidth="1"/>
    <col min="6" max="6" width="16.42578125" bestFit="1" customWidth="1"/>
    <col min="7" max="7" width="7.140625" bestFit="1" customWidth="1"/>
    <col min="8" max="8" width="12.42578125" bestFit="1" customWidth="1"/>
    <col min="9" max="9" width="13.28515625" bestFit="1" customWidth="1"/>
    <col min="10" max="11" width="10.28515625" bestFit="1" customWidth="1"/>
    <col min="12" max="12" width="9.7109375" bestFit="1" customWidth="1"/>
    <col min="13" max="13" width="9.28515625" bestFit="1" customWidth="1"/>
    <col min="14" max="14" width="11.42578125" bestFit="1" customWidth="1"/>
    <col min="15" max="15" width="7.85546875" bestFit="1" customWidth="1"/>
    <col min="16" max="16" width="7.140625" bestFit="1" customWidth="1"/>
    <col min="17" max="17" width="7.28515625" bestFit="1" customWidth="1"/>
    <col min="18" max="18" width="19.7109375" bestFit="1" customWidth="1"/>
    <col min="19" max="19" width="12.42578125" bestFit="1" customWidth="1"/>
    <col min="20" max="20" width="21.42578125" bestFit="1" customWidth="1"/>
    <col min="21" max="21" width="7.5703125" bestFit="1" customWidth="1"/>
    <col min="22" max="22" width="7.140625" bestFit="1" customWidth="1"/>
    <col min="23" max="23" width="11.42578125" bestFit="1" customWidth="1"/>
    <col min="24" max="24" width="10.5703125" bestFit="1" customWidth="1"/>
    <col min="25" max="25" width="11.7109375" bestFit="1" customWidth="1"/>
    <col min="26" max="26" width="7.140625" bestFit="1" customWidth="1"/>
    <col min="27" max="27" width="9.28515625" bestFit="1" customWidth="1"/>
    <col min="28" max="28" width="10.5703125" bestFit="1" customWidth="1"/>
    <col min="29" max="29" width="11.7109375" bestFit="1" customWidth="1"/>
    <col min="30" max="30" width="10.85546875" bestFit="1" customWidth="1"/>
    <col min="31" max="31" width="7.140625" bestFit="1" customWidth="1"/>
  </cols>
  <sheetData>
    <row r="1" spans="2:41" x14ac:dyDescent="0.25">
      <c r="B1" s="187" t="s">
        <v>3</v>
      </c>
      <c r="C1" s="188"/>
      <c r="D1" s="188"/>
      <c r="E1" s="188"/>
      <c r="F1" s="188"/>
      <c r="G1" s="188"/>
      <c r="H1" s="188"/>
      <c r="I1" s="188"/>
      <c r="J1" s="189"/>
      <c r="L1" s="190"/>
      <c r="M1" s="190"/>
      <c r="N1" s="190"/>
    </row>
    <row r="2" spans="2:41" x14ac:dyDescent="0.25">
      <c r="B2" s="136"/>
      <c r="C2" s="137"/>
      <c r="D2" s="137"/>
      <c r="E2" s="137"/>
      <c r="F2" s="137"/>
      <c r="G2" s="137"/>
      <c r="H2" s="141" t="s">
        <v>187</v>
      </c>
      <c r="I2" s="137"/>
      <c r="J2" s="138"/>
      <c r="L2" s="194" t="s">
        <v>2</v>
      </c>
      <c r="M2" s="195"/>
      <c r="N2" s="195"/>
      <c r="P2" s="140" t="s">
        <v>190</v>
      </c>
    </row>
    <row r="3" spans="2:41" x14ac:dyDescent="0.25">
      <c r="B3" s="119" t="s">
        <v>1</v>
      </c>
      <c r="C3" s="121" t="s">
        <v>133</v>
      </c>
      <c r="D3" s="122" t="s">
        <v>134</v>
      </c>
      <c r="E3" s="139" t="s">
        <v>1</v>
      </c>
      <c r="F3" s="47" t="s">
        <v>5</v>
      </c>
      <c r="H3" s="119" t="s">
        <v>40</v>
      </c>
      <c r="I3" s="121" t="s">
        <v>191</v>
      </c>
      <c r="J3" s="122" t="s">
        <v>192</v>
      </c>
      <c r="L3" s="16" t="s">
        <v>1</v>
      </c>
      <c r="M3" s="17" t="s">
        <v>172</v>
      </c>
      <c r="N3" s="18" t="s">
        <v>147</v>
      </c>
      <c r="P3" s="45" t="s">
        <v>2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G3" s="45" t="s">
        <v>2</v>
      </c>
      <c r="AH3" s="45"/>
      <c r="AI3" s="45"/>
      <c r="AJ3" s="45"/>
      <c r="AK3" s="45"/>
      <c r="AL3" s="45"/>
      <c r="AM3" s="45"/>
      <c r="AN3" s="45"/>
      <c r="AO3" s="45"/>
    </row>
    <row r="4" spans="2:41" x14ac:dyDescent="0.25">
      <c r="B4" s="146" t="s">
        <v>19</v>
      </c>
      <c r="C4" s="115">
        <v>10799</v>
      </c>
      <c r="D4" s="116">
        <v>34850</v>
      </c>
      <c r="E4" s="42" t="s">
        <v>19</v>
      </c>
      <c r="F4" s="94">
        <f>VLOOKUP(E4,$J$81:$K$88,2,0)</f>
        <v>33593</v>
      </c>
      <c r="H4" s="123">
        <v>45014</v>
      </c>
      <c r="I4" s="115">
        <v>208902</v>
      </c>
      <c r="J4" s="116">
        <v>1212225</v>
      </c>
      <c r="L4" s="31" t="s">
        <v>19</v>
      </c>
      <c r="M4" s="34">
        <f>IFERROR(VLOOKUP(L4,$H$4:$J$12,2,0)/VLOOKUP(L4,$H$4:$J$12,3,0)*100,0)</f>
        <v>48.837944664031617</v>
      </c>
      <c r="N4" s="34">
        <f>IFERROR(VLOOKUP(L4,$B$3:$E$13,2,0)/VLOOKUP(L4,$B$3:$E$13,3,0)*100,0)</f>
        <v>30.987087517934004</v>
      </c>
      <c r="P4" s="16" t="s">
        <v>1</v>
      </c>
      <c r="Q4" s="17" t="s">
        <v>157</v>
      </c>
      <c r="R4" s="17" t="s">
        <v>158</v>
      </c>
      <c r="S4" s="17" t="s">
        <v>159</v>
      </c>
      <c r="T4" s="17" t="s">
        <v>160</v>
      </c>
      <c r="U4" s="17" t="s">
        <v>161</v>
      </c>
      <c r="V4" s="17" t="s">
        <v>162</v>
      </c>
      <c r="W4" s="17" t="s">
        <v>163</v>
      </c>
      <c r="X4" s="18" t="s">
        <v>147</v>
      </c>
      <c r="Y4" s="18" t="s">
        <v>28</v>
      </c>
      <c r="Z4" s="18" t="s">
        <v>167</v>
      </c>
      <c r="AA4" s="18" t="s">
        <v>168</v>
      </c>
      <c r="AB4" s="18" t="s">
        <v>169</v>
      </c>
      <c r="AC4" s="18" t="s">
        <v>170</v>
      </c>
      <c r="AD4" s="18" t="s">
        <v>171</v>
      </c>
      <c r="AE4" s="48" t="s">
        <v>28</v>
      </c>
      <c r="AG4" s="16" t="s">
        <v>1</v>
      </c>
      <c r="AH4" s="17" t="s">
        <v>157</v>
      </c>
      <c r="AI4" s="17" t="s">
        <v>158</v>
      </c>
      <c r="AJ4" s="17" t="s">
        <v>159</v>
      </c>
      <c r="AK4" s="17" t="s">
        <v>160</v>
      </c>
      <c r="AL4" s="17" t="s">
        <v>161</v>
      </c>
      <c r="AM4" s="17" t="s">
        <v>162</v>
      </c>
      <c r="AN4" s="17" t="s">
        <v>163</v>
      </c>
      <c r="AO4" s="18" t="s">
        <v>147</v>
      </c>
    </row>
    <row r="5" spans="2:41" x14ac:dyDescent="0.25">
      <c r="B5" s="147" t="s">
        <v>20</v>
      </c>
      <c r="C5" s="117">
        <v>5187</v>
      </c>
      <c r="D5" s="106">
        <v>14250</v>
      </c>
      <c r="E5" s="42" t="s">
        <v>20</v>
      </c>
      <c r="F5" s="94">
        <f t="shared" ref="F5:F11" si="0">VLOOKUP(E5,$J$81:$K$88,2,0)</f>
        <v>11560</v>
      </c>
      <c r="H5" s="149" t="s">
        <v>19</v>
      </c>
      <c r="I5" s="117">
        <v>37068</v>
      </c>
      <c r="J5" s="106">
        <v>75900</v>
      </c>
      <c r="L5" s="31" t="s">
        <v>20</v>
      </c>
      <c r="M5" s="34">
        <f t="shared" ref="M5:M11" si="1">IFERROR(VLOOKUP(L5,$H$4:$J$12,2,0)/VLOOKUP(L5,$H$4:$J$12,3,0)*100,0)</f>
        <v>17.684210526315788</v>
      </c>
      <c r="N5" s="34">
        <f t="shared" ref="N5:N10" si="2">IFERROR(VLOOKUP(L5,$B$3:$E$13,2,0)/VLOOKUP(L5,$B$3:$E$13,3,0)*100,0)</f>
        <v>36.4</v>
      </c>
      <c r="P5" s="31" t="s">
        <v>19</v>
      </c>
      <c r="Q5" s="34">
        <v>0</v>
      </c>
      <c r="R5" s="46">
        <v>31.212020033388981</v>
      </c>
      <c r="S5" s="46">
        <v>18.055335968379445</v>
      </c>
      <c r="T5" s="46">
        <v>48.837944664031617</v>
      </c>
      <c r="U5" s="46"/>
      <c r="V5" s="46"/>
      <c r="W5" s="46"/>
      <c r="X5" s="35">
        <f t="shared" ref="X5:X13" si="3">VLOOKUP(P5,$L$3:$N$14,3,0)</f>
        <v>30.987087517934004</v>
      </c>
      <c r="Y5" s="35">
        <f>AE5*100</f>
        <v>27.94351397332624</v>
      </c>
      <c r="Z5" s="34">
        <v>14.4802304268133</v>
      </c>
      <c r="AA5" s="34">
        <v>15.79793775423328</v>
      </c>
      <c r="AB5" s="34">
        <v>20.772643700939106</v>
      </c>
      <c r="AC5" s="34">
        <v>16.520455621466567</v>
      </c>
      <c r="AD5" s="35"/>
      <c r="AE5">
        <v>0.27943513973326239</v>
      </c>
      <c r="AG5" s="31" t="s">
        <v>19</v>
      </c>
      <c r="AH5" s="34">
        <f>IF(Q5=0,1,0)</f>
        <v>1</v>
      </c>
      <c r="AI5" s="34">
        <f t="shared" ref="AI5:AO13" si="4">IF(R5=0,1,0)</f>
        <v>0</v>
      </c>
      <c r="AJ5" s="34">
        <f t="shared" si="4"/>
        <v>0</v>
      </c>
      <c r="AK5" s="34">
        <f t="shared" si="4"/>
        <v>0</v>
      </c>
      <c r="AL5" s="34">
        <f t="shared" si="4"/>
        <v>1</v>
      </c>
      <c r="AM5" s="34">
        <f t="shared" si="4"/>
        <v>1</v>
      </c>
      <c r="AN5" s="34">
        <f t="shared" si="4"/>
        <v>1</v>
      </c>
      <c r="AO5" s="34">
        <f>IF(X5=0,1,0)</f>
        <v>0</v>
      </c>
    </row>
    <row r="6" spans="2:41" x14ac:dyDescent="0.25">
      <c r="B6" s="147" t="s">
        <v>21</v>
      </c>
      <c r="C6" s="117">
        <v>4190</v>
      </c>
      <c r="D6" s="106">
        <v>18053</v>
      </c>
      <c r="E6" s="43" t="s">
        <v>21</v>
      </c>
      <c r="F6" s="94">
        <f t="shared" si="0"/>
        <v>10965</v>
      </c>
      <c r="H6" s="150" t="s">
        <v>20</v>
      </c>
      <c r="I6" s="117">
        <v>70560</v>
      </c>
      <c r="J6" s="106">
        <v>399000</v>
      </c>
      <c r="L6" s="31" t="s">
        <v>21</v>
      </c>
      <c r="M6" s="34">
        <f t="shared" si="1"/>
        <v>4.8695652173913047</v>
      </c>
      <c r="N6" s="34">
        <f t="shared" si="2"/>
        <v>23.209438874425302</v>
      </c>
      <c r="P6" s="31" t="s">
        <v>20</v>
      </c>
      <c r="Q6" s="34">
        <v>44.485125858123567</v>
      </c>
      <c r="R6" s="46">
        <v>39.954233409610985</v>
      </c>
      <c r="S6" s="46">
        <v>43.04347826086957</v>
      </c>
      <c r="T6" s="46">
        <v>17.684210526315788</v>
      </c>
      <c r="U6" s="46"/>
      <c r="V6" s="46"/>
      <c r="W6" s="46"/>
      <c r="X6" s="35">
        <f t="shared" si="3"/>
        <v>36.4</v>
      </c>
      <c r="Y6" s="35">
        <f>AE6*100</f>
        <v>31.868015959899438</v>
      </c>
      <c r="Z6" s="34">
        <v>33.204649766224854</v>
      </c>
      <c r="AA6" s="34">
        <v>37.45126470114387</v>
      </c>
      <c r="AB6" s="34">
        <v>37.987744435433001</v>
      </c>
      <c r="AC6" s="34">
        <v>33.523835442463827</v>
      </c>
      <c r="AD6" s="35"/>
      <c r="AE6">
        <v>0.31868015959899437</v>
      </c>
      <c r="AG6" s="31" t="s">
        <v>20</v>
      </c>
      <c r="AH6" s="34">
        <f t="shared" ref="AH6:AH13" si="5">IF(Q6=0,1,0)</f>
        <v>0</v>
      </c>
      <c r="AI6" s="34">
        <f t="shared" si="4"/>
        <v>0</v>
      </c>
      <c r="AJ6" s="34">
        <f t="shared" si="4"/>
        <v>0</v>
      </c>
      <c r="AK6" s="34">
        <f t="shared" si="4"/>
        <v>0</v>
      </c>
      <c r="AL6" s="34">
        <f t="shared" si="4"/>
        <v>1</v>
      </c>
      <c r="AM6" s="34">
        <f t="shared" si="4"/>
        <v>1</v>
      </c>
      <c r="AN6" s="34">
        <f t="shared" si="4"/>
        <v>1</v>
      </c>
      <c r="AO6" s="34">
        <f t="shared" si="4"/>
        <v>0</v>
      </c>
    </row>
    <row r="7" spans="2:41" x14ac:dyDescent="0.25">
      <c r="B7" s="147" t="s">
        <v>22</v>
      </c>
      <c r="C7" s="117">
        <v>2620</v>
      </c>
      <c r="D7" s="106">
        <v>6485</v>
      </c>
      <c r="E7" s="43" t="s">
        <v>22</v>
      </c>
      <c r="F7" s="94">
        <f t="shared" si="0"/>
        <v>3600</v>
      </c>
      <c r="H7" s="150" t="s">
        <v>21</v>
      </c>
      <c r="I7" s="117">
        <v>6720</v>
      </c>
      <c r="J7" s="106">
        <v>138000</v>
      </c>
      <c r="L7" s="31" t="s">
        <v>22</v>
      </c>
      <c r="M7" s="34">
        <f t="shared" si="1"/>
        <v>0</v>
      </c>
      <c r="N7" s="34">
        <f t="shared" si="2"/>
        <v>40.400925212027758</v>
      </c>
      <c r="P7" s="31" t="s">
        <v>21</v>
      </c>
      <c r="Q7" s="34">
        <v>0</v>
      </c>
      <c r="R7" s="46">
        <v>37.160899216973988</v>
      </c>
      <c r="S7" s="46">
        <v>20.840612475593463</v>
      </c>
      <c r="T7" s="46">
        <v>4.8695652173913047</v>
      </c>
      <c r="U7" s="46"/>
      <c r="V7" s="46"/>
      <c r="W7" s="46"/>
      <c r="X7" s="35">
        <f t="shared" si="3"/>
        <v>23.209438874425302</v>
      </c>
      <c r="Y7" s="35">
        <f t="shared" ref="Y7:Y13" si="6">AE7*100</f>
        <v>30.871077734582009</v>
      </c>
      <c r="Z7" s="34">
        <v>29.979160464423938</v>
      </c>
      <c r="AA7" s="34">
        <v>25.446686545084713</v>
      </c>
      <c r="AB7" s="34">
        <v>42.82010151838098</v>
      </c>
      <c r="AC7" s="34">
        <v>39.450302096907947</v>
      </c>
      <c r="AD7" s="35"/>
      <c r="AE7">
        <v>0.30871077734582009</v>
      </c>
      <c r="AG7" s="31" t="s">
        <v>21</v>
      </c>
      <c r="AH7" s="34">
        <f t="shared" si="5"/>
        <v>1</v>
      </c>
      <c r="AI7" s="34">
        <f t="shared" si="4"/>
        <v>0</v>
      </c>
      <c r="AJ7" s="34">
        <f t="shared" si="4"/>
        <v>0</v>
      </c>
      <c r="AK7" s="34">
        <f t="shared" si="4"/>
        <v>0</v>
      </c>
      <c r="AL7" s="34">
        <f t="shared" si="4"/>
        <v>1</v>
      </c>
      <c r="AM7" s="34">
        <f t="shared" si="4"/>
        <v>1</v>
      </c>
      <c r="AN7" s="34">
        <f t="shared" si="4"/>
        <v>1</v>
      </c>
      <c r="AO7" s="34">
        <f t="shared" si="4"/>
        <v>0</v>
      </c>
    </row>
    <row r="8" spans="2:41" x14ac:dyDescent="0.25">
      <c r="B8" s="147" t="s">
        <v>24</v>
      </c>
      <c r="C8" s="117">
        <v>24034</v>
      </c>
      <c r="D8" s="106">
        <v>73992</v>
      </c>
      <c r="E8" s="43" t="s">
        <v>23</v>
      </c>
      <c r="F8" s="94">
        <f t="shared" si="0"/>
        <v>0</v>
      </c>
      <c r="H8" s="150" t="s">
        <v>24</v>
      </c>
      <c r="I8" s="117">
        <v>16296</v>
      </c>
      <c r="J8" s="106">
        <v>242150</v>
      </c>
      <c r="L8" s="31" t="s">
        <v>23</v>
      </c>
      <c r="M8" s="34">
        <f t="shared" si="1"/>
        <v>0</v>
      </c>
      <c r="N8" s="34">
        <f t="shared" si="2"/>
        <v>0</v>
      </c>
      <c r="P8" s="31" t="s">
        <v>22</v>
      </c>
      <c r="Q8" s="34">
        <v>0</v>
      </c>
      <c r="R8" s="46">
        <v>32.756869565217386</v>
      </c>
      <c r="S8" s="46">
        <v>46.968358208955223</v>
      </c>
      <c r="T8" s="46">
        <v>0</v>
      </c>
      <c r="U8" s="46"/>
      <c r="V8" s="46"/>
      <c r="W8" s="46"/>
      <c r="X8" s="35">
        <f t="shared" si="3"/>
        <v>40.400925212027758</v>
      </c>
      <c r="Y8" s="35">
        <f t="shared" si="6"/>
        <v>29.675942487442867</v>
      </c>
      <c r="Z8" s="34">
        <v>31.381503832979941</v>
      </c>
      <c r="AA8" s="34">
        <v>22.352662561743013</v>
      </c>
      <c r="AB8" s="34">
        <v>27.519403532359593</v>
      </c>
      <c r="AC8" s="34">
        <v>34.44797414033328</v>
      </c>
      <c r="AD8" s="35"/>
      <c r="AE8">
        <v>0.29675942487442869</v>
      </c>
      <c r="AG8" s="31" t="s">
        <v>22</v>
      </c>
      <c r="AH8" s="34">
        <f t="shared" si="5"/>
        <v>1</v>
      </c>
      <c r="AI8" s="34">
        <f t="shared" si="4"/>
        <v>0</v>
      </c>
      <c r="AJ8" s="34">
        <f t="shared" si="4"/>
        <v>0</v>
      </c>
      <c r="AK8" s="34">
        <f t="shared" si="4"/>
        <v>1</v>
      </c>
      <c r="AL8" s="34">
        <f t="shared" si="4"/>
        <v>1</v>
      </c>
      <c r="AM8" s="34">
        <f t="shared" si="4"/>
        <v>1</v>
      </c>
      <c r="AN8" s="34">
        <f t="shared" si="4"/>
        <v>1</v>
      </c>
      <c r="AO8" s="34">
        <f t="shared" si="4"/>
        <v>0</v>
      </c>
    </row>
    <row r="9" spans="2:41" x14ac:dyDescent="0.25">
      <c r="B9" s="147" t="s">
        <v>25</v>
      </c>
      <c r="C9" s="117">
        <v>19571</v>
      </c>
      <c r="D9" s="106">
        <v>41600</v>
      </c>
      <c r="E9" s="43" t="s">
        <v>24</v>
      </c>
      <c r="F9" s="94">
        <f t="shared" si="0"/>
        <v>48002</v>
      </c>
      <c r="H9" s="151" t="s">
        <v>25</v>
      </c>
      <c r="I9" s="117">
        <v>34650</v>
      </c>
      <c r="J9" s="106">
        <v>50700</v>
      </c>
      <c r="L9" s="31" t="s">
        <v>24</v>
      </c>
      <c r="M9" s="34">
        <f t="shared" si="1"/>
        <v>6.729712987817468</v>
      </c>
      <c r="N9" s="34">
        <f t="shared" si="2"/>
        <v>32.481889934046926</v>
      </c>
      <c r="P9" s="31" t="s">
        <v>23</v>
      </c>
      <c r="Q9" s="34">
        <v>0</v>
      </c>
      <c r="R9" s="46">
        <v>0</v>
      </c>
      <c r="S9" s="46">
        <v>0</v>
      </c>
      <c r="T9" s="46">
        <v>0</v>
      </c>
      <c r="U9" s="46"/>
      <c r="V9" s="46"/>
      <c r="W9" s="46"/>
      <c r="X9" s="35">
        <f t="shared" si="3"/>
        <v>0</v>
      </c>
      <c r="Y9" s="35">
        <f t="shared" si="6"/>
        <v>28.190913604766632</v>
      </c>
      <c r="Z9" s="34">
        <v>22.902199074074073</v>
      </c>
      <c r="AA9" s="34">
        <v>16.064189189189189</v>
      </c>
      <c r="AB9" s="34">
        <v>0</v>
      </c>
      <c r="AC9" s="34">
        <v>0</v>
      </c>
      <c r="AD9" s="35"/>
      <c r="AE9">
        <v>0.28190913604766632</v>
      </c>
      <c r="AG9" s="31" t="s">
        <v>23</v>
      </c>
      <c r="AH9" s="34">
        <f t="shared" si="5"/>
        <v>1</v>
      </c>
      <c r="AI9" s="34">
        <f t="shared" si="4"/>
        <v>1</v>
      </c>
      <c r="AJ9" s="34">
        <f t="shared" si="4"/>
        <v>1</v>
      </c>
      <c r="AK9" s="34">
        <f t="shared" si="4"/>
        <v>1</v>
      </c>
      <c r="AL9" s="34">
        <f t="shared" si="4"/>
        <v>1</v>
      </c>
      <c r="AM9" s="34">
        <f t="shared" si="4"/>
        <v>1</v>
      </c>
      <c r="AN9" s="34">
        <f t="shared" si="4"/>
        <v>1</v>
      </c>
      <c r="AO9" s="34">
        <f t="shared" si="4"/>
        <v>1</v>
      </c>
    </row>
    <row r="10" spans="2:41" x14ac:dyDescent="0.25">
      <c r="B10" s="148" t="s">
        <v>138</v>
      </c>
      <c r="C10" s="117">
        <v>1817</v>
      </c>
      <c r="D10" s="106">
        <v>12770</v>
      </c>
      <c r="E10" s="43" t="s">
        <v>25</v>
      </c>
      <c r="F10" s="94">
        <f t="shared" si="0"/>
        <v>51366</v>
      </c>
      <c r="H10" s="152" t="s">
        <v>138</v>
      </c>
      <c r="I10" s="117">
        <v>43608</v>
      </c>
      <c r="J10" s="106">
        <v>306475</v>
      </c>
      <c r="L10" s="31" t="s">
        <v>25</v>
      </c>
      <c r="M10" s="34">
        <f t="shared" si="1"/>
        <v>68.34319526627219</v>
      </c>
      <c r="N10" s="34">
        <f t="shared" si="2"/>
        <v>47.04567307692308</v>
      </c>
      <c r="P10" s="31" t="s">
        <v>24</v>
      </c>
      <c r="Q10" s="34">
        <v>0</v>
      </c>
      <c r="R10" s="46">
        <v>44.677696335078529</v>
      </c>
      <c r="S10" s="46">
        <v>53.375172413793102</v>
      </c>
      <c r="T10" s="46">
        <v>6.729712987817468</v>
      </c>
      <c r="U10" s="46"/>
      <c r="V10" s="46"/>
      <c r="W10" s="46"/>
      <c r="X10" s="35">
        <f t="shared" si="3"/>
        <v>32.481889934046926</v>
      </c>
      <c r="Y10" s="35">
        <f t="shared" si="6"/>
        <v>30.087901592188302</v>
      </c>
      <c r="Z10" s="34">
        <v>36.346468588694449</v>
      </c>
      <c r="AA10" s="34">
        <v>20.093620674295618</v>
      </c>
      <c r="AB10" s="34">
        <v>25.109947643979059</v>
      </c>
      <c r="AC10" s="34">
        <v>28.38668056175872</v>
      </c>
      <c r="AD10" s="35"/>
      <c r="AE10">
        <v>0.30087901592188304</v>
      </c>
      <c r="AG10" s="31" t="s">
        <v>24</v>
      </c>
      <c r="AH10" s="34">
        <f t="shared" si="5"/>
        <v>1</v>
      </c>
      <c r="AI10" s="34">
        <f t="shared" si="4"/>
        <v>0</v>
      </c>
      <c r="AJ10" s="34">
        <f t="shared" si="4"/>
        <v>0</v>
      </c>
      <c r="AK10" s="34">
        <f t="shared" si="4"/>
        <v>0</v>
      </c>
      <c r="AL10" s="34">
        <f t="shared" si="4"/>
        <v>1</v>
      </c>
      <c r="AM10" s="34">
        <f t="shared" si="4"/>
        <v>1</v>
      </c>
      <c r="AN10" s="34">
        <f t="shared" si="4"/>
        <v>1</v>
      </c>
      <c r="AO10" s="34">
        <f t="shared" si="4"/>
        <v>0</v>
      </c>
    </row>
    <row r="11" spans="2:41" x14ac:dyDescent="0.25">
      <c r="B11" s="120" t="s">
        <v>103</v>
      </c>
      <c r="C11" s="118">
        <v>68218</v>
      </c>
      <c r="D11" s="114">
        <v>202000</v>
      </c>
      <c r="E11" s="44" t="s">
        <v>138</v>
      </c>
      <c r="F11" s="94">
        <f t="shared" si="0"/>
        <v>3000</v>
      </c>
      <c r="H11" s="123" t="s">
        <v>103</v>
      </c>
      <c r="I11" s="118">
        <v>208902</v>
      </c>
      <c r="J11" s="114">
        <v>1212225</v>
      </c>
      <c r="L11" s="32" t="s">
        <v>138</v>
      </c>
      <c r="M11" s="34">
        <f t="shared" si="1"/>
        <v>14.228893058161351</v>
      </c>
      <c r="N11" s="34">
        <f>IFERROR(VLOOKUP(L11,$B$3:$E$13,2,0)/VLOOKUP(L11,$B$3:$E$13,3,0)*100,0)</f>
        <v>14.228660924040721</v>
      </c>
      <c r="P11" s="31" t="s">
        <v>25</v>
      </c>
      <c r="Q11" s="34">
        <v>0</v>
      </c>
      <c r="R11" s="46">
        <v>35.265508684863519</v>
      </c>
      <c r="S11" s="46">
        <v>51.46153846153846</v>
      </c>
      <c r="T11" s="46">
        <v>68.34319526627219</v>
      </c>
      <c r="U11" s="46"/>
      <c r="V11" s="46"/>
      <c r="W11" s="46"/>
      <c r="X11" s="35">
        <f t="shared" si="3"/>
        <v>47.04567307692308</v>
      </c>
      <c r="Y11" s="35">
        <f t="shared" si="6"/>
        <v>37.432069387554044</v>
      </c>
      <c r="Z11" s="34">
        <v>43.222923749392912</v>
      </c>
      <c r="AA11" s="34">
        <v>37.242756503892167</v>
      </c>
      <c r="AB11" s="34">
        <v>25.259246456965091</v>
      </c>
      <c r="AC11" s="34">
        <v>43.466552069904026</v>
      </c>
      <c r="AD11" s="35"/>
      <c r="AE11">
        <v>0.37432069387554046</v>
      </c>
      <c r="AG11" s="31" t="s">
        <v>25</v>
      </c>
      <c r="AH11" s="34">
        <f t="shared" si="5"/>
        <v>1</v>
      </c>
      <c r="AI11" s="34">
        <f t="shared" si="4"/>
        <v>0</v>
      </c>
      <c r="AJ11" s="34">
        <f t="shared" si="4"/>
        <v>0</v>
      </c>
      <c r="AK11" s="34">
        <f t="shared" si="4"/>
        <v>0</v>
      </c>
      <c r="AL11" s="34">
        <f t="shared" si="4"/>
        <v>1</v>
      </c>
      <c r="AM11" s="34">
        <f t="shared" si="4"/>
        <v>1</v>
      </c>
      <c r="AN11" s="34">
        <f t="shared" si="4"/>
        <v>1</v>
      </c>
      <c r="AO11" s="34">
        <f t="shared" si="4"/>
        <v>0</v>
      </c>
    </row>
    <row r="12" spans="2:41" x14ac:dyDescent="0.25">
      <c r="E12" s="95" t="s">
        <v>103</v>
      </c>
      <c r="F12" s="33">
        <f>SUM(F4:F11)</f>
        <v>162086</v>
      </c>
      <c r="L12" s="31" t="s">
        <v>103</v>
      </c>
      <c r="M12" s="34">
        <f>VLOOKUP(L12,$H$4:$J$13,2,0)/VLOOKUP(L12,$H$4:$J$13,3,0)*100</f>
        <v>17.232939429561345</v>
      </c>
      <c r="N12" s="34">
        <f>VLOOKUP(L12,$B$3:$F$13,2,0)/VLOOKUP(L12,$B$3:$F$13,3,0)*100</f>
        <v>33.771287128712871</v>
      </c>
      <c r="O12" s="36"/>
      <c r="P12" s="32" t="s">
        <v>138</v>
      </c>
      <c r="Q12" s="34">
        <v>0</v>
      </c>
      <c r="R12" s="46">
        <v>0</v>
      </c>
      <c r="S12" s="46">
        <v>0</v>
      </c>
      <c r="T12" s="46">
        <v>14.228893058161351</v>
      </c>
      <c r="U12" s="46"/>
      <c r="V12" s="46"/>
      <c r="W12" s="46"/>
      <c r="X12" s="35">
        <f t="shared" si="3"/>
        <v>14.228660924040721</v>
      </c>
      <c r="Y12" s="35">
        <f t="shared" si="6"/>
        <v>19.651818936767096</v>
      </c>
      <c r="Z12" s="36">
        <v>0</v>
      </c>
      <c r="AA12" s="36">
        <v>0</v>
      </c>
      <c r="AB12" s="36">
        <v>0</v>
      </c>
      <c r="AC12" s="36">
        <v>0</v>
      </c>
      <c r="AD12" s="37"/>
      <c r="AE12">
        <v>0.19651818936767096</v>
      </c>
      <c r="AG12" s="32" t="s">
        <v>138</v>
      </c>
      <c r="AH12" s="34">
        <f t="shared" si="5"/>
        <v>1</v>
      </c>
      <c r="AI12" s="34">
        <f t="shared" si="4"/>
        <v>1</v>
      </c>
      <c r="AJ12" s="34">
        <f t="shared" si="4"/>
        <v>1</v>
      </c>
      <c r="AK12" s="34">
        <f t="shared" si="4"/>
        <v>0</v>
      </c>
      <c r="AL12" s="34">
        <f t="shared" si="4"/>
        <v>1</v>
      </c>
      <c r="AM12" s="34">
        <f t="shared" si="4"/>
        <v>1</v>
      </c>
      <c r="AN12" s="34">
        <f t="shared" si="4"/>
        <v>1</v>
      </c>
      <c r="AO12" s="34">
        <f t="shared" si="4"/>
        <v>0</v>
      </c>
    </row>
    <row r="13" spans="2:41" x14ac:dyDescent="0.25">
      <c r="B13" s="107"/>
      <c r="P13" s="31" t="s">
        <v>103</v>
      </c>
      <c r="Q13" s="34">
        <v>44.485125858123567</v>
      </c>
      <c r="R13" s="91">
        <v>38.691955203945341</v>
      </c>
      <c r="S13" s="91">
        <v>44.169174852569327</v>
      </c>
      <c r="T13" s="91">
        <v>17.232939429561345</v>
      </c>
      <c r="U13" s="91"/>
      <c r="V13" s="91"/>
      <c r="W13" s="91"/>
      <c r="X13" s="35">
        <f t="shared" si="3"/>
        <v>33.771287128712871</v>
      </c>
      <c r="Y13" s="35">
        <f t="shared" si="6"/>
        <v>30.623581856363614</v>
      </c>
      <c r="Z13" s="91">
        <v>34.630773749060332</v>
      </c>
      <c r="AA13" s="91">
        <v>24.8234330441114</v>
      </c>
      <c r="AB13" s="91">
        <v>27.022648127790106</v>
      </c>
      <c r="AC13" s="91">
        <v>31.520910502857973</v>
      </c>
      <c r="AD13" s="91"/>
      <c r="AE13">
        <v>0.30623581856363613</v>
      </c>
      <c r="AG13" s="31" t="s">
        <v>103</v>
      </c>
      <c r="AH13" s="34">
        <f t="shared" si="5"/>
        <v>0</v>
      </c>
      <c r="AI13" s="34">
        <f t="shared" si="4"/>
        <v>0</v>
      </c>
      <c r="AJ13" s="34">
        <f t="shared" si="4"/>
        <v>0</v>
      </c>
      <c r="AK13" s="34">
        <f t="shared" si="4"/>
        <v>0</v>
      </c>
      <c r="AL13" s="34">
        <f t="shared" si="4"/>
        <v>1</v>
      </c>
      <c r="AM13" s="34">
        <f t="shared" si="4"/>
        <v>1</v>
      </c>
      <c r="AN13" s="34">
        <f t="shared" si="4"/>
        <v>1</v>
      </c>
      <c r="AO13" s="34">
        <f t="shared" si="4"/>
        <v>0</v>
      </c>
    </row>
    <row r="14" spans="2:41" x14ac:dyDescent="0.25">
      <c r="B14" s="107"/>
      <c r="C14" t="s">
        <v>166</v>
      </c>
      <c r="D14" s="14">
        <v>590963</v>
      </c>
      <c r="G14" s="12"/>
      <c r="H14" s="14"/>
      <c r="I14" s="14"/>
      <c r="J14" s="108"/>
    </row>
    <row r="15" spans="2:41" x14ac:dyDescent="0.25">
      <c r="B15" s="107"/>
      <c r="C15" t="s">
        <v>165</v>
      </c>
      <c r="D15" s="14">
        <v>453106</v>
      </c>
      <c r="E15" s="142" t="s">
        <v>186</v>
      </c>
      <c r="F15" s="14"/>
      <c r="G15" s="12"/>
      <c r="H15" s="14"/>
      <c r="I15" s="14"/>
      <c r="J15" s="108"/>
    </row>
    <row r="16" spans="2:41" x14ac:dyDescent="0.25">
      <c r="B16" s="107"/>
      <c r="C16" t="s">
        <v>164</v>
      </c>
      <c r="D16" s="14">
        <f>D14-D15</f>
        <v>137857</v>
      </c>
      <c r="E16" s="14"/>
      <c r="F16" s="14"/>
      <c r="G16" s="12"/>
      <c r="H16" s="14"/>
      <c r="I16" s="14"/>
      <c r="J16" s="108"/>
    </row>
    <row r="17" spans="2:31" x14ac:dyDescent="0.25">
      <c r="B17" s="109"/>
      <c r="C17" s="110"/>
      <c r="D17" s="110"/>
      <c r="E17" s="110"/>
      <c r="F17" s="112"/>
      <c r="G17" s="111"/>
      <c r="H17" s="112"/>
      <c r="I17" s="112"/>
      <c r="J17" s="113"/>
    </row>
    <row r="18" spans="2:31" x14ac:dyDescent="0.25">
      <c r="G18" s="12"/>
      <c r="H18" s="14"/>
      <c r="I18" s="14"/>
    </row>
    <row r="20" spans="2:31" x14ac:dyDescent="0.25">
      <c r="B20" s="9" t="s">
        <v>188</v>
      </c>
    </row>
    <row r="21" spans="2:31" ht="41.25" customHeight="1" x14ac:dyDescent="0.25">
      <c r="B21" s="8" t="s">
        <v>40</v>
      </c>
      <c r="C21" s="11" t="s">
        <v>104</v>
      </c>
      <c r="D21" s="11" t="s">
        <v>109</v>
      </c>
      <c r="E21" s="11" t="s">
        <v>105</v>
      </c>
      <c r="F21" s="11" t="s">
        <v>106</v>
      </c>
      <c r="G21" s="11" t="s">
        <v>110</v>
      </c>
      <c r="H21" s="11" t="s">
        <v>111</v>
      </c>
      <c r="I21" s="11" t="s">
        <v>107</v>
      </c>
      <c r="J21" s="11" t="s">
        <v>108</v>
      </c>
      <c r="K21" s="11" t="s">
        <v>112</v>
      </c>
      <c r="L21" s="11" t="s">
        <v>113</v>
      </c>
      <c r="M21" s="11" t="s">
        <v>114</v>
      </c>
      <c r="N21" s="11" t="s">
        <v>115</v>
      </c>
      <c r="O21" s="11" t="s">
        <v>116</v>
      </c>
      <c r="P21" s="11" t="s">
        <v>117</v>
      </c>
      <c r="Q21" s="11" t="s">
        <v>118</v>
      </c>
      <c r="R21" s="11" t="s">
        <v>119</v>
      </c>
      <c r="S21" s="11" t="s">
        <v>121</v>
      </c>
      <c r="T21" s="11" t="s">
        <v>120</v>
      </c>
      <c r="U21" s="11" t="s">
        <v>122</v>
      </c>
      <c r="V21" s="11" t="s">
        <v>124</v>
      </c>
      <c r="W21" s="11" t="s">
        <v>123</v>
      </c>
      <c r="X21" s="11" t="s">
        <v>125</v>
      </c>
      <c r="Y21" s="11" t="s">
        <v>126</v>
      </c>
      <c r="Z21" s="11" t="s">
        <v>127</v>
      </c>
      <c r="AA21" s="11" t="s">
        <v>128</v>
      </c>
      <c r="AB21" s="11" t="s">
        <v>129</v>
      </c>
      <c r="AC21" s="11" t="s">
        <v>130</v>
      </c>
      <c r="AD21" s="11" t="s">
        <v>131</v>
      </c>
      <c r="AE21" s="11" t="s">
        <v>132</v>
      </c>
    </row>
    <row r="22" spans="2:31" x14ac:dyDescent="0.25">
      <c r="B22" s="12">
        <v>45014</v>
      </c>
      <c r="E22">
        <v>57</v>
      </c>
      <c r="F22">
        <v>76</v>
      </c>
      <c r="H22">
        <v>239</v>
      </c>
      <c r="I22">
        <v>41</v>
      </c>
      <c r="K22">
        <v>90</v>
      </c>
      <c r="L22">
        <v>4</v>
      </c>
      <c r="M22">
        <v>54</v>
      </c>
      <c r="N22">
        <v>131</v>
      </c>
      <c r="O22">
        <v>127</v>
      </c>
      <c r="P22">
        <v>246</v>
      </c>
      <c r="Q22">
        <v>259</v>
      </c>
      <c r="R22">
        <v>25</v>
      </c>
      <c r="T22">
        <v>15</v>
      </c>
      <c r="U22">
        <v>326</v>
      </c>
      <c r="V22">
        <v>62</v>
      </c>
      <c r="W22">
        <v>228</v>
      </c>
      <c r="X22">
        <v>27</v>
      </c>
      <c r="Y22">
        <v>5</v>
      </c>
      <c r="Z22">
        <v>127</v>
      </c>
      <c r="AA22">
        <v>7</v>
      </c>
      <c r="AB22">
        <v>5</v>
      </c>
      <c r="AE22">
        <v>167</v>
      </c>
    </row>
    <row r="23" spans="2:31" x14ac:dyDescent="0.25">
      <c r="B23" s="13" t="s">
        <v>19</v>
      </c>
      <c r="F23">
        <v>36</v>
      </c>
      <c r="I23">
        <v>16</v>
      </c>
      <c r="M23">
        <v>42</v>
      </c>
      <c r="O23">
        <v>15</v>
      </c>
      <c r="P23">
        <v>4</v>
      </c>
      <c r="T23">
        <v>3</v>
      </c>
      <c r="U23">
        <v>34</v>
      </c>
      <c r="V23">
        <v>16</v>
      </c>
      <c r="W23">
        <v>119</v>
      </c>
      <c r="AA23">
        <v>7</v>
      </c>
      <c r="AE23">
        <v>20</v>
      </c>
    </row>
    <row r="24" spans="2:31" x14ac:dyDescent="0.25">
      <c r="B24" s="13" t="s">
        <v>20</v>
      </c>
      <c r="E24">
        <v>42</v>
      </c>
      <c r="F24">
        <v>20</v>
      </c>
      <c r="I24">
        <v>25</v>
      </c>
      <c r="M24">
        <v>12</v>
      </c>
      <c r="N24">
        <v>131</v>
      </c>
      <c r="O24">
        <v>4</v>
      </c>
      <c r="P24">
        <v>206</v>
      </c>
      <c r="Q24">
        <v>18</v>
      </c>
      <c r="T24">
        <v>12</v>
      </c>
      <c r="U24">
        <v>55</v>
      </c>
      <c r="W24">
        <v>14</v>
      </c>
      <c r="Y24">
        <v>5</v>
      </c>
      <c r="Z24">
        <v>127</v>
      </c>
      <c r="AE24">
        <v>5</v>
      </c>
    </row>
    <row r="25" spans="2:31" x14ac:dyDescent="0.25">
      <c r="B25" s="13" t="s">
        <v>21</v>
      </c>
      <c r="H25">
        <v>74</v>
      </c>
      <c r="L25">
        <v>4</v>
      </c>
      <c r="O25">
        <v>3</v>
      </c>
      <c r="Q25">
        <v>237</v>
      </c>
      <c r="U25">
        <v>151</v>
      </c>
      <c r="W25">
        <v>19</v>
      </c>
      <c r="AB25">
        <v>5</v>
      </c>
    </row>
    <row r="26" spans="2:31" x14ac:dyDescent="0.25">
      <c r="B26" s="13" t="s">
        <v>24</v>
      </c>
      <c r="E26">
        <v>15</v>
      </c>
      <c r="O26">
        <v>105</v>
      </c>
      <c r="P26">
        <v>36</v>
      </c>
      <c r="R26">
        <v>25</v>
      </c>
      <c r="U26">
        <v>75</v>
      </c>
      <c r="V26">
        <v>46</v>
      </c>
      <c r="W26">
        <v>30</v>
      </c>
      <c r="X26">
        <v>27</v>
      </c>
      <c r="AE26">
        <v>7</v>
      </c>
    </row>
    <row r="27" spans="2:31" x14ac:dyDescent="0.25">
      <c r="B27" s="13" t="s">
        <v>25</v>
      </c>
      <c r="Q27">
        <v>4</v>
      </c>
      <c r="U27">
        <v>11</v>
      </c>
      <c r="W27">
        <v>11</v>
      </c>
    </row>
    <row r="28" spans="2:31" x14ac:dyDescent="0.25">
      <c r="B28" s="13" t="s">
        <v>138</v>
      </c>
      <c r="F28">
        <v>20</v>
      </c>
      <c r="H28">
        <v>165</v>
      </c>
      <c r="K28">
        <v>90</v>
      </c>
      <c r="W28">
        <v>35</v>
      </c>
      <c r="AE28">
        <v>135</v>
      </c>
    </row>
    <row r="29" spans="2:31" x14ac:dyDescent="0.25">
      <c r="B29" s="12" t="s">
        <v>103</v>
      </c>
      <c r="E29">
        <v>57</v>
      </c>
      <c r="F29">
        <v>76</v>
      </c>
      <c r="H29">
        <v>239</v>
      </c>
      <c r="I29">
        <v>41</v>
      </c>
      <c r="K29">
        <v>90</v>
      </c>
      <c r="L29">
        <v>4</v>
      </c>
      <c r="M29">
        <v>54</v>
      </c>
      <c r="N29">
        <v>131</v>
      </c>
      <c r="O29">
        <v>127</v>
      </c>
      <c r="P29">
        <v>246</v>
      </c>
      <c r="Q29">
        <v>259</v>
      </c>
      <c r="R29">
        <v>25</v>
      </c>
      <c r="T29">
        <v>15</v>
      </c>
      <c r="U29">
        <v>326</v>
      </c>
      <c r="V29">
        <v>62</v>
      </c>
      <c r="W29">
        <v>228</v>
      </c>
      <c r="X29">
        <v>27</v>
      </c>
      <c r="Y29">
        <v>5</v>
      </c>
      <c r="Z29">
        <v>127</v>
      </c>
      <c r="AA29">
        <v>7</v>
      </c>
      <c r="AB29">
        <v>5</v>
      </c>
      <c r="AE29">
        <v>167</v>
      </c>
    </row>
    <row r="32" spans="2:31" x14ac:dyDescent="0.25">
      <c r="B32" s="12"/>
    </row>
    <row r="33" spans="2:31" x14ac:dyDescent="0.25">
      <c r="B33" s="12"/>
    </row>
    <row r="34" spans="2:31" x14ac:dyDescent="0.25">
      <c r="B34" s="9" t="s">
        <v>156</v>
      </c>
    </row>
    <row r="35" spans="2:31" ht="60" x14ac:dyDescent="0.25">
      <c r="B35" s="8" t="s">
        <v>102</v>
      </c>
      <c r="C35" s="11" t="s">
        <v>104</v>
      </c>
      <c r="D35" s="11" t="s">
        <v>109</v>
      </c>
      <c r="E35" s="11" t="s">
        <v>105</v>
      </c>
      <c r="F35" s="11" t="s">
        <v>106</v>
      </c>
      <c r="G35" s="11" t="s">
        <v>110</v>
      </c>
      <c r="H35" s="11" t="s">
        <v>111</v>
      </c>
      <c r="I35" s="11" t="s">
        <v>107</v>
      </c>
      <c r="J35" s="11" t="s">
        <v>108</v>
      </c>
      <c r="K35" s="11" t="s">
        <v>112</v>
      </c>
      <c r="L35" s="11" t="s">
        <v>113</v>
      </c>
      <c r="M35" s="11" t="s">
        <v>114</v>
      </c>
      <c r="N35" s="11" t="s">
        <v>115</v>
      </c>
      <c r="O35" s="11" t="s">
        <v>116</v>
      </c>
      <c r="P35" s="11" t="s">
        <v>117</v>
      </c>
      <c r="Q35" s="11" t="s">
        <v>118</v>
      </c>
      <c r="R35" s="11" t="s">
        <v>119</v>
      </c>
      <c r="S35" s="11" t="s">
        <v>121</v>
      </c>
      <c r="T35" s="11" t="s">
        <v>120</v>
      </c>
      <c r="U35" s="11" t="s">
        <v>122</v>
      </c>
      <c r="V35" s="11" t="s">
        <v>124</v>
      </c>
      <c r="W35" s="11" t="s">
        <v>123</v>
      </c>
      <c r="X35" s="11" t="s">
        <v>125</v>
      </c>
      <c r="Y35" s="11" t="s">
        <v>126</v>
      </c>
      <c r="Z35" s="11" t="s">
        <v>127</v>
      </c>
      <c r="AA35" s="11" t="s">
        <v>128</v>
      </c>
      <c r="AB35" s="11" t="s">
        <v>129</v>
      </c>
      <c r="AC35" s="11" t="s">
        <v>130</v>
      </c>
      <c r="AD35" s="11" t="s">
        <v>131</v>
      </c>
      <c r="AE35" s="11" t="s">
        <v>132</v>
      </c>
    </row>
    <row r="36" spans="2:31" x14ac:dyDescent="0.25">
      <c r="B36" s="9" t="s">
        <v>19</v>
      </c>
      <c r="E36">
        <v>45</v>
      </c>
      <c r="F36">
        <v>76</v>
      </c>
      <c r="H36">
        <v>10</v>
      </c>
      <c r="I36">
        <v>56</v>
      </c>
      <c r="J36">
        <v>420</v>
      </c>
      <c r="K36">
        <v>111</v>
      </c>
      <c r="L36">
        <v>12</v>
      </c>
      <c r="M36">
        <v>91</v>
      </c>
      <c r="O36">
        <v>20</v>
      </c>
      <c r="P36">
        <v>76</v>
      </c>
      <c r="Q36">
        <v>52</v>
      </c>
      <c r="R36">
        <v>18</v>
      </c>
      <c r="T36">
        <v>3</v>
      </c>
      <c r="U36">
        <v>191</v>
      </c>
      <c r="V36">
        <v>86</v>
      </c>
      <c r="W36">
        <v>151</v>
      </c>
      <c r="AA36">
        <v>7</v>
      </c>
      <c r="AE36">
        <v>40</v>
      </c>
    </row>
    <row r="37" spans="2:31" x14ac:dyDescent="0.25">
      <c r="B37" s="9" t="s">
        <v>20</v>
      </c>
      <c r="C37">
        <v>122</v>
      </c>
      <c r="E37">
        <v>119</v>
      </c>
      <c r="F37">
        <v>50</v>
      </c>
      <c r="H37">
        <v>10</v>
      </c>
      <c r="I37">
        <v>25</v>
      </c>
      <c r="L37">
        <v>7</v>
      </c>
      <c r="M37">
        <v>177</v>
      </c>
      <c r="N37">
        <v>191</v>
      </c>
      <c r="O37">
        <v>67</v>
      </c>
      <c r="P37">
        <v>602</v>
      </c>
      <c r="Q37">
        <v>210</v>
      </c>
      <c r="T37">
        <v>60</v>
      </c>
      <c r="U37">
        <v>76</v>
      </c>
      <c r="W37">
        <v>71</v>
      </c>
      <c r="Y37">
        <v>148</v>
      </c>
      <c r="Z37">
        <v>244</v>
      </c>
      <c r="AA37">
        <v>70</v>
      </c>
      <c r="AB37">
        <v>28</v>
      </c>
      <c r="AE37">
        <v>43</v>
      </c>
    </row>
    <row r="38" spans="2:31" x14ac:dyDescent="0.25">
      <c r="B38" s="9" t="s">
        <v>21</v>
      </c>
      <c r="E38">
        <v>6</v>
      </c>
      <c r="F38">
        <v>37</v>
      </c>
      <c r="H38">
        <v>90</v>
      </c>
      <c r="J38">
        <v>6</v>
      </c>
      <c r="L38">
        <v>86</v>
      </c>
      <c r="M38">
        <v>54</v>
      </c>
      <c r="O38">
        <v>9</v>
      </c>
      <c r="Q38">
        <v>252</v>
      </c>
      <c r="R38">
        <v>26</v>
      </c>
      <c r="U38">
        <v>155</v>
      </c>
      <c r="V38">
        <v>104</v>
      </c>
      <c r="W38">
        <v>101</v>
      </c>
      <c r="AB38">
        <v>23</v>
      </c>
    </row>
    <row r="39" spans="2:31" x14ac:dyDescent="0.25">
      <c r="B39" s="9" t="s">
        <v>22</v>
      </c>
      <c r="D39">
        <v>15</v>
      </c>
      <c r="E39">
        <v>26</v>
      </c>
      <c r="F39">
        <v>15</v>
      </c>
      <c r="H39">
        <v>10</v>
      </c>
      <c r="J39">
        <v>13</v>
      </c>
      <c r="L39">
        <v>50</v>
      </c>
      <c r="M39">
        <v>175</v>
      </c>
      <c r="O39">
        <v>4</v>
      </c>
      <c r="P39">
        <v>9</v>
      </c>
      <c r="Q39">
        <v>68</v>
      </c>
      <c r="T39">
        <v>13</v>
      </c>
      <c r="U39">
        <v>67</v>
      </c>
      <c r="W39">
        <v>28</v>
      </c>
    </row>
    <row r="40" spans="2:31" x14ac:dyDescent="0.25">
      <c r="B40" s="9" t="s">
        <v>24</v>
      </c>
      <c r="C40">
        <v>10</v>
      </c>
      <c r="D40">
        <v>35</v>
      </c>
      <c r="E40">
        <v>50</v>
      </c>
      <c r="F40">
        <v>22</v>
      </c>
      <c r="J40">
        <v>12</v>
      </c>
      <c r="L40">
        <v>43</v>
      </c>
      <c r="M40">
        <v>68</v>
      </c>
      <c r="O40">
        <v>143</v>
      </c>
      <c r="P40">
        <v>36</v>
      </c>
      <c r="R40">
        <v>47</v>
      </c>
      <c r="U40">
        <v>326</v>
      </c>
      <c r="V40">
        <v>86</v>
      </c>
      <c r="W40">
        <v>85</v>
      </c>
      <c r="X40">
        <v>103</v>
      </c>
      <c r="Y40">
        <v>63</v>
      </c>
      <c r="AE40">
        <v>13</v>
      </c>
    </row>
    <row r="41" spans="2:31" x14ac:dyDescent="0.25">
      <c r="B41" s="9" t="s">
        <v>25</v>
      </c>
      <c r="D41">
        <v>15</v>
      </c>
      <c r="E41">
        <v>44</v>
      </c>
      <c r="F41">
        <v>325</v>
      </c>
      <c r="J41">
        <v>158</v>
      </c>
      <c r="L41">
        <v>10</v>
      </c>
      <c r="M41">
        <v>42</v>
      </c>
      <c r="O41">
        <v>19</v>
      </c>
      <c r="Q41">
        <v>47</v>
      </c>
      <c r="U41">
        <v>72</v>
      </c>
      <c r="W41">
        <v>154</v>
      </c>
    </row>
    <row r="42" spans="2:31" x14ac:dyDescent="0.25">
      <c r="B42" s="9" t="s">
        <v>138</v>
      </c>
      <c r="F42">
        <v>20</v>
      </c>
      <c r="H42">
        <v>165</v>
      </c>
      <c r="K42">
        <v>90</v>
      </c>
      <c r="W42">
        <v>35</v>
      </c>
      <c r="AE42">
        <v>135</v>
      </c>
    </row>
    <row r="43" spans="2:31" x14ac:dyDescent="0.25">
      <c r="B43" s="9" t="s">
        <v>103</v>
      </c>
      <c r="C43">
        <v>132</v>
      </c>
      <c r="D43">
        <v>65</v>
      </c>
      <c r="E43">
        <v>290</v>
      </c>
      <c r="F43">
        <v>545</v>
      </c>
      <c r="H43">
        <v>285</v>
      </c>
      <c r="I43">
        <v>81</v>
      </c>
      <c r="J43">
        <v>609</v>
      </c>
      <c r="K43">
        <v>201</v>
      </c>
      <c r="L43">
        <v>208</v>
      </c>
      <c r="M43">
        <v>607</v>
      </c>
      <c r="N43">
        <v>191</v>
      </c>
      <c r="O43">
        <v>262</v>
      </c>
      <c r="P43">
        <v>723</v>
      </c>
      <c r="Q43">
        <v>629</v>
      </c>
      <c r="R43">
        <v>91</v>
      </c>
      <c r="T43">
        <v>76</v>
      </c>
      <c r="U43">
        <v>887</v>
      </c>
      <c r="V43">
        <v>276</v>
      </c>
      <c r="W43">
        <v>625</v>
      </c>
      <c r="X43">
        <v>103</v>
      </c>
      <c r="Y43">
        <v>211</v>
      </c>
      <c r="Z43">
        <v>244</v>
      </c>
      <c r="AA43">
        <v>77</v>
      </c>
      <c r="AB43">
        <v>51</v>
      </c>
      <c r="AE43">
        <v>231</v>
      </c>
    </row>
    <row r="45" spans="2:31" x14ac:dyDescent="0.25">
      <c r="B45" s="9"/>
    </row>
    <row r="46" spans="2:31" x14ac:dyDescent="0.25">
      <c r="B46" s="9"/>
    </row>
    <row r="47" spans="2:31" x14ac:dyDescent="0.25">
      <c r="S47" s="186" t="s">
        <v>13</v>
      </c>
      <c r="T47" s="186"/>
      <c r="U47" s="186"/>
      <c r="V47" s="186"/>
      <c r="W47" s="186"/>
      <c r="X47" s="186"/>
      <c r="Y47" s="186"/>
    </row>
    <row r="48" spans="2:31" x14ac:dyDescent="0.25">
      <c r="B48" s="191" t="s">
        <v>145</v>
      </c>
      <c r="C48" s="192"/>
      <c r="D48" s="192"/>
      <c r="E48" s="193"/>
      <c r="G48" s="191" t="s">
        <v>143</v>
      </c>
      <c r="H48" s="192"/>
      <c r="I48" s="192"/>
      <c r="J48" s="192"/>
      <c r="K48" s="193"/>
      <c r="M48" s="191" t="s">
        <v>144</v>
      </c>
      <c r="N48" s="192"/>
      <c r="O48" s="192"/>
      <c r="P48" s="192"/>
      <c r="Q48" s="193"/>
      <c r="S48" s="38" t="s">
        <v>102</v>
      </c>
      <c r="T48" s="41" t="s">
        <v>148</v>
      </c>
      <c r="V48" s="16" t="s">
        <v>1</v>
      </c>
      <c r="W48" s="17" t="s">
        <v>149</v>
      </c>
      <c r="X48" s="17" t="s">
        <v>18</v>
      </c>
      <c r="Y48" s="18" t="s">
        <v>16</v>
      </c>
    </row>
    <row r="49" spans="2:25" x14ac:dyDescent="0.25">
      <c r="B49" s="24" t="s">
        <v>1</v>
      </c>
      <c r="C49" s="10" t="s">
        <v>135</v>
      </c>
      <c r="D49" s="10" t="s">
        <v>139</v>
      </c>
      <c r="E49" s="25" t="s">
        <v>140</v>
      </c>
      <c r="G49" s="24" t="s">
        <v>146</v>
      </c>
      <c r="H49" s="10" t="s">
        <v>1</v>
      </c>
      <c r="I49" s="10" t="s">
        <v>141</v>
      </c>
      <c r="J49" s="10" t="s">
        <v>135</v>
      </c>
      <c r="K49" s="25" t="s">
        <v>142</v>
      </c>
      <c r="M49" s="24" t="s">
        <v>146</v>
      </c>
      <c r="N49" s="10" t="s">
        <v>1</v>
      </c>
      <c r="O49" s="10" t="s">
        <v>141</v>
      </c>
      <c r="P49" s="10" t="s">
        <v>135</v>
      </c>
      <c r="Q49" s="25" t="s">
        <v>142</v>
      </c>
      <c r="S49" s="39" t="s">
        <v>18</v>
      </c>
      <c r="T49" s="90">
        <v>18</v>
      </c>
      <c r="V49" s="19" t="s">
        <v>19</v>
      </c>
      <c r="W49" s="20">
        <f>MAX(X49,Y49)</f>
        <v>3</v>
      </c>
      <c r="X49" s="20">
        <f>IFERROR(VLOOKUP($V49,$S$49:$T$57,2,0),0)</f>
        <v>3</v>
      </c>
      <c r="Y49" s="21">
        <f>IFERROR(VLOOKUP($V49,$S$57:$T$63,2,0),0)</f>
        <v>3</v>
      </c>
    </row>
    <row r="50" spans="2:25" x14ac:dyDescent="0.25">
      <c r="B50" s="19" t="s">
        <v>19</v>
      </c>
      <c r="C50" s="15" t="s">
        <v>71</v>
      </c>
      <c r="D50" s="15">
        <f>IFERROR(VLOOKUP($B50,$B$21:$AE$29,2,0),0)</f>
        <v>0</v>
      </c>
      <c r="E50" s="27">
        <f>IFERROR(VLOOKUP($B50,$B$35:$AE$43,2,0),0)</f>
        <v>0</v>
      </c>
      <c r="G50" s="19" t="str">
        <f>H50&amp;I50</f>
        <v xml:space="preserve">        FS011</v>
      </c>
      <c r="H50" s="26" t="s">
        <v>19</v>
      </c>
      <c r="I50" s="20">
        <v>1</v>
      </c>
      <c r="J50" s="20" cm="1">
        <f t="array" ref="J50">LARGE(IF($B$50:$B$281=H50,$D$50:$D$281),$I50)</f>
        <v>119</v>
      </c>
      <c r="K50" s="27" t="str" cm="1">
        <f t="array" ref="K50">IF(J50=0, "DNR", INDEX($C$50:$C$281,MATCH(LARGE(IF($B$50:$B$281=$H50,$D$50:$D$281),$I50), IF($B$50:$B$281=$H50,$D$50:$D$281),0)))</f>
        <v>Case Packer</v>
      </c>
      <c r="M50" s="19" t="str">
        <f>N50&amp;O50</f>
        <v xml:space="preserve">        FS011</v>
      </c>
      <c r="N50" s="26" t="s">
        <v>19</v>
      </c>
      <c r="O50" s="20">
        <v>1</v>
      </c>
      <c r="P50" s="20" cm="1">
        <f t="array" ref="P50">LARGE(IF($B$50:$B$281=N50,$E$50:$E$281),$I50)</f>
        <v>420</v>
      </c>
      <c r="Q50" s="27" t="str" cm="1">
        <f t="array" ref="Q50">IF(P50=0, "DNR", INDEX($C$50:$C$281,MATCH(LARGE(IF($B$50:$B$281=$H50,$E$50:$E$281),$I50), IF($B$50:$B$281=$H50,$E$50:$E$281),0)))</f>
        <v>QA External</v>
      </c>
      <c r="S50" s="143" t="s">
        <v>19</v>
      </c>
      <c r="T50" s="89">
        <v>3</v>
      </c>
      <c r="V50" s="19" t="s">
        <v>20</v>
      </c>
      <c r="W50" s="20">
        <f t="shared" ref="W50:W56" si="7">MAX(X50,Y50)</f>
        <v>4</v>
      </c>
      <c r="X50" s="20">
        <f t="shared" ref="X50:X56" si="8">IFERROR(VLOOKUP($V50,$S$49:$T$57,2,0),0)</f>
        <v>4</v>
      </c>
      <c r="Y50" s="21">
        <f>IFERROR(VLOOKUP($V50,$S$57:$T$63,2,0),0)</f>
        <v>3</v>
      </c>
    </row>
    <row r="51" spans="2:25" x14ac:dyDescent="0.25">
      <c r="B51" s="19" t="s">
        <v>19</v>
      </c>
      <c r="C51" s="15" t="s">
        <v>72</v>
      </c>
      <c r="D51" s="15">
        <f>IFERROR(VLOOKUP($B51,$B$21:$AE$29,3,0),0)</f>
        <v>0</v>
      </c>
      <c r="E51" s="27">
        <f>IFERROR(VLOOKUP($B51,$B$35:$AE$43,3,0),0)</f>
        <v>0</v>
      </c>
      <c r="G51" s="19" t="str">
        <f t="shared" ref="G51:G73" si="9">H51&amp;I51</f>
        <v xml:space="preserve">        FS012</v>
      </c>
      <c r="H51" s="26" t="s">
        <v>19</v>
      </c>
      <c r="I51" s="20">
        <v>2</v>
      </c>
      <c r="J51" s="20" cm="1">
        <f t="array" ref="J51">LARGE(IF($B$50:$B$281=H51,$D$50:$D$281),$I51)</f>
        <v>42</v>
      </c>
      <c r="K51" s="27" t="str" cm="1">
        <f t="array" ref="K51">IF(J51=0, "DNR", INDEX($C$50:$C$281,MATCH(LARGE(IF($B$50:$B$281=$H51,$D$50:$D$281),$I51), IF($B$50:$B$281=$H51,$D$50:$D$281),0)))</f>
        <v>Unloader</v>
      </c>
      <c r="M51" s="19" t="str">
        <f t="shared" ref="M51:M73" si="10">N51&amp;O51</f>
        <v xml:space="preserve">        FS012</v>
      </c>
      <c r="N51" s="26" t="s">
        <v>19</v>
      </c>
      <c r="O51" s="20">
        <v>2</v>
      </c>
      <c r="P51" s="20" cm="1">
        <f t="array" ref="P51">LARGE(IF($B$50:$B$281=N51,$E$50:$E$281),$I51)</f>
        <v>191</v>
      </c>
      <c r="Q51" s="27" t="str" cm="1">
        <f t="array" ref="Q51">IF(P51=0, "DNR", INDEX($C$50:$C$281,MATCH(LARGE(IF($B$50:$B$281=$H51,$E$50:$E$281),$I51), IF($B$50:$B$281=$H51,$E$50:$E$281),0)))</f>
        <v>Labeler</v>
      </c>
      <c r="S51" s="144" t="s">
        <v>20</v>
      </c>
      <c r="T51" s="89">
        <v>4</v>
      </c>
      <c r="V51" s="19" t="s">
        <v>21</v>
      </c>
      <c r="W51" s="20">
        <f t="shared" si="7"/>
        <v>3</v>
      </c>
      <c r="X51" s="20">
        <f t="shared" si="8"/>
        <v>3</v>
      </c>
      <c r="Y51" s="21">
        <f t="shared" ref="Y51:Y56" si="11">IFERROR(VLOOKUP($V51,$S$58:$T$63,2,0),0)</f>
        <v>0</v>
      </c>
    </row>
    <row r="52" spans="2:25" x14ac:dyDescent="0.25">
      <c r="B52" s="19" t="s">
        <v>19</v>
      </c>
      <c r="C52" s="15" t="s">
        <v>73</v>
      </c>
      <c r="D52" s="15">
        <f>IFERROR(VLOOKUP($B52,$B$21:$AE$29,4,0),0)</f>
        <v>0</v>
      </c>
      <c r="E52" s="27">
        <f>IFERROR(VLOOKUP($B52,$B$35:$AE$43,4,0),0)</f>
        <v>45</v>
      </c>
      <c r="G52" s="19" t="str">
        <f t="shared" si="9"/>
        <v xml:space="preserve">        FS013</v>
      </c>
      <c r="H52" s="26" t="s">
        <v>19</v>
      </c>
      <c r="I52" s="20">
        <v>3</v>
      </c>
      <c r="J52" s="20" cm="1">
        <f t="array" ref="J52">LARGE(IF($B$50:$B$281=H52,$D$50:$D$281),$I52)</f>
        <v>36</v>
      </c>
      <c r="K52" s="27" t="str" cm="1">
        <f t="array" ref="K52">IF(J52=0, "DNR", INDEX($C$50:$C$281,MATCH(LARGE(IF($B$50:$B$281=$H52,$D$50:$D$281),$I52), IF($B$50:$B$281=$H52,$D$50:$D$281),0)))</f>
        <v>Manning/Supplies</v>
      </c>
      <c r="M52" s="19" t="str">
        <f t="shared" si="10"/>
        <v xml:space="preserve">        FS013</v>
      </c>
      <c r="N52" s="26" t="s">
        <v>19</v>
      </c>
      <c r="O52" s="20">
        <v>3</v>
      </c>
      <c r="P52" s="20" cm="1">
        <f t="array" ref="P52">LARGE(IF($B$50:$B$281=N52,$E$50:$E$281),$I52)</f>
        <v>151</v>
      </c>
      <c r="Q52" s="27" t="str" cm="1">
        <f t="array" ref="Q52">IF(P52=0, "DNR", INDEX($C$50:$C$281,MATCH(LARGE(IF($B$50:$B$281=$H52,$E$50:$E$281),$I52), IF($B$50:$B$281=$H52,$E$50:$E$281),0)))</f>
        <v>Case Packer</v>
      </c>
      <c r="S52" s="144" t="s">
        <v>22</v>
      </c>
      <c r="T52" s="89">
        <v>1</v>
      </c>
      <c r="V52" s="19" t="s">
        <v>22</v>
      </c>
      <c r="W52" s="20">
        <f t="shared" si="7"/>
        <v>1</v>
      </c>
      <c r="X52" s="20">
        <f t="shared" si="8"/>
        <v>1</v>
      </c>
      <c r="Y52" s="21">
        <f t="shared" si="11"/>
        <v>1</v>
      </c>
    </row>
    <row r="53" spans="2:25" x14ac:dyDescent="0.25">
      <c r="B53" s="19" t="s">
        <v>19</v>
      </c>
      <c r="C53" s="15" t="s">
        <v>136</v>
      </c>
      <c r="D53" s="15">
        <f>IFERROR(VLOOKUP($B53,$B$21:$AE$29,5,0),0)</f>
        <v>36</v>
      </c>
      <c r="E53" s="27">
        <f>IFERROR(VLOOKUP($B53,$B$35:$AE$43,5,0),0)</f>
        <v>76</v>
      </c>
      <c r="G53" s="19" t="str">
        <f t="shared" si="9"/>
        <v xml:space="preserve">        FS031</v>
      </c>
      <c r="H53" s="26" t="s">
        <v>20</v>
      </c>
      <c r="I53" s="20">
        <v>1</v>
      </c>
      <c r="J53" s="20" cm="1">
        <f t="array" ref="J53">LARGE(IF($B$50:$B$281=H53,$D$50:$D$281),$I53)</f>
        <v>206</v>
      </c>
      <c r="K53" s="27" t="str" cm="1">
        <f t="array" ref="K53">IF(J53=0, "DNR", INDEX($C$50:$C$281,MATCH(LARGE(IF($B$50:$B$281=$H53,$D$50:$D$281),$I53), IF($B$50:$B$281=$H53,$D$50:$D$281),0)))</f>
        <v>Filler</v>
      </c>
      <c r="M53" s="19" t="str">
        <f t="shared" si="10"/>
        <v xml:space="preserve">        FS031</v>
      </c>
      <c r="N53" s="26" t="s">
        <v>20</v>
      </c>
      <c r="O53" s="20">
        <v>1</v>
      </c>
      <c r="P53" s="20" cm="1">
        <f t="array" ref="P53">LARGE(IF($B$50:$B$281=N53,$E$50:$E$281),$I53)</f>
        <v>602</v>
      </c>
      <c r="Q53" s="27" t="str" cm="1">
        <f t="array" ref="Q53">IF(P53=0, "DNR", INDEX($C$50:$C$281,MATCH(LARGE(IF($B$50:$B$281=$H53,$E$50:$E$281),$I53), IF($B$50:$B$281=$H53,$E$50:$E$281),0)))</f>
        <v>Filler</v>
      </c>
      <c r="S53" s="144" t="s">
        <v>24</v>
      </c>
      <c r="T53" s="89">
        <v>3</v>
      </c>
      <c r="V53" s="19" t="s">
        <v>23</v>
      </c>
      <c r="W53" s="20">
        <f t="shared" si="7"/>
        <v>0</v>
      </c>
      <c r="X53" s="20">
        <f t="shared" si="8"/>
        <v>0</v>
      </c>
      <c r="Y53" s="21">
        <f t="shared" si="11"/>
        <v>0</v>
      </c>
    </row>
    <row r="54" spans="2:25" x14ac:dyDescent="0.25">
      <c r="B54" s="19" t="s">
        <v>19</v>
      </c>
      <c r="C54" s="15" t="s">
        <v>75</v>
      </c>
      <c r="D54" s="15">
        <f>IFERROR(VLOOKUP($B54,$B$21:$AE$29,6,0),0)</f>
        <v>0</v>
      </c>
      <c r="E54" s="27">
        <f>IFERROR(VLOOKUP($B54,$B$35:$AE$43,6,0),0)</f>
        <v>0</v>
      </c>
      <c r="G54" s="19" t="str">
        <f t="shared" si="9"/>
        <v xml:space="preserve">        FS032</v>
      </c>
      <c r="H54" s="26" t="s">
        <v>20</v>
      </c>
      <c r="I54" s="20">
        <v>2</v>
      </c>
      <c r="J54" s="20" cm="1">
        <f t="array" ref="J54">LARGE(IF($B$50:$B$281=H54,$D$50:$D$281),$I54)</f>
        <v>131</v>
      </c>
      <c r="K54" s="27" t="str" cm="1">
        <f t="array" ref="K54">IF(J54=0, "DNR", INDEX($C$50:$C$281,MATCH(LARGE(IF($B$50:$B$281=$H54,$D$50:$D$281),$I54), IF($B$50:$B$281=$H54,$D$50:$D$281),0)))</f>
        <v>Bulk Unloader</v>
      </c>
      <c r="M54" s="19" t="str">
        <f t="shared" si="10"/>
        <v xml:space="preserve">        FS032</v>
      </c>
      <c r="N54" s="26" t="s">
        <v>20</v>
      </c>
      <c r="O54" s="20">
        <v>2</v>
      </c>
      <c r="P54" s="20" cm="1">
        <f t="array" ref="P54">LARGE(IF($B$50:$B$281=N54,$E$50:$E$281),$I54)</f>
        <v>244</v>
      </c>
      <c r="Q54" s="27" t="str" cm="1">
        <f t="array" ref="Q54">IF(P54=0, "DNR", INDEX($C$50:$C$281,MATCH(LARGE(IF($B$50:$B$281=$H54,$E$50:$E$281),$I54), IF($B$50:$B$281=$H54,$E$50:$E$281),0)))</f>
        <v>APM</v>
      </c>
      <c r="S54" s="144" t="s">
        <v>25</v>
      </c>
      <c r="T54" s="89">
        <v>3</v>
      </c>
      <c r="V54" s="19" t="s">
        <v>24</v>
      </c>
      <c r="W54" s="20">
        <f t="shared" si="7"/>
        <v>3</v>
      </c>
      <c r="X54" s="20">
        <f t="shared" si="8"/>
        <v>3</v>
      </c>
      <c r="Y54" s="21">
        <f t="shared" si="11"/>
        <v>3</v>
      </c>
    </row>
    <row r="55" spans="2:25" x14ac:dyDescent="0.25">
      <c r="B55" s="19" t="s">
        <v>19</v>
      </c>
      <c r="C55" s="15" t="s">
        <v>137</v>
      </c>
      <c r="D55" s="15">
        <f>IFERROR(VLOOKUP($B55,$B$21:$AE$29,7,0),0)</f>
        <v>0</v>
      </c>
      <c r="E55" s="27">
        <f>IFERROR(VLOOKUP($B55,$B$35:$AE$43,7,0),0)</f>
        <v>10</v>
      </c>
      <c r="G55" s="19" t="str">
        <f t="shared" si="9"/>
        <v xml:space="preserve">        FS033</v>
      </c>
      <c r="H55" s="26" t="s">
        <v>20</v>
      </c>
      <c r="I55" s="20">
        <v>3</v>
      </c>
      <c r="J55" s="20" cm="1">
        <f t="array" ref="J55">LARGE(IF($B$50:$B$281=H55,$D$50:$D$281),$I55)</f>
        <v>127</v>
      </c>
      <c r="K55" s="27" t="str" cm="1">
        <f t="array" ref="K55">IF(J55=0, "DNR", INDEX($C$50:$C$281,MATCH(LARGE(IF($B$50:$B$281=$H55,$D$50:$D$281),$I55), IF($B$50:$B$281=$H55,$D$50:$D$281),0)))</f>
        <v>APM</v>
      </c>
      <c r="M55" s="19" t="str">
        <f t="shared" si="10"/>
        <v xml:space="preserve">        FS033</v>
      </c>
      <c r="N55" s="26" t="s">
        <v>20</v>
      </c>
      <c r="O55" s="20">
        <v>3</v>
      </c>
      <c r="P55" s="20" cm="1">
        <f t="array" ref="P55">LARGE(IF($B$50:$B$281=N55,$E$50:$E$281),$I55)</f>
        <v>210</v>
      </c>
      <c r="Q55" s="27" t="str" cm="1">
        <f t="array" ref="Q55">IF(P55=0, "DNR", INDEX($C$50:$C$281,MATCH(LARGE(IF($B$50:$B$281=$H55,$E$50:$E$281),$I55), IF($B$50:$B$281=$H55,$E$50:$E$281),0)))</f>
        <v>Capper</v>
      </c>
      <c r="S55" s="144" t="s">
        <v>21</v>
      </c>
      <c r="T55" s="127">
        <v>3</v>
      </c>
      <c r="V55" s="22" t="s">
        <v>25</v>
      </c>
      <c r="W55" s="20">
        <f>MAX(X55,Y55)</f>
        <v>3</v>
      </c>
      <c r="X55" s="20">
        <f t="shared" si="8"/>
        <v>3</v>
      </c>
      <c r="Y55" s="21">
        <f t="shared" si="11"/>
        <v>1</v>
      </c>
    </row>
    <row r="56" spans="2:25" x14ac:dyDescent="0.25">
      <c r="B56" s="19" t="s">
        <v>19</v>
      </c>
      <c r="C56" s="15" t="s">
        <v>77</v>
      </c>
      <c r="D56" s="15">
        <f>IFERROR(VLOOKUP($B56,$B$21:$AE$29,8,0),0)</f>
        <v>16</v>
      </c>
      <c r="E56" s="27">
        <f>IFERROR(VLOOKUP($B56,$B$35:$AE$43,8,0),0)</f>
        <v>56</v>
      </c>
      <c r="G56" s="19" t="str">
        <f t="shared" si="9"/>
        <v xml:space="preserve">        FS041</v>
      </c>
      <c r="H56" s="26" t="s">
        <v>21</v>
      </c>
      <c r="I56" s="20">
        <v>1</v>
      </c>
      <c r="J56" s="20" cm="1">
        <f t="array" ref="J56">LARGE(IF($B$50:$B$281=H56,$D$50:$D$281),$I56)</f>
        <v>237</v>
      </c>
      <c r="K56" s="27" t="str" cm="1">
        <f t="array" ref="K56">IF(J56=0, "DNR", INDEX($C$50:$C$281,MATCH(LARGE(IF($B$50:$B$281=$H56,$D$50:$D$281),$I56), IF($B$50:$B$281=$H56,$D$50:$D$281),0)))</f>
        <v>Capper</v>
      </c>
      <c r="M56" s="19" t="str">
        <f t="shared" si="10"/>
        <v xml:space="preserve">        FS041</v>
      </c>
      <c r="N56" s="26" t="s">
        <v>21</v>
      </c>
      <c r="O56" s="20">
        <v>1</v>
      </c>
      <c r="P56" s="20" cm="1">
        <f t="array" ref="P56">LARGE(IF($B$50:$B$281=N56,$E$50:$E$281),$I56)</f>
        <v>252</v>
      </c>
      <c r="Q56" s="27" t="str" cm="1">
        <f t="array" ref="Q56">IF(P56=0, "DNR", INDEX($C$50:$C$281,MATCH(LARGE(IF($B$50:$B$281=$H56,$E$50:$E$281),$I56), IF($B$50:$B$281=$H56,$E$50:$E$281),0)))</f>
        <v>Capper</v>
      </c>
      <c r="S56" s="145" t="s">
        <v>138</v>
      </c>
      <c r="T56" s="127">
        <v>1</v>
      </c>
      <c r="V56" s="22" t="s">
        <v>138</v>
      </c>
      <c r="W56" s="20">
        <f t="shared" si="7"/>
        <v>1</v>
      </c>
      <c r="X56" s="20">
        <f t="shared" si="8"/>
        <v>1</v>
      </c>
      <c r="Y56" s="21">
        <f t="shared" si="11"/>
        <v>0</v>
      </c>
    </row>
    <row r="57" spans="2:25" x14ac:dyDescent="0.25">
      <c r="B57" s="19" t="s">
        <v>19</v>
      </c>
      <c r="C57" s="15" t="s">
        <v>78</v>
      </c>
      <c r="D57" s="15">
        <f>IFERROR(VLOOKUP($B57,$B$21:$AE$29,9,0),0)</f>
        <v>0</v>
      </c>
      <c r="E57" s="27">
        <f>IFERROR(VLOOKUP($B57,$B$35:$AE$43,9,0),0)</f>
        <v>420</v>
      </c>
      <c r="G57" s="19" t="str">
        <f t="shared" si="9"/>
        <v xml:space="preserve">        FS042</v>
      </c>
      <c r="H57" s="26" t="s">
        <v>21</v>
      </c>
      <c r="I57" s="20">
        <v>2</v>
      </c>
      <c r="J57" s="20" cm="1">
        <f t="array" ref="J57">LARGE(IF($B$50:$B$281=H57,$D$50:$D$281),$I57)</f>
        <v>151</v>
      </c>
      <c r="K57" s="27" t="str" cm="1">
        <f t="array" ref="K57">IF(J57=0, "DNR", INDEX($C$50:$C$281,MATCH(LARGE(IF($B$50:$B$281=$H57,$D$50:$D$281),$I57), IF($B$50:$B$281=$H57,$D$50:$D$281),0)))</f>
        <v>Labeler</v>
      </c>
      <c r="M57" s="19" t="str">
        <f t="shared" si="10"/>
        <v xml:space="preserve">        FS042</v>
      </c>
      <c r="N57" s="26" t="s">
        <v>21</v>
      </c>
      <c r="O57" s="20">
        <v>2</v>
      </c>
      <c r="P57" s="20" cm="1">
        <f t="array" ref="P57">LARGE(IF($B$50:$B$281=N57,$E$50:$E$281),$I57)</f>
        <v>155</v>
      </c>
      <c r="Q57" s="27" t="str" cm="1">
        <f t="array" ref="Q57">IF(P57=0, "DNR", INDEX($C$50:$C$281,MATCH(LARGE(IF($B$50:$B$281=$H57,$E$50:$E$281),$I57), IF($B$50:$B$281=$H57,$E$50:$E$281),0)))</f>
        <v>Labeler</v>
      </c>
      <c r="S57" s="39" t="s">
        <v>16</v>
      </c>
      <c r="T57" s="89">
        <v>11</v>
      </c>
      <c r="V57" s="19" t="s">
        <v>103</v>
      </c>
      <c r="W57" s="20">
        <f t="shared" ref="W57" si="12">MAX(X57,Y57)</f>
        <v>4</v>
      </c>
      <c r="X57" s="20">
        <f>MAX(X49:X56)</f>
        <v>4</v>
      </c>
      <c r="Y57" s="20">
        <f>MAX(Y49:Y56)</f>
        <v>3</v>
      </c>
    </row>
    <row r="58" spans="2:25" x14ac:dyDescent="0.25">
      <c r="B58" s="19" t="s">
        <v>19</v>
      </c>
      <c r="C58" s="15" t="s">
        <v>79</v>
      </c>
      <c r="D58" s="15">
        <f>IFERROR(VLOOKUP($B58,$B$21:$AE$29,10,0),0)</f>
        <v>0</v>
      </c>
      <c r="E58" s="27">
        <f>IFERROR(VLOOKUP($B58,$B$35:$AE$43,10,0),0)</f>
        <v>111</v>
      </c>
      <c r="G58" s="19" t="str">
        <f t="shared" si="9"/>
        <v xml:space="preserve">        FS043</v>
      </c>
      <c r="H58" s="26" t="s">
        <v>21</v>
      </c>
      <c r="I58" s="20">
        <v>3</v>
      </c>
      <c r="J58" s="20" cm="1">
        <f t="array" ref="J58">LARGE(IF($B$50:$B$281=H58,$D$50:$D$281),$I58)</f>
        <v>74</v>
      </c>
      <c r="K58" s="27" t="str" cm="1">
        <f t="array" ref="K58">IF(J58=0, "DNR", INDEX($C$50:$C$281,MATCH(LARGE(IF($B$50:$B$281=$H58,$D$50:$D$281),$I58), IF($B$50:$B$281=$H58,$D$50:$D$281),0)))</f>
        <v>Proof Cks/Lab</v>
      </c>
      <c r="M58" s="19" t="str">
        <f t="shared" si="10"/>
        <v xml:space="preserve">        FS043</v>
      </c>
      <c r="N58" s="26" t="s">
        <v>21</v>
      </c>
      <c r="O58" s="20">
        <v>3</v>
      </c>
      <c r="P58" s="20" cm="1">
        <f t="array" ref="P58">LARGE(IF($B$50:$B$281=N58,$E$50:$E$281),$I58)</f>
        <v>104</v>
      </c>
      <c r="Q58" s="27" t="str" cm="1">
        <f t="array" ref="Q58">IF(P58=0, "DNR", INDEX($C$50:$C$281,MATCH(LARGE(IF($B$50:$B$281=$H58,$E$50:$E$281),$I58), IF($B$50:$B$281=$H58,$E$50:$E$281),0)))</f>
        <v>Wash</v>
      </c>
      <c r="S58" s="143" t="s">
        <v>19</v>
      </c>
      <c r="T58" s="89">
        <v>3</v>
      </c>
    </row>
    <row r="59" spans="2:25" x14ac:dyDescent="0.25">
      <c r="B59" s="19" t="s">
        <v>19</v>
      </c>
      <c r="C59" s="15" t="s">
        <v>80</v>
      </c>
      <c r="D59" s="15">
        <f>IFERROR(VLOOKUP($B59,$B$21:$AE$29,11,0),0)</f>
        <v>0</v>
      </c>
      <c r="E59" s="27">
        <f>IFERROR(VLOOKUP($B59,$B$35:$AE$43,11,0),0)</f>
        <v>12</v>
      </c>
      <c r="G59" s="19" t="str">
        <f t="shared" si="9"/>
        <v xml:space="preserve">        FS051</v>
      </c>
      <c r="H59" s="26" t="s">
        <v>22</v>
      </c>
      <c r="I59" s="20">
        <v>1</v>
      </c>
      <c r="J59" s="20" cm="1">
        <f t="array" ref="J59">LARGE(IF($B$50:$B$281=H59,$D$50:$D$281),$I59)</f>
        <v>0</v>
      </c>
      <c r="K59" s="27" t="str" cm="1">
        <f t="array" ref="K59">IF(J59=0, "DNR", INDEX($C$50:$C$281,MATCH(LARGE(IF($B$50:$B$281=$H59,$D$50:$D$281),$I59), IF($B$50:$B$281=$H59,$D$50:$D$281),0)))</f>
        <v>DNR</v>
      </c>
      <c r="M59" s="19" t="str">
        <f t="shared" si="10"/>
        <v xml:space="preserve">        FS051</v>
      </c>
      <c r="N59" s="26" t="s">
        <v>22</v>
      </c>
      <c r="O59" s="20">
        <v>1</v>
      </c>
      <c r="P59" s="20" cm="1">
        <f t="array" ref="P59">LARGE(IF($B$50:$B$281=N59,$E$50:$E$281),$I59)</f>
        <v>175</v>
      </c>
      <c r="Q59" s="27" t="str" cm="1">
        <f t="array" ref="Q59">IF(P59=0, "DNR", INDEX($C$50:$C$281,MATCH(LARGE(IF($B$50:$B$281=$H59,$E$50:$E$281),$I59), IF($B$50:$B$281=$H59,$E$50:$E$281),0)))</f>
        <v>Unloader</v>
      </c>
      <c r="S59" s="144" t="s">
        <v>20</v>
      </c>
      <c r="T59" s="89">
        <v>3</v>
      </c>
    </row>
    <row r="60" spans="2:25" x14ac:dyDescent="0.25">
      <c r="B60" s="19" t="s">
        <v>19</v>
      </c>
      <c r="C60" s="15" t="s">
        <v>81</v>
      </c>
      <c r="D60" s="15">
        <f>IFERROR(VLOOKUP($B60,$B$21:$AE$29,12,0),0)</f>
        <v>42</v>
      </c>
      <c r="E60" s="27">
        <f>IFERROR(VLOOKUP($B60,$B$35:$AE$43,12,0),0)</f>
        <v>91</v>
      </c>
      <c r="G60" s="19" t="str">
        <f t="shared" si="9"/>
        <v xml:space="preserve">        FS052</v>
      </c>
      <c r="H60" s="26" t="s">
        <v>22</v>
      </c>
      <c r="I60" s="20">
        <v>2</v>
      </c>
      <c r="J60" s="20" cm="1">
        <f t="array" ref="J60">LARGE(IF($B$50:$B$281=H60,$D$50:$D$281),$I60)</f>
        <v>0</v>
      </c>
      <c r="K60" s="27" t="str" cm="1">
        <f t="array" ref="K60">IF(J60=0, "DNR", INDEX($C$50:$C$281,MATCH(LARGE(IF($B$50:$B$281=$H60,$D$50:$D$281),$I60), IF($B$50:$B$281=$H60,$D$50:$D$281),0)))</f>
        <v>DNR</v>
      </c>
      <c r="M60" s="19" t="str">
        <f t="shared" si="10"/>
        <v xml:space="preserve">        FS052</v>
      </c>
      <c r="N60" s="26" t="s">
        <v>22</v>
      </c>
      <c r="O60" s="20">
        <v>2</v>
      </c>
      <c r="P60" s="20" cm="1">
        <f t="array" ref="P60">LARGE(IF($B$50:$B$281=N60,$E$50:$E$281),$I60)</f>
        <v>68</v>
      </c>
      <c r="Q60" s="27" t="str" cm="1">
        <f t="array" ref="Q60">IF(P60=0, "DNR", INDEX($C$50:$C$281,MATCH(LARGE(IF($B$50:$B$281=$H60,$E$50:$E$281),$I60), IF($B$50:$B$281=$H60,$E$50:$E$281),0)))</f>
        <v>Capper</v>
      </c>
      <c r="S60" s="144" t="s">
        <v>22</v>
      </c>
      <c r="T60" s="89">
        <v>1</v>
      </c>
    </row>
    <row r="61" spans="2:25" x14ac:dyDescent="0.25">
      <c r="B61" s="19" t="s">
        <v>19</v>
      </c>
      <c r="C61" s="15" t="s">
        <v>82</v>
      </c>
      <c r="D61" s="15">
        <f>IFERROR(VLOOKUP($B61,$B$21:$AE$29,13,0),0)</f>
        <v>0</v>
      </c>
      <c r="E61" s="27">
        <f>IFERROR(VLOOKUP($B61,$B$35:$AE$43,13,0),0)</f>
        <v>0</v>
      </c>
      <c r="G61" s="19" t="str">
        <f t="shared" si="9"/>
        <v xml:space="preserve">        FS053</v>
      </c>
      <c r="H61" s="26" t="s">
        <v>22</v>
      </c>
      <c r="I61" s="20">
        <v>3</v>
      </c>
      <c r="J61" s="20" cm="1">
        <f t="array" ref="J61">LARGE(IF($B$50:$B$281=H61,$D$50:$D$281),$I61)</f>
        <v>0</v>
      </c>
      <c r="K61" s="27" t="str" cm="1">
        <f t="array" ref="K61">IF(J61=0, "DNR", INDEX($C$50:$C$281,MATCH(LARGE(IF($B$50:$B$281=$H61,$D$50:$D$281),$I61), IF($B$50:$B$281=$H61,$D$50:$D$281),0)))</f>
        <v>DNR</v>
      </c>
      <c r="M61" s="19" t="str">
        <f t="shared" si="10"/>
        <v xml:space="preserve">        FS053</v>
      </c>
      <c r="N61" s="26" t="s">
        <v>22</v>
      </c>
      <c r="O61" s="20">
        <v>3</v>
      </c>
      <c r="P61" s="20" cm="1">
        <f t="array" ref="P61">LARGE(IF($B$50:$B$281=N61,$E$50:$E$281),$I61)</f>
        <v>67</v>
      </c>
      <c r="Q61" s="27" t="str" cm="1">
        <f t="array" ref="Q61">IF(P61=0, "DNR", INDEX($C$50:$C$281,MATCH(LARGE(IF($B$50:$B$281=$H61,$E$50:$E$281),$I61), IF($B$50:$B$281=$H61,$E$50:$E$281),0)))</f>
        <v>Labeler</v>
      </c>
      <c r="S61" s="145" t="s">
        <v>24</v>
      </c>
      <c r="T61" s="89">
        <v>3</v>
      </c>
    </row>
    <row r="62" spans="2:25" x14ac:dyDescent="0.25">
      <c r="B62" s="19" t="s">
        <v>19</v>
      </c>
      <c r="C62" s="15" t="s">
        <v>83</v>
      </c>
      <c r="D62" s="15">
        <f>IFERROR(VLOOKUP($B62,$B$21:$AE$29,14,0),0)</f>
        <v>15</v>
      </c>
      <c r="E62" s="27">
        <f>IFERROR(VLOOKUP($B62,$B$35:$AE$43,14,0),0)</f>
        <v>20</v>
      </c>
      <c r="G62" s="19" t="str">
        <f t="shared" si="9"/>
        <v xml:space="preserve">        FS091</v>
      </c>
      <c r="H62" s="26" t="s">
        <v>23</v>
      </c>
      <c r="I62" s="20">
        <v>1</v>
      </c>
      <c r="J62" s="20" cm="1">
        <f t="array" ref="J62">LARGE(IF($B$50:$B$281=H62,$D$50:$D$281),$I62)</f>
        <v>0</v>
      </c>
      <c r="K62" s="27" t="str" cm="1">
        <f t="array" ref="K62">IF(J62=0, "DNR", INDEX($C$50:$C$281,MATCH(LARGE(IF($B$50:$B$281=$H62,$D$50:$D$281),$I62), IF($B$50:$B$281=$H62,$D$50:$D$281),0)))</f>
        <v>DNR</v>
      </c>
      <c r="M62" s="19" t="str">
        <f t="shared" si="10"/>
        <v xml:space="preserve">        FS091</v>
      </c>
      <c r="N62" s="26" t="s">
        <v>23</v>
      </c>
      <c r="O62" s="20">
        <v>1</v>
      </c>
      <c r="P62" s="20" cm="1">
        <f t="array" ref="P62">LARGE(IF($B$50:$B$281=N62,$E$50:$E$281),$I62)</f>
        <v>0</v>
      </c>
      <c r="Q62" s="27" t="str" cm="1">
        <f t="array" ref="Q62">IF(P62=0, "DNR", INDEX($C$50:$C$281,MATCH(LARGE(IF($B$50:$B$281=$H62,$E$50:$E$281),$I62), IF($B$50:$B$281=$H62,$E$50:$E$281),0)))</f>
        <v>DNR</v>
      </c>
      <c r="S62" s="126" t="s">
        <v>25</v>
      </c>
      <c r="T62" s="127">
        <v>1</v>
      </c>
    </row>
    <row r="63" spans="2:25" x14ac:dyDescent="0.25">
      <c r="B63" s="19" t="s">
        <v>19</v>
      </c>
      <c r="C63" s="15" t="s">
        <v>84</v>
      </c>
      <c r="D63" s="15">
        <f>IFERROR(VLOOKUP($B63,$B$21:$AE$29,15,0),0)</f>
        <v>4</v>
      </c>
      <c r="E63" s="27">
        <f>IFERROR(VLOOKUP($B63,$B$35:$AE$43,15,0),0)</f>
        <v>76</v>
      </c>
      <c r="G63" s="19" t="str">
        <f t="shared" si="9"/>
        <v xml:space="preserve">        FS092</v>
      </c>
      <c r="H63" s="26" t="s">
        <v>23</v>
      </c>
      <c r="I63" s="20">
        <v>2</v>
      </c>
      <c r="J63" s="20" cm="1">
        <f t="array" ref="J63">LARGE(IF($B$50:$B$281=H63,$D$50:$D$281),$I63)</f>
        <v>0</v>
      </c>
      <c r="K63" s="27" t="str" cm="1">
        <f t="array" ref="K63">IF(J63=0, "DNR", INDEX($C$50:$C$281,MATCH(LARGE(IF($B$50:$B$281=$H63,$D$50:$D$281),$I63), IF($B$50:$B$281=$H63,$D$50:$D$281),0)))</f>
        <v>DNR</v>
      </c>
      <c r="M63" s="19" t="str">
        <f t="shared" si="10"/>
        <v xml:space="preserve">        FS092</v>
      </c>
      <c r="N63" s="26" t="s">
        <v>23</v>
      </c>
      <c r="O63" s="20">
        <v>2</v>
      </c>
      <c r="P63" s="20" cm="1">
        <f t="array" ref="P63">LARGE(IF($B$50:$B$281=N63,$E$50:$E$281),$I63)</f>
        <v>0</v>
      </c>
      <c r="Q63" s="27" t="str" cm="1">
        <f t="array" ref="Q63">IF(P63=0, "DNR", INDEX($C$50:$C$281,MATCH(LARGE(IF($B$50:$B$281=$H63,$E$50:$E$281),$I63), IF($B$50:$B$281=$H63,$E$50:$E$281),0)))</f>
        <v>DNR</v>
      </c>
      <c r="S63" s="39" t="s">
        <v>185</v>
      </c>
      <c r="T63" s="127"/>
    </row>
    <row r="64" spans="2:25" x14ac:dyDescent="0.25">
      <c r="B64" s="19" t="s">
        <v>19</v>
      </c>
      <c r="C64" s="15" t="s">
        <v>85</v>
      </c>
      <c r="D64" s="15">
        <f>IFERROR(VLOOKUP($B64,$B$21:$AE$29,16,0),0)</f>
        <v>0</v>
      </c>
      <c r="E64" s="27">
        <f>IFERROR(VLOOKUP($B64,$B$35:$AE$43,16,0),0)</f>
        <v>52</v>
      </c>
      <c r="G64" s="19" t="str">
        <f t="shared" si="9"/>
        <v xml:space="preserve">        FS093</v>
      </c>
      <c r="H64" s="26" t="s">
        <v>23</v>
      </c>
      <c r="I64" s="20">
        <v>3</v>
      </c>
      <c r="J64" s="20" cm="1">
        <f t="array" ref="J64">LARGE(IF($B$50:$B$281=H64,$D$50:$D$281),$I64)</f>
        <v>0</v>
      </c>
      <c r="K64" s="27" t="str" cm="1">
        <f t="array" ref="K64">IF(J64=0, "DNR", INDEX($C$50:$C$281,MATCH(LARGE(IF($B$50:$B$281=$H64,$D$50:$D$281),$I64), IF($B$50:$B$281=$H64,$D$50:$D$281),0)))</f>
        <v>DNR</v>
      </c>
      <c r="M64" s="19" t="str">
        <f t="shared" si="10"/>
        <v xml:space="preserve">        FS093</v>
      </c>
      <c r="N64" s="26" t="s">
        <v>23</v>
      </c>
      <c r="O64" s="20">
        <v>3</v>
      </c>
      <c r="P64" s="20" cm="1">
        <f t="array" ref="P64">LARGE(IF($B$50:$B$281=N64,$E$50:$E$281),$I64)</f>
        <v>0</v>
      </c>
      <c r="Q64" s="27" t="str" cm="1">
        <f t="array" ref="Q64">IF(P64=0, "DNR", INDEX($C$50:$C$281,MATCH(LARGE(IF($B$50:$B$281=$H64,$E$50:$E$281),$I64), IF($B$50:$B$281=$H64,$E$50:$E$281),0)))</f>
        <v>DNR</v>
      </c>
      <c r="S64" s="126" t="s">
        <v>185</v>
      </c>
      <c r="T64" s="127"/>
    </row>
    <row r="65" spans="2:20" x14ac:dyDescent="0.25">
      <c r="B65" s="19" t="s">
        <v>19</v>
      </c>
      <c r="C65" s="15" t="s">
        <v>86</v>
      </c>
      <c r="D65" s="15">
        <f>IFERROR(VLOOKUP($B65,$B$21:$AE$29,17,0),0)</f>
        <v>0</v>
      </c>
      <c r="E65" s="27">
        <f>IFERROR(VLOOKUP($B65,$B$35:$AE$43,17,0),0)</f>
        <v>18</v>
      </c>
      <c r="G65" s="19" t="str">
        <f t="shared" si="9"/>
        <v xml:space="preserve">        FS101</v>
      </c>
      <c r="H65" s="26" t="s">
        <v>24</v>
      </c>
      <c r="I65" s="20">
        <v>1</v>
      </c>
      <c r="J65" s="20" cm="1">
        <f t="array" ref="J65">LARGE(IF($B$50:$B$281=H65,$D$50:$D$281),$I65)</f>
        <v>105</v>
      </c>
      <c r="K65" s="27" t="str" cm="1">
        <f t="array" ref="K65">IF(J65=0, "DNR", INDEX($C$50:$C$281,MATCH(LARGE(IF($B$50:$B$281=$H65,$D$50:$D$281),$I65), IF($B$50:$B$281=$H65,$D$50:$D$281),0)))</f>
        <v>Cleaner</v>
      </c>
      <c r="M65" s="19" t="str">
        <f t="shared" si="10"/>
        <v xml:space="preserve">        FS101</v>
      </c>
      <c r="N65" s="26" t="s">
        <v>24</v>
      </c>
      <c r="O65" s="20">
        <v>1</v>
      </c>
      <c r="P65" s="20" cm="1">
        <f t="array" ref="P65">LARGE(IF($B$50:$B$281=N65,$E$50:$E$281),$I65)</f>
        <v>326</v>
      </c>
      <c r="Q65" s="27" t="str" cm="1">
        <f t="array" ref="Q65">IF(P65=0, "DNR", INDEX($C$50:$C$281,MATCH(LARGE(IF($B$50:$B$281=$H65,$E$50:$E$281),$I65), IF($B$50:$B$281=$H65,$E$50:$E$281),0)))</f>
        <v>Labeler</v>
      </c>
      <c r="S65" s="39" t="s">
        <v>103</v>
      </c>
      <c r="T65" s="40">
        <v>29</v>
      </c>
    </row>
    <row r="66" spans="2:20" x14ac:dyDescent="0.25">
      <c r="B66" s="19" t="s">
        <v>19</v>
      </c>
      <c r="C66" s="15" t="s">
        <v>87</v>
      </c>
      <c r="D66" s="15">
        <f>IFERROR(VLOOKUP($B66,$B$21:$AE$29,18,0),0)</f>
        <v>0</v>
      </c>
      <c r="E66" s="27">
        <f>IFERROR(VLOOKUP($B66,$B$35:$AE$43,18,0),0)</f>
        <v>0</v>
      </c>
      <c r="G66" s="19" t="str">
        <f t="shared" si="9"/>
        <v xml:space="preserve">        FS102</v>
      </c>
      <c r="H66" s="26" t="s">
        <v>24</v>
      </c>
      <c r="I66" s="20">
        <v>2</v>
      </c>
      <c r="J66" s="20" cm="1">
        <f t="array" ref="J66">LARGE(IF($B$50:$B$281=H66,$D$50:$D$281),$I66)</f>
        <v>75</v>
      </c>
      <c r="K66" s="27" t="str" cm="1">
        <f t="array" ref="K66">IF(J66=0, "DNR", INDEX($C$50:$C$281,MATCH(LARGE(IF($B$50:$B$281=$H66,$D$50:$D$281),$I66), IF($B$50:$B$281=$H66,$D$50:$D$281),0)))</f>
        <v>Labeler</v>
      </c>
      <c r="M66" s="19" t="str">
        <f t="shared" si="10"/>
        <v xml:space="preserve">        FS102</v>
      </c>
      <c r="N66" s="26" t="s">
        <v>24</v>
      </c>
      <c r="O66" s="20">
        <v>2</v>
      </c>
      <c r="P66" s="20" cm="1">
        <f t="array" ref="P66">LARGE(IF($B$50:$B$281=N66,$E$50:$E$281),$I66)</f>
        <v>143</v>
      </c>
      <c r="Q66" s="27" t="str" cm="1">
        <f t="array" ref="Q66">IF(P66=0, "DNR", INDEX($C$50:$C$281,MATCH(LARGE(IF($B$50:$B$281=$H66,$E$50:$E$281),$I66), IF($B$50:$B$281=$H66,$E$50:$E$281),0)))</f>
        <v>Cleaner</v>
      </c>
    </row>
    <row r="67" spans="2:20" x14ac:dyDescent="0.25">
      <c r="B67" s="19" t="s">
        <v>19</v>
      </c>
      <c r="C67" s="15" t="s">
        <v>88</v>
      </c>
      <c r="D67" s="15">
        <f>IFERROR(VLOOKUP($B67,$B$21:$AE$29,19,0),0)</f>
        <v>3</v>
      </c>
      <c r="E67" s="27">
        <f>IFERROR(VLOOKUP($B67,$B$35:$AE$43,19,0),0)</f>
        <v>3</v>
      </c>
      <c r="G67" s="19" t="str">
        <f t="shared" si="9"/>
        <v xml:space="preserve">        FS103</v>
      </c>
      <c r="H67" s="26" t="s">
        <v>24</v>
      </c>
      <c r="I67" s="20">
        <v>3</v>
      </c>
      <c r="J67" s="20" cm="1">
        <f t="array" ref="J67">LARGE(IF($B$50:$B$281=H67,$D$50:$D$281),$I67)</f>
        <v>46</v>
      </c>
      <c r="K67" s="27" t="str" cm="1">
        <f t="array" ref="K67">IF(J67=0, "DNR", INDEX($C$50:$C$281,MATCH(LARGE(IF($B$50:$B$281=$H67,$D$50:$D$281),$I67), IF($B$50:$B$281=$H67,$D$50:$D$281),0)))</f>
        <v>Wash</v>
      </c>
      <c r="M67" s="19" t="str">
        <f t="shared" si="10"/>
        <v xml:space="preserve">        FS103</v>
      </c>
      <c r="N67" s="26" t="s">
        <v>24</v>
      </c>
      <c r="O67" s="20">
        <v>3</v>
      </c>
      <c r="P67" s="20" cm="1">
        <f t="array" ref="P67">LARGE(IF($B$50:$B$281=N67,$E$50:$E$281),$I67)</f>
        <v>103</v>
      </c>
      <c r="Q67" s="27" t="str" cm="1">
        <f t="array" ref="Q67">IF(P67=0, "DNR", INDEX($C$50:$C$281,MATCH(LARGE(IF($B$50:$B$281=$H67,$E$50:$E$281),$I67), IF($B$50:$B$281=$H67,$E$50:$E$281),0)))</f>
        <v>Partitioner</v>
      </c>
    </row>
    <row r="68" spans="2:20" x14ac:dyDescent="0.25">
      <c r="B68" s="19" t="s">
        <v>19</v>
      </c>
      <c r="C68" s="15" t="s">
        <v>89</v>
      </c>
      <c r="D68" s="15">
        <f>IFERROR(VLOOKUP($B68,$B$21:$AE$29,20,0),0)</f>
        <v>34</v>
      </c>
      <c r="E68" s="27">
        <f>IFERROR(VLOOKUP($B68,$B$35:$AE$43,20,0),0)</f>
        <v>191</v>
      </c>
      <c r="G68" s="19" t="str">
        <f t="shared" si="9"/>
        <v xml:space="preserve">        FS121</v>
      </c>
      <c r="H68" s="26" t="s">
        <v>25</v>
      </c>
      <c r="I68" s="20">
        <v>1</v>
      </c>
      <c r="J68" s="20" cm="1">
        <f t="array" ref="J68">LARGE(IF($B$50:$B$281=H68,$D$50:$D$281),$I68)</f>
        <v>11</v>
      </c>
      <c r="K68" s="27" t="str" cm="1">
        <f t="array" ref="K68">IF(J68=0, "DNR", INDEX($C$50:$C$281,MATCH(LARGE(IF($B$50:$B$281=$H68,$D$50:$D$281),$I68), IF($B$50:$B$281=$H68,$D$50:$D$281),0)))</f>
        <v>Labeler</v>
      </c>
      <c r="M68" s="19" t="str">
        <f t="shared" si="10"/>
        <v xml:space="preserve">        FS121</v>
      </c>
      <c r="N68" s="26" t="s">
        <v>25</v>
      </c>
      <c r="O68" s="20">
        <v>1</v>
      </c>
      <c r="P68" s="20" cm="1">
        <f t="array" ref="P68">LARGE(IF($B$50:$B$281=N68,$E$50:$E$281),$I68)</f>
        <v>325</v>
      </c>
      <c r="Q68" s="27" t="str" cm="1">
        <f t="array" ref="Q68">IF(P68=0, "DNR", INDEX($C$50:$C$281,MATCH(LARGE(IF($B$50:$B$281=$H68,$E$50:$E$281),$I68), IF($B$50:$B$281=$H68,$E$50:$E$281),0)))</f>
        <v>Manning/Supplies</v>
      </c>
    </row>
    <row r="69" spans="2:20" x14ac:dyDescent="0.25">
      <c r="B69" s="19" t="s">
        <v>19</v>
      </c>
      <c r="C69" s="15" t="s">
        <v>90</v>
      </c>
      <c r="D69" s="15">
        <f>IFERROR(VLOOKUP($B69,$B$21:$AE$29,21,0),0)</f>
        <v>16</v>
      </c>
      <c r="E69" s="27">
        <f>IFERROR(VLOOKUP($B69,$B$35:$AE$43,21,0),0)</f>
        <v>86</v>
      </c>
      <c r="G69" s="19" t="str">
        <f t="shared" si="9"/>
        <v xml:space="preserve">        FS122</v>
      </c>
      <c r="H69" s="26" t="s">
        <v>25</v>
      </c>
      <c r="I69" s="20">
        <v>2</v>
      </c>
      <c r="J69" s="20" cm="1">
        <f t="array" ref="J69">LARGE(IF($B$50:$B$281=H69,$D$50:$D$281),$I69)</f>
        <v>11</v>
      </c>
      <c r="K69" s="27" t="str" cm="1">
        <f t="array" ref="K69">IF(J69=0, "DNR", INDEX($C$50:$C$281,MATCH(LARGE(IF($B$50:$B$281=$H69,$D$50:$D$281),$I69), IF($B$50:$B$281=$H69,$D$50:$D$281),0)))</f>
        <v>Labeler</v>
      </c>
      <c r="M69" s="19" t="str">
        <f t="shared" si="10"/>
        <v xml:space="preserve">        FS122</v>
      </c>
      <c r="N69" s="26" t="s">
        <v>25</v>
      </c>
      <c r="O69" s="20">
        <v>2</v>
      </c>
      <c r="P69" s="20" cm="1">
        <f t="array" ref="P69">LARGE(IF($B$50:$B$281=N69,$E$50:$E$281),$I69)</f>
        <v>158</v>
      </c>
      <c r="Q69" s="27" t="str" cm="1">
        <f t="array" ref="Q69">IF(P69=0, "DNR", INDEX($C$50:$C$281,MATCH(LARGE(IF($B$50:$B$281=$H69,$E$50:$E$281),$I69), IF($B$50:$B$281=$H69,$E$50:$E$281),0)))</f>
        <v>QA External</v>
      </c>
    </row>
    <row r="70" spans="2:20" x14ac:dyDescent="0.25">
      <c r="B70" s="19" t="s">
        <v>19</v>
      </c>
      <c r="C70" s="15" t="s">
        <v>91</v>
      </c>
      <c r="D70" s="15">
        <f>IFERROR(VLOOKUP($B70,$B$21:$AE$29,22,0),0)</f>
        <v>119</v>
      </c>
      <c r="E70" s="27">
        <f>IFERROR(VLOOKUP($B70,$B$35:$AE$43,22,0),0)</f>
        <v>151</v>
      </c>
      <c r="G70" s="19" t="str">
        <f t="shared" si="9"/>
        <v xml:space="preserve">        FS123</v>
      </c>
      <c r="H70" s="26" t="s">
        <v>25</v>
      </c>
      <c r="I70" s="20">
        <v>3</v>
      </c>
      <c r="J70" s="20" cm="1">
        <f t="array" ref="J70">LARGE(IF($B$50:$B$281=H70,$D$50:$D$281),$I70)</f>
        <v>4</v>
      </c>
      <c r="K70" s="27" t="str" cm="1">
        <f t="array" ref="K70">IF(J70=0, "DNR", INDEX($C$50:$C$281,MATCH(LARGE(IF($B$50:$B$281=$H70,$D$50:$D$281),$I70), IF($B$50:$B$281=$H70,$D$50:$D$281),0)))</f>
        <v>Capper</v>
      </c>
      <c r="M70" s="19" t="str">
        <f t="shared" si="10"/>
        <v xml:space="preserve">        FS123</v>
      </c>
      <c r="N70" s="26" t="s">
        <v>25</v>
      </c>
      <c r="O70" s="20">
        <v>3</v>
      </c>
      <c r="P70" s="20" cm="1">
        <f t="array" ref="P70">LARGE(IF($B$50:$B$281=N70,$E$50:$E$281),$I70)</f>
        <v>154</v>
      </c>
      <c r="Q70" s="27" t="str" cm="1">
        <f t="array" ref="Q70">IF(P70=0, "DNR", INDEX($C$50:$C$281,MATCH(LARGE(IF($B$50:$B$281=$H70,$E$50:$E$281),$I70), IF($B$50:$B$281=$H70,$E$50:$E$281),0)))</f>
        <v>Case Packer</v>
      </c>
    </row>
    <row r="71" spans="2:20" x14ac:dyDescent="0.25">
      <c r="B71" s="19" t="s">
        <v>19</v>
      </c>
      <c r="C71" s="15" t="s">
        <v>92</v>
      </c>
      <c r="D71" s="15">
        <f>IFERROR(VLOOKUP($B71,$B$21:$AE$29,23,0),0)</f>
        <v>0</v>
      </c>
      <c r="E71" s="27">
        <f>IFERROR(VLOOKUP($B71,$B$35:$AE$43,23,0),0)</f>
        <v>0</v>
      </c>
      <c r="G71" s="19" t="str">
        <f t="shared" si="9"/>
        <v xml:space="preserve">        FS141</v>
      </c>
      <c r="H71" s="26" t="s">
        <v>138</v>
      </c>
      <c r="I71" s="20">
        <v>1</v>
      </c>
      <c r="J71" s="20" cm="1">
        <f t="array" ref="J71">LARGE(IF($B$50:$B$281=H71,$D$50:$D$281),$I71)</f>
        <v>165</v>
      </c>
      <c r="K71" s="27" t="str" cm="1">
        <f t="array" ref="K71">IF(J71=0, "DNR", INDEX($C$50:$C$281,MATCH(LARGE(IF($B$50:$B$281=$H71,$D$50:$D$281),$I71), IF($B$50:$B$281=$H71,$D$50:$D$281),0)))</f>
        <v>Proof Cks/Lab</v>
      </c>
      <c r="M71" s="19" t="str">
        <f t="shared" si="10"/>
        <v xml:space="preserve">        FS141</v>
      </c>
      <c r="N71" s="26" t="s">
        <v>138</v>
      </c>
      <c r="O71" s="20">
        <v>1</v>
      </c>
      <c r="P71" s="20" cm="1">
        <f t="array" ref="P71">LARGE(IF($B$50:$B$281=N71,$E$50:$E$281),$I71)</f>
        <v>165</v>
      </c>
      <c r="Q71" s="27" t="str" cm="1">
        <f t="array" ref="Q71">IF(P71=0, "DNR", INDEX($C$50:$C$281,MATCH(LARGE(IF($B$50:$B$281=$H71,$E$50:$E$281),$I71), IF($B$50:$B$281=$H71,$E$50:$E$281),0)))</f>
        <v>Proof Cks/Lab</v>
      </c>
    </row>
    <row r="72" spans="2:20" x14ac:dyDescent="0.25">
      <c r="B72" s="19" t="s">
        <v>19</v>
      </c>
      <c r="C72" s="15" t="s">
        <v>93</v>
      </c>
      <c r="D72" s="15">
        <f>IFERROR(VLOOKUP($B72,$B$21:$AE$29,24,0),0)</f>
        <v>0</v>
      </c>
      <c r="E72" s="27">
        <f>IFERROR(VLOOKUP($B72,$B$35:$AE$43,24,0),0)</f>
        <v>0</v>
      </c>
      <c r="G72" s="19" t="str">
        <f t="shared" si="9"/>
        <v xml:space="preserve">        FS142</v>
      </c>
      <c r="H72" s="26" t="s">
        <v>138</v>
      </c>
      <c r="I72" s="20">
        <v>2</v>
      </c>
      <c r="J72" s="20" cm="1">
        <f t="array" ref="J72">LARGE(IF($B$50:$B$281=H72,$D$50:$D$281),$I72)</f>
        <v>135</v>
      </c>
      <c r="K72" s="27" t="str" cm="1">
        <f t="array" ref="K72">IF(J72=0, "DNR", INDEX($C$50:$C$281,MATCH(LARGE(IF($B$50:$B$281=$H72,$D$50:$D$281),$I72), IF($B$50:$B$281=$H72,$D$50:$D$281),0)))</f>
        <v>Other</v>
      </c>
      <c r="M72" s="19" t="str">
        <f t="shared" si="10"/>
        <v xml:space="preserve">        FS142</v>
      </c>
      <c r="N72" s="26" t="s">
        <v>138</v>
      </c>
      <c r="O72" s="20">
        <v>2</v>
      </c>
      <c r="P72" s="20" cm="1">
        <f t="array" ref="P72">LARGE(IF($B$50:$B$281=N72,$E$50:$E$281),$I72)</f>
        <v>135</v>
      </c>
      <c r="Q72" s="27" t="str" cm="1">
        <f t="array" ref="Q72">IF(P72=0, "DNR", INDEX($C$50:$C$281,MATCH(LARGE(IF($B$50:$B$281=$H72,$E$50:$E$281),$I72), IF($B$50:$B$281=$H72,$E$50:$E$281),0)))</f>
        <v>Other</v>
      </c>
    </row>
    <row r="73" spans="2:20" x14ac:dyDescent="0.25">
      <c r="B73" s="19" t="s">
        <v>19</v>
      </c>
      <c r="C73" s="15" t="s">
        <v>94</v>
      </c>
      <c r="D73" s="15">
        <f>IFERROR(VLOOKUP($B73,$B$21:$AE$29,25,0),0)</f>
        <v>0</v>
      </c>
      <c r="E73" s="27">
        <f>IFERROR(VLOOKUP($B73,$B$35:$AE$43,25,0),0)</f>
        <v>0</v>
      </c>
      <c r="G73" s="22" t="str">
        <f t="shared" si="9"/>
        <v xml:space="preserve">        FS143</v>
      </c>
      <c r="H73" s="28" t="s">
        <v>138</v>
      </c>
      <c r="I73" s="23">
        <v>3</v>
      </c>
      <c r="J73" s="23" cm="1">
        <f t="array" ref="J73">LARGE(IF($B$50:$B$281=H73,$D$50:$D$281),$I73)</f>
        <v>90</v>
      </c>
      <c r="K73" s="27" t="str" cm="1">
        <f t="array" ref="K73">IF(J73=0, "DNR", INDEX($C$50:$C$281,MATCH(LARGE(IF($B$50:$B$281=$H73,$D$50:$D$281),$I73), IF($B$50:$B$281=$H73,$D$50:$D$281),0)))</f>
        <v>QA Internal</v>
      </c>
      <c r="M73" s="22" t="str">
        <f t="shared" si="10"/>
        <v xml:space="preserve">        FS143</v>
      </c>
      <c r="N73" s="28" t="s">
        <v>138</v>
      </c>
      <c r="O73" s="23">
        <v>3</v>
      </c>
      <c r="P73" s="23" cm="1">
        <f t="array" ref="P73">LARGE(IF($B$50:$B$281=N73,$E$50:$E$281),$I73)</f>
        <v>90</v>
      </c>
      <c r="Q73" s="27" t="str" cm="1">
        <f t="array" ref="Q73">IF(P73=0, "DNR", INDEX($C$50:$C$281,MATCH(LARGE(IF($B$50:$B$281=$H73,$E$50:$E$281),$I73), IF($B$50:$B$281=$H73,$E$50:$E$281),0)))</f>
        <v>QA Internal</v>
      </c>
    </row>
    <row r="74" spans="2:20" x14ac:dyDescent="0.25">
      <c r="B74" s="19" t="s">
        <v>19</v>
      </c>
      <c r="C74" s="15" t="s">
        <v>95</v>
      </c>
      <c r="D74" s="15">
        <f>IFERROR(VLOOKUP($B74,$B$21:$AE$29,26,0),0)</f>
        <v>7</v>
      </c>
      <c r="E74" s="27">
        <f>IFERROR(VLOOKUP($B74,$B$35:$AE$43,26,0),0)</f>
        <v>7</v>
      </c>
    </row>
    <row r="75" spans="2:20" x14ac:dyDescent="0.25">
      <c r="B75" s="19" t="s">
        <v>19</v>
      </c>
      <c r="C75" s="15" t="s">
        <v>96</v>
      </c>
      <c r="D75" s="15">
        <f>IFERROR(VLOOKUP($B75,$B$21:$AE$29,27,0),0)</f>
        <v>0</v>
      </c>
      <c r="E75" s="27">
        <f>IFERROR(VLOOKUP($B75,$B$35:$AE$43,27,0),0)</f>
        <v>0</v>
      </c>
    </row>
    <row r="76" spans="2:20" x14ac:dyDescent="0.25">
      <c r="B76" s="19" t="s">
        <v>19</v>
      </c>
      <c r="C76" s="15" t="s">
        <v>97</v>
      </c>
      <c r="D76" s="15">
        <f>IFERROR(VLOOKUP($B76,$B$21:$AE$29,28,0),0)</f>
        <v>0</v>
      </c>
      <c r="E76" s="27">
        <f>IFERROR(VLOOKUP($B76,$B$35:$AE$43,28,0),0)</f>
        <v>0</v>
      </c>
    </row>
    <row r="77" spans="2:20" x14ac:dyDescent="0.25">
      <c r="B77" s="19" t="s">
        <v>19</v>
      </c>
      <c r="C77" s="15" t="s">
        <v>98</v>
      </c>
      <c r="D77" s="15">
        <f>IFERROR(VLOOKUP($B77,$B$21:$AE$29,29,0),0)</f>
        <v>0</v>
      </c>
      <c r="E77" s="27">
        <f>IFERROR(VLOOKUP($B77,$B$35:$AE$43,29,0),0)</f>
        <v>0</v>
      </c>
    </row>
    <row r="78" spans="2:20" x14ac:dyDescent="0.25">
      <c r="B78" s="19" t="s">
        <v>19</v>
      </c>
      <c r="C78" s="15" t="s">
        <v>99</v>
      </c>
      <c r="D78" s="15">
        <f>IFERROR(VLOOKUP($B78,$B$21:$AE$29,30,0),0)</f>
        <v>20</v>
      </c>
      <c r="E78" s="27">
        <f>IFERROR(VLOOKUP($B78,$B$35:$AE$43,30,0),0)</f>
        <v>40</v>
      </c>
      <c r="G78" s="140" t="s">
        <v>189</v>
      </c>
    </row>
    <row r="79" spans="2:20" x14ac:dyDescent="0.25">
      <c r="B79" s="19" t="s">
        <v>20</v>
      </c>
      <c r="C79" s="15" t="s">
        <v>71</v>
      </c>
      <c r="D79" s="15">
        <f>IFERROR(VLOOKUP($B79,$B$21:$AE$29,2,0),0)</f>
        <v>0</v>
      </c>
      <c r="E79" s="27">
        <f>IFERROR(VLOOKUP($B79,$B$35:$AE$43,2,0),0)</f>
        <v>122</v>
      </c>
      <c r="G79" s="186" t="s">
        <v>5</v>
      </c>
      <c r="H79" s="186"/>
    </row>
    <row r="80" spans="2:20" x14ac:dyDescent="0.25">
      <c r="B80" s="19" t="s">
        <v>20</v>
      </c>
      <c r="C80" s="15" t="s">
        <v>72</v>
      </c>
      <c r="D80" s="15">
        <f>IFERROR(VLOOKUP($B80,$B$21:$AE$29,3,0),0)</f>
        <v>0</v>
      </c>
      <c r="E80" s="27">
        <f>IFERROR(VLOOKUP($B80,$B$35:$AE$43,3,0),0)</f>
        <v>0</v>
      </c>
      <c r="G80" s="24" t="s">
        <v>1</v>
      </c>
      <c r="H80" s="10" t="s">
        <v>3</v>
      </c>
      <c r="J80" s="8" t="s">
        <v>102</v>
      </c>
      <c r="K80" t="s">
        <v>174</v>
      </c>
    </row>
    <row r="81" spans="2:11" x14ac:dyDescent="0.25">
      <c r="B81" s="19" t="s">
        <v>20</v>
      </c>
      <c r="C81" s="15" t="s">
        <v>73</v>
      </c>
      <c r="D81" s="15">
        <f>IFERROR(VLOOKUP($B81,$B$21:$AE$29,4,0),0)</f>
        <v>42</v>
      </c>
      <c r="E81" s="27">
        <f>IFERROR(VLOOKUP($B81,$B$35:$AE$43,4,0),0)</f>
        <v>119</v>
      </c>
      <c r="G81" s="19" t="s">
        <v>19</v>
      </c>
      <c r="H81">
        <v>2000</v>
      </c>
      <c r="J81" s="9" t="s">
        <v>19</v>
      </c>
      <c r="K81">
        <v>33593</v>
      </c>
    </row>
    <row r="82" spans="2:11" x14ac:dyDescent="0.25">
      <c r="B82" s="19" t="s">
        <v>20</v>
      </c>
      <c r="C82" s="15" t="s">
        <v>136</v>
      </c>
      <c r="D82" s="15">
        <f>IFERROR(VLOOKUP($B82,$B$21:$AE$29,5,0),0)</f>
        <v>20</v>
      </c>
      <c r="E82" s="27">
        <f>IFERROR(VLOOKUP($B82,$B$35:$AE$43,5,0),0)</f>
        <v>50</v>
      </c>
      <c r="G82" s="19" t="s">
        <v>19</v>
      </c>
      <c r="H82">
        <v>2000</v>
      </c>
      <c r="J82" s="9" t="s">
        <v>20</v>
      </c>
      <c r="K82">
        <v>11560</v>
      </c>
    </row>
    <row r="83" spans="2:11" x14ac:dyDescent="0.25">
      <c r="B83" s="19" t="s">
        <v>20</v>
      </c>
      <c r="C83" s="15" t="s">
        <v>75</v>
      </c>
      <c r="D83" s="15">
        <f>IFERROR(VLOOKUP($B83,$B$21:$AE$29,6,0),0)</f>
        <v>0</v>
      </c>
      <c r="E83" s="27">
        <f>IFERROR(VLOOKUP($B83,$B$35:$AE$43,6,0),0)</f>
        <v>0</v>
      </c>
      <c r="G83" s="19" t="s">
        <v>19</v>
      </c>
      <c r="H83">
        <v>3500</v>
      </c>
      <c r="J83" s="9" t="s">
        <v>21</v>
      </c>
      <c r="K83">
        <v>10965</v>
      </c>
    </row>
    <row r="84" spans="2:11" x14ac:dyDescent="0.25">
      <c r="B84" s="19" t="s">
        <v>20</v>
      </c>
      <c r="C84" s="15" t="s">
        <v>137</v>
      </c>
      <c r="D84" s="15">
        <f>IFERROR(VLOOKUP($B84,$B$21:$AE$29,7,0),0)</f>
        <v>0</v>
      </c>
      <c r="E84" s="27">
        <f>IFERROR(VLOOKUP($B84,$B$35:$AE$43,7,0),0)</f>
        <v>10</v>
      </c>
      <c r="G84" s="19" t="s">
        <v>19</v>
      </c>
      <c r="H84">
        <v>3400</v>
      </c>
      <c r="J84" s="9" t="s">
        <v>22</v>
      </c>
      <c r="K84">
        <v>3600</v>
      </c>
    </row>
    <row r="85" spans="2:11" x14ac:dyDescent="0.25">
      <c r="B85" s="19" t="s">
        <v>20</v>
      </c>
      <c r="C85" s="15" t="s">
        <v>77</v>
      </c>
      <c r="D85" s="15">
        <f>IFERROR(VLOOKUP($B85,$B$21:$AE$29,8,0),0)</f>
        <v>25</v>
      </c>
      <c r="E85" s="27">
        <f>IFERROR(VLOOKUP($B85,$B$35:$AE$43,8,0),0)</f>
        <v>25</v>
      </c>
      <c r="G85" s="19" t="s">
        <v>19</v>
      </c>
      <c r="H85">
        <v>3499</v>
      </c>
      <c r="J85" s="9" t="s">
        <v>23</v>
      </c>
    </row>
    <row r="86" spans="2:11" x14ac:dyDescent="0.25">
      <c r="B86" s="19" t="s">
        <v>20</v>
      </c>
      <c r="C86" s="15" t="s">
        <v>78</v>
      </c>
      <c r="D86" s="15">
        <f>IFERROR(VLOOKUP($B86,$B$21:$AE$29,9,0),0)</f>
        <v>0</v>
      </c>
      <c r="E86" s="27">
        <f>IFERROR(VLOOKUP($B86,$B$35:$AE$43,9,0),0)</f>
        <v>0</v>
      </c>
      <c r="G86" s="19" t="s">
        <v>19</v>
      </c>
      <c r="H86">
        <v>3499</v>
      </c>
      <c r="J86" s="9" t="s">
        <v>24</v>
      </c>
      <c r="K86">
        <v>48002</v>
      </c>
    </row>
    <row r="87" spans="2:11" x14ac:dyDescent="0.25">
      <c r="B87" s="19" t="s">
        <v>20</v>
      </c>
      <c r="C87" s="15" t="s">
        <v>79</v>
      </c>
      <c r="D87" s="15">
        <f>IFERROR(VLOOKUP($B87,$B$21:$AE$29,10,0),0)</f>
        <v>0</v>
      </c>
      <c r="E87" s="27">
        <f>IFERROR(VLOOKUP($B87,$B$35:$AE$43,10,0),0)</f>
        <v>0</v>
      </c>
      <c r="G87" s="19" t="s">
        <v>19</v>
      </c>
      <c r="H87">
        <v>3499</v>
      </c>
      <c r="J87" s="9" t="s">
        <v>25</v>
      </c>
      <c r="K87">
        <v>51366</v>
      </c>
    </row>
    <row r="88" spans="2:11" x14ac:dyDescent="0.25">
      <c r="B88" s="19" t="s">
        <v>20</v>
      </c>
      <c r="C88" s="15" t="s">
        <v>80</v>
      </c>
      <c r="D88" s="15">
        <f>IFERROR(VLOOKUP($B88,$B$21:$AE$29,11,0),0)</f>
        <v>0</v>
      </c>
      <c r="E88" s="27">
        <f>IFERROR(VLOOKUP($B88,$B$35:$AE$43,11,0),0)</f>
        <v>7</v>
      </c>
      <c r="G88" s="19" t="s">
        <v>19</v>
      </c>
      <c r="H88">
        <v>3500</v>
      </c>
      <c r="J88" s="9" t="s">
        <v>138</v>
      </c>
      <c r="K88">
        <v>3000</v>
      </c>
    </row>
    <row r="89" spans="2:11" x14ac:dyDescent="0.25">
      <c r="B89" s="19" t="s">
        <v>20</v>
      </c>
      <c r="C89" s="15" t="s">
        <v>81</v>
      </c>
      <c r="D89" s="15">
        <f>IFERROR(VLOOKUP($B89,$B$21:$AE$29,12,0),0)</f>
        <v>12</v>
      </c>
      <c r="E89" s="27">
        <f>IFERROR(VLOOKUP($B89,$B$35:$AE$43,12,0),0)</f>
        <v>177</v>
      </c>
      <c r="G89" s="19" t="s">
        <v>19</v>
      </c>
      <c r="H89">
        <v>3296</v>
      </c>
      <c r="J89" s="9" t="s">
        <v>103</v>
      </c>
      <c r="K89">
        <v>162086</v>
      </c>
    </row>
    <row r="90" spans="2:11" x14ac:dyDescent="0.25">
      <c r="B90" s="19" t="s">
        <v>20</v>
      </c>
      <c r="C90" s="15" t="s">
        <v>82</v>
      </c>
      <c r="D90" s="15">
        <f>IFERROR(VLOOKUP($B90,$B$21:$AE$29,13,0),0)</f>
        <v>131</v>
      </c>
      <c r="E90" s="27">
        <f>IFERROR(VLOOKUP($B90,$B$35:$AE$43,13,0),0)</f>
        <v>191</v>
      </c>
      <c r="G90" s="19" t="s">
        <v>19</v>
      </c>
      <c r="H90">
        <v>3500</v>
      </c>
    </row>
    <row r="91" spans="2:11" x14ac:dyDescent="0.25">
      <c r="B91" s="19" t="s">
        <v>20</v>
      </c>
      <c r="C91" s="15" t="s">
        <v>83</v>
      </c>
      <c r="D91" s="15">
        <f>IFERROR(VLOOKUP($B91,$B$21:$AE$29,14,0),0)</f>
        <v>4</v>
      </c>
      <c r="E91" s="27">
        <f>IFERROR(VLOOKUP($B91,$B$35:$AE$43,14,0),0)</f>
        <v>67</v>
      </c>
      <c r="G91" s="19" t="s">
        <v>19</v>
      </c>
      <c r="H91">
        <v>1900</v>
      </c>
    </row>
    <row r="92" spans="2:11" x14ac:dyDescent="0.25">
      <c r="B92" s="19" t="s">
        <v>20</v>
      </c>
      <c r="C92" s="15" t="s">
        <v>84</v>
      </c>
      <c r="D92" s="15">
        <f>IFERROR(VLOOKUP($B92,$B$21:$AE$29,15,0),0)</f>
        <v>206</v>
      </c>
      <c r="E92" s="27">
        <f>IFERROR(VLOOKUP($B92,$B$35:$AE$43,15,0),0)</f>
        <v>602</v>
      </c>
      <c r="G92" s="19" t="s">
        <v>19</v>
      </c>
    </row>
    <row r="93" spans="2:11" x14ac:dyDescent="0.25">
      <c r="B93" s="19" t="s">
        <v>20</v>
      </c>
      <c r="C93" s="15" t="s">
        <v>85</v>
      </c>
      <c r="D93" s="15">
        <f>IFERROR(VLOOKUP($B93,$B$21:$AE$29,16,0),0)</f>
        <v>18</v>
      </c>
      <c r="E93" s="27">
        <f>IFERROR(VLOOKUP($B93,$B$35:$AE$43,16,0),0)</f>
        <v>210</v>
      </c>
      <c r="G93" s="19" t="s">
        <v>19</v>
      </c>
    </row>
    <row r="94" spans="2:11" x14ac:dyDescent="0.25">
      <c r="B94" s="19" t="s">
        <v>20</v>
      </c>
      <c r="C94" s="15" t="s">
        <v>86</v>
      </c>
      <c r="D94" s="15">
        <f>IFERROR(VLOOKUP($B94,$B$21:$AE$29,17,0),0)</f>
        <v>0</v>
      </c>
      <c r="E94" s="27">
        <f>IFERROR(VLOOKUP($B94,$B$35:$AE$43,17,0),0)</f>
        <v>0</v>
      </c>
      <c r="G94" s="19" t="s">
        <v>19</v>
      </c>
    </row>
    <row r="95" spans="2:11" x14ac:dyDescent="0.25">
      <c r="B95" s="19" t="s">
        <v>20</v>
      </c>
      <c r="C95" s="15" t="s">
        <v>87</v>
      </c>
      <c r="D95" s="15">
        <f>IFERROR(VLOOKUP($B95,$B$21:$AE$29,18,0),0)</f>
        <v>0</v>
      </c>
      <c r="E95" s="27">
        <f>IFERROR(VLOOKUP($B95,$B$35:$AE$43,18,0),0)</f>
        <v>0</v>
      </c>
      <c r="G95" s="19" t="s">
        <v>19</v>
      </c>
    </row>
    <row r="96" spans="2:11" x14ac:dyDescent="0.25">
      <c r="B96" s="19" t="s">
        <v>20</v>
      </c>
      <c r="C96" s="15" t="s">
        <v>88</v>
      </c>
      <c r="D96" s="15">
        <f>IFERROR(VLOOKUP($B96,$B$21:$AE$29,19,0),0)</f>
        <v>12</v>
      </c>
      <c r="E96" s="27">
        <f>IFERROR(VLOOKUP($B96,$B$35:$AE$43,19,0),0)</f>
        <v>60</v>
      </c>
      <c r="G96" s="19" t="s">
        <v>20</v>
      </c>
      <c r="H96">
        <v>800</v>
      </c>
    </row>
    <row r="97" spans="2:8" x14ac:dyDescent="0.25">
      <c r="B97" s="19" t="s">
        <v>20</v>
      </c>
      <c r="C97" s="15" t="s">
        <v>89</v>
      </c>
      <c r="D97" s="15">
        <f>IFERROR(VLOOKUP($B97,$B$21:$AE$29,20,0),0)</f>
        <v>55</v>
      </c>
      <c r="E97" s="27">
        <f>IFERROR(VLOOKUP($B97,$B$35:$AE$43,20,0),0)</f>
        <v>76</v>
      </c>
      <c r="G97" s="19" t="s">
        <v>20</v>
      </c>
      <c r="H97">
        <v>800</v>
      </c>
    </row>
    <row r="98" spans="2:8" x14ac:dyDescent="0.25">
      <c r="B98" s="19" t="s">
        <v>20</v>
      </c>
      <c r="C98" s="15" t="s">
        <v>90</v>
      </c>
      <c r="D98" s="15">
        <f>IFERROR(VLOOKUP($B98,$B$21:$AE$29,21,0),0)</f>
        <v>0</v>
      </c>
      <c r="E98" s="27">
        <f>IFERROR(VLOOKUP($B98,$B$35:$AE$43,21,0),0)</f>
        <v>0</v>
      </c>
      <c r="G98" s="19" t="s">
        <v>20</v>
      </c>
      <c r="H98">
        <v>800</v>
      </c>
    </row>
    <row r="99" spans="2:8" x14ac:dyDescent="0.25">
      <c r="B99" s="19" t="s">
        <v>20</v>
      </c>
      <c r="C99" s="15" t="s">
        <v>91</v>
      </c>
      <c r="D99" s="15">
        <f>IFERROR(VLOOKUP($B99,$B$21:$AE$29,22,0),0)</f>
        <v>14</v>
      </c>
      <c r="E99" s="27">
        <f>IFERROR(VLOOKUP($B99,$B$35:$AE$43,22,0),0)</f>
        <v>71</v>
      </c>
      <c r="G99" s="19" t="s">
        <v>20</v>
      </c>
      <c r="H99">
        <v>800</v>
      </c>
    </row>
    <row r="100" spans="2:8" x14ac:dyDescent="0.25">
      <c r="B100" s="19" t="s">
        <v>20</v>
      </c>
      <c r="C100" s="15" t="s">
        <v>92</v>
      </c>
      <c r="D100" s="15">
        <f>IFERROR(VLOOKUP($B100,$B$21:$AE$29,23,0),0)</f>
        <v>0</v>
      </c>
      <c r="E100" s="27">
        <f>IFERROR(VLOOKUP($B100,$B$35:$AE$43,23,0),0)</f>
        <v>0</v>
      </c>
      <c r="G100" s="19" t="s">
        <v>20</v>
      </c>
      <c r="H100">
        <v>900</v>
      </c>
    </row>
    <row r="101" spans="2:8" x14ac:dyDescent="0.25">
      <c r="B101" s="19" t="s">
        <v>20</v>
      </c>
      <c r="C101" s="15" t="s">
        <v>93</v>
      </c>
      <c r="D101" s="15">
        <f>IFERROR(VLOOKUP($B101,$B$21:$AE$29,24,0),0)</f>
        <v>5</v>
      </c>
      <c r="E101" s="27">
        <f>IFERROR(VLOOKUP($B101,$B$35:$AE$43,24,0),0)</f>
        <v>148</v>
      </c>
      <c r="G101" s="19" t="s">
        <v>20</v>
      </c>
      <c r="H101">
        <v>800</v>
      </c>
    </row>
    <row r="102" spans="2:8" x14ac:dyDescent="0.25">
      <c r="B102" s="19" t="s">
        <v>20</v>
      </c>
      <c r="C102" s="15" t="s">
        <v>94</v>
      </c>
      <c r="D102" s="15">
        <f>IFERROR(VLOOKUP($B102,$B$21:$AE$29,25,0),0)</f>
        <v>127</v>
      </c>
      <c r="E102" s="27">
        <f>IFERROR(VLOOKUP($B102,$B$35:$AE$43,25,0),0)</f>
        <v>244</v>
      </c>
      <c r="G102" s="19" t="s">
        <v>20</v>
      </c>
      <c r="H102">
        <v>208</v>
      </c>
    </row>
    <row r="103" spans="2:8" x14ac:dyDescent="0.25">
      <c r="B103" s="19" t="s">
        <v>20</v>
      </c>
      <c r="C103" s="15" t="s">
        <v>95</v>
      </c>
      <c r="D103" s="15">
        <f>IFERROR(VLOOKUP($B103,$B$21:$AE$29,26,0),0)</f>
        <v>0</v>
      </c>
      <c r="E103" s="27">
        <f>IFERROR(VLOOKUP($B103,$B$35:$AE$43,26,0),0)</f>
        <v>70</v>
      </c>
      <c r="G103" s="19" t="s">
        <v>20</v>
      </c>
      <c r="H103">
        <v>900</v>
      </c>
    </row>
    <row r="104" spans="2:8" x14ac:dyDescent="0.25">
      <c r="B104" s="19" t="s">
        <v>20</v>
      </c>
      <c r="C104" s="15" t="s">
        <v>96</v>
      </c>
      <c r="D104" s="15">
        <f>IFERROR(VLOOKUP($B104,$B$21:$AE$29,27,0),0)</f>
        <v>0</v>
      </c>
      <c r="E104" s="27">
        <f>IFERROR(VLOOKUP($B104,$B$35:$AE$43,27,0),0)</f>
        <v>28</v>
      </c>
      <c r="G104" s="19" t="s">
        <v>20</v>
      </c>
      <c r="H104">
        <v>152</v>
      </c>
    </row>
    <row r="105" spans="2:8" x14ac:dyDescent="0.25">
      <c r="B105" s="19" t="s">
        <v>20</v>
      </c>
      <c r="C105" s="15" t="s">
        <v>97</v>
      </c>
      <c r="D105" s="15">
        <f>IFERROR(VLOOKUP($B105,$B$21:$AE$29,28,0),0)</f>
        <v>0</v>
      </c>
      <c r="E105" s="27">
        <f>IFERROR(VLOOKUP($B105,$B$35:$AE$43,28,0),0)</f>
        <v>0</v>
      </c>
      <c r="G105" s="19" t="s">
        <v>20</v>
      </c>
      <c r="H105">
        <v>900</v>
      </c>
    </row>
    <row r="106" spans="2:8" x14ac:dyDescent="0.25">
      <c r="B106" s="19" t="s">
        <v>20</v>
      </c>
      <c r="C106" s="15" t="s">
        <v>98</v>
      </c>
      <c r="D106" s="15">
        <f>IFERROR(VLOOKUP($B106,$B$21:$AE$29,29,0),0)</f>
        <v>0</v>
      </c>
      <c r="E106" s="27">
        <f>IFERROR(VLOOKUP($B106,$B$35:$AE$43,29,0),0)</f>
        <v>0</v>
      </c>
      <c r="G106" s="19" t="s">
        <v>20</v>
      </c>
      <c r="H106">
        <v>900</v>
      </c>
    </row>
    <row r="107" spans="2:8" x14ac:dyDescent="0.25">
      <c r="B107" s="19" t="s">
        <v>20</v>
      </c>
      <c r="C107" s="15" t="s">
        <v>99</v>
      </c>
      <c r="D107" s="15">
        <f>IFERROR(VLOOKUP($B107,$B$21:$AE$29,30,0),0)</f>
        <v>5</v>
      </c>
      <c r="E107" s="27">
        <f>IFERROR(VLOOKUP($B107,$B$35:$AE$43,30,0),0)</f>
        <v>43</v>
      </c>
      <c r="G107" s="19" t="s">
        <v>20</v>
      </c>
      <c r="H107">
        <v>900</v>
      </c>
    </row>
    <row r="108" spans="2:8" x14ac:dyDescent="0.25">
      <c r="B108" s="19" t="s">
        <v>21</v>
      </c>
      <c r="C108" s="15" t="s">
        <v>71</v>
      </c>
      <c r="D108" s="15">
        <f>IFERROR(VLOOKUP($B108,$B$21:$AE$29,2,0),0)</f>
        <v>0</v>
      </c>
      <c r="E108" s="27">
        <f>IFERROR(VLOOKUP($B108,$B$35:$AE$43,2,0),0)</f>
        <v>0</v>
      </c>
      <c r="G108" s="19" t="s">
        <v>20</v>
      </c>
      <c r="H108">
        <v>900</v>
      </c>
    </row>
    <row r="109" spans="2:8" x14ac:dyDescent="0.25">
      <c r="B109" s="19" t="s">
        <v>21</v>
      </c>
      <c r="C109" s="15" t="s">
        <v>72</v>
      </c>
      <c r="D109" s="15">
        <f>IFERROR(VLOOKUP($B109,$B$21:$AE$29,3,0),0)</f>
        <v>0</v>
      </c>
      <c r="E109" s="27">
        <f>IFERROR(VLOOKUP($B109,$B$35:$AE$43,3,0),0)</f>
        <v>0</v>
      </c>
      <c r="G109" s="19" t="s">
        <v>20</v>
      </c>
      <c r="H109">
        <v>900</v>
      </c>
    </row>
    <row r="110" spans="2:8" x14ac:dyDescent="0.25">
      <c r="B110" s="19" t="s">
        <v>21</v>
      </c>
      <c r="C110" s="15" t="s">
        <v>73</v>
      </c>
      <c r="D110" s="15">
        <f>IFERROR(VLOOKUP($B110,$B$21:$AE$29,4,0),0)</f>
        <v>0</v>
      </c>
      <c r="E110" s="27">
        <f>IFERROR(VLOOKUP($B110,$B$35:$AE$43,4,0),0)</f>
        <v>6</v>
      </c>
      <c r="G110" s="19" t="s">
        <v>20</v>
      </c>
      <c r="H110">
        <v>900</v>
      </c>
    </row>
    <row r="111" spans="2:8" x14ac:dyDescent="0.25">
      <c r="B111" s="19" t="s">
        <v>21</v>
      </c>
      <c r="C111" s="15" t="s">
        <v>136</v>
      </c>
      <c r="D111" s="15">
        <f>IFERROR(VLOOKUP($B111,$B$21:$AE$29,5,0),0)</f>
        <v>0</v>
      </c>
      <c r="E111" s="27">
        <f>IFERROR(VLOOKUP($B111,$B$35:$AE$43,5,0),0)</f>
        <v>37</v>
      </c>
      <c r="G111" s="19" t="s">
        <v>21</v>
      </c>
      <c r="H111">
        <v>2465</v>
      </c>
    </row>
    <row r="112" spans="2:8" x14ac:dyDescent="0.25">
      <c r="B112" s="19" t="s">
        <v>21</v>
      </c>
      <c r="C112" s="15" t="s">
        <v>75</v>
      </c>
      <c r="D112" s="15">
        <f>IFERROR(VLOOKUP($B112,$B$21:$AE$29,6,0),0)</f>
        <v>0</v>
      </c>
      <c r="E112" s="27">
        <f>IFERROR(VLOOKUP($B112,$B$35:$AE$43,6,0),0)</f>
        <v>0</v>
      </c>
      <c r="G112" s="19" t="s">
        <v>21</v>
      </c>
      <c r="H112">
        <v>1876</v>
      </c>
    </row>
    <row r="113" spans="2:8" x14ac:dyDescent="0.25">
      <c r="B113" s="19" t="s">
        <v>21</v>
      </c>
      <c r="C113" s="15" t="s">
        <v>137</v>
      </c>
      <c r="D113" s="15">
        <f>IFERROR(VLOOKUP($B113,$B$21:$AE$29,7,0),0)</f>
        <v>74</v>
      </c>
      <c r="E113" s="27">
        <f>IFERROR(VLOOKUP($B113,$B$35:$AE$43,7,0),0)</f>
        <v>90</v>
      </c>
      <c r="G113" s="19" t="s">
        <v>21</v>
      </c>
      <c r="H113">
        <v>821</v>
      </c>
    </row>
    <row r="114" spans="2:8" x14ac:dyDescent="0.25">
      <c r="B114" s="19" t="s">
        <v>21</v>
      </c>
      <c r="C114" s="15" t="s">
        <v>77</v>
      </c>
      <c r="D114" s="15">
        <f>IFERROR(VLOOKUP($B114,$B$21:$AE$29,8,0),0)</f>
        <v>0</v>
      </c>
      <c r="E114" s="27">
        <f>IFERROR(VLOOKUP($B114,$B$35:$AE$43,8,0),0)</f>
        <v>0</v>
      </c>
      <c r="G114" s="19" t="s">
        <v>21</v>
      </c>
      <c r="H114">
        <v>303</v>
      </c>
    </row>
    <row r="115" spans="2:8" x14ac:dyDescent="0.25">
      <c r="B115" s="19" t="s">
        <v>21</v>
      </c>
      <c r="C115" s="15" t="s">
        <v>78</v>
      </c>
      <c r="D115" s="15">
        <f>IFERROR(VLOOKUP($B115,$B$21:$AE$29,9,0),0)</f>
        <v>0</v>
      </c>
      <c r="E115" s="27">
        <f>IFERROR(VLOOKUP($B115,$B$35:$AE$43,9,0),0)</f>
        <v>6</v>
      </c>
      <c r="G115" s="19" t="s">
        <v>21</v>
      </c>
      <c r="H115">
        <v>2000</v>
      </c>
    </row>
    <row r="116" spans="2:8" x14ac:dyDescent="0.25">
      <c r="B116" s="19" t="s">
        <v>21</v>
      </c>
      <c r="C116" s="15" t="s">
        <v>79</v>
      </c>
      <c r="D116" s="15">
        <f>IFERROR(VLOOKUP($B116,$B$21:$AE$29,10,0),0)</f>
        <v>0</v>
      </c>
      <c r="E116" s="27">
        <f>IFERROR(VLOOKUP($B116,$B$35:$AE$43,10,0),0)</f>
        <v>0</v>
      </c>
      <c r="G116" s="19" t="s">
        <v>21</v>
      </c>
      <c r="H116">
        <v>3500</v>
      </c>
    </row>
    <row r="117" spans="2:8" x14ac:dyDescent="0.25">
      <c r="B117" s="19" t="s">
        <v>21</v>
      </c>
      <c r="C117" s="15" t="s">
        <v>80</v>
      </c>
      <c r="D117" s="15">
        <f>IFERROR(VLOOKUP($B117,$B$21:$AE$29,11,0),0)</f>
        <v>4</v>
      </c>
      <c r="E117" s="27">
        <f>IFERROR(VLOOKUP($B117,$B$35:$AE$43,11,0),0)</f>
        <v>86</v>
      </c>
      <c r="G117" s="19" t="s">
        <v>21</v>
      </c>
    </row>
    <row r="118" spans="2:8" x14ac:dyDescent="0.25">
      <c r="B118" s="19" t="s">
        <v>21</v>
      </c>
      <c r="C118" s="15" t="s">
        <v>81</v>
      </c>
      <c r="D118" s="15">
        <f>IFERROR(VLOOKUP($B118,$B$21:$AE$29,12,0),0)</f>
        <v>0</v>
      </c>
      <c r="E118" s="27">
        <f>IFERROR(VLOOKUP($B118,$B$35:$AE$43,12,0),0)</f>
        <v>54</v>
      </c>
      <c r="G118" s="19" t="s">
        <v>21</v>
      </c>
    </row>
    <row r="119" spans="2:8" x14ac:dyDescent="0.25">
      <c r="B119" s="19" t="s">
        <v>21</v>
      </c>
      <c r="C119" s="15" t="s">
        <v>82</v>
      </c>
      <c r="D119" s="15">
        <f>IFERROR(VLOOKUP($B119,$B$21:$AE$29,13,0),0)</f>
        <v>0</v>
      </c>
      <c r="E119" s="27">
        <f>IFERROR(VLOOKUP($B119,$B$35:$AE$43,13,0),0)</f>
        <v>0</v>
      </c>
      <c r="G119" s="19" t="s">
        <v>22</v>
      </c>
      <c r="H119">
        <v>1200</v>
      </c>
    </row>
    <row r="120" spans="2:8" x14ac:dyDescent="0.25">
      <c r="B120" s="19" t="s">
        <v>21</v>
      </c>
      <c r="C120" s="15" t="s">
        <v>83</v>
      </c>
      <c r="D120" s="15">
        <f>IFERROR(VLOOKUP($B120,$B$21:$AE$29,14,0),0)</f>
        <v>3</v>
      </c>
      <c r="E120" s="27">
        <f>IFERROR(VLOOKUP($B120,$B$35:$AE$43,14,0),0)</f>
        <v>9</v>
      </c>
      <c r="G120" s="19" t="s">
        <v>22</v>
      </c>
      <c r="H120">
        <v>1200</v>
      </c>
    </row>
    <row r="121" spans="2:8" x14ac:dyDescent="0.25">
      <c r="B121" s="19" t="s">
        <v>21</v>
      </c>
      <c r="C121" s="15" t="s">
        <v>84</v>
      </c>
      <c r="D121" s="15">
        <f>IFERROR(VLOOKUP($B121,$B$21:$AE$29,15,0),0)</f>
        <v>0</v>
      </c>
      <c r="E121" s="27">
        <f>IFERROR(VLOOKUP($B121,$B$35:$AE$43,15,0),0)</f>
        <v>0</v>
      </c>
      <c r="G121" s="19" t="s">
        <v>22</v>
      </c>
      <c r="H121">
        <v>1200</v>
      </c>
    </row>
    <row r="122" spans="2:8" x14ac:dyDescent="0.25">
      <c r="B122" s="19" t="s">
        <v>21</v>
      </c>
      <c r="C122" s="15" t="s">
        <v>85</v>
      </c>
      <c r="D122" s="15">
        <f>IFERROR(VLOOKUP($B122,$B$21:$AE$29,16,0),0)</f>
        <v>237</v>
      </c>
      <c r="E122" s="27">
        <f>IFERROR(VLOOKUP($B122,$B$35:$AE$43,16,0),0)</f>
        <v>252</v>
      </c>
      <c r="G122" s="19" t="s">
        <v>22</v>
      </c>
    </row>
    <row r="123" spans="2:8" x14ac:dyDescent="0.25">
      <c r="B123" s="19" t="s">
        <v>21</v>
      </c>
      <c r="C123" s="15" t="s">
        <v>86</v>
      </c>
      <c r="D123" s="15">
        <f>IFERROR(VLOOKUP($B123,$B$21:$AE$29,17,0),0)</f>
        <v>0</v>
      </c>
      <c r="E123" s="27">
        <f>IFERROR(VLOOKUP($B123,$B$35:$AE$43,17,0),0)</f>
        <v>26</v>
      </c>
      <c r="G123" s="19" t="s">
        <v>22</v>
      </c>
    </row>
    <row r="124" spans="2:8" x14ac:dyDescent="0.25">
      <c r="B124" s="19" t="s">
        <v>21</v>
      </c>
      <c r="C124" s="15" t="s">
        <v>87</v>
      </c>
      <c r="D124" s="15">
        <f>IFERROR(VLOOKUP($B124,$B$21:$AE$29,18,0),0)</f>
        <v>0</v>
      </c>
      <c r="E124" s="27">
        <f>IFERROR(VLOOKUP($B124,$B$35:$AE$43,18,0),0)</f>
        <v>0</v>
      </c>
      <c r="G124" t="s">
        <v>22</v>
      </c>
    </row>
    <row r="125" spans="2:8" x14ac:dyDescent="0.25">
      <c r="B125" s="19" t="s">
        <v>21</v>
      </c>
      <c r="C125" s="15" t="s">
        <v>88</v>
      </c>
      <c r="D125" s="15">
        <f>IFERROR(VLOOKUP($B125,$B$21:$AE$29,19,0),0)</f>
        <v>0</v>
      </c>
      <c r="E125" s="27">
        <f>IFERROR(VLOOKUP($B125,$B$35:$AE$43,19,0),0)</f>
        <v>0</v>
      </c>
      <c r="G125" t="s">
        <v>22</v>
      </c>
    </row>
    <row r="126" spans="2:8" x14ac:dyDescent="0.25">
      <c r="B126" s="19" t="s">
        <v>21</v>
      </c>
      <c r="C126" s="15" t="s">
        <v>89</v>
      </c>
      <c r="D126" s="15">
        <f>IFERROR(VLOOKUP($B126,$B$21:$AE$29,20,0),0)</f>
        <v>151</v>
      </c>
      <c r="E126" s="27">
        <f>IFERROR(VLOOKUP($B126,$B$35:$AE$43,20,0),0)</f>
        <v>155</v>
      </c>
      <c r="G126" t="s">
        <v>22</v>
      </c>
    </row>
    <row r="127" spans="2:8" x14ac:dyDescent="0.25">
      <c r="B127" s="19" t="s">
        <v>21</v>
      </c>
      <c r="C127" s="15" t="s">
        <v>90</v>
      </c>
      <c r="D127" s="15">
        <f>IFERROR(VLOOKUP($B127,$B$21:$AE$29,21,0),0)</f>
        <v>0</v>
      </c>
      <c r="E127" s="27">
        <f>IFERROR(VLOOKUP($B127,$B$35:$AE$43,21,0),0)</f>
        <v>104</v>
      </c>
      <c r="G127" t="s">
        <v>22</v>
      </c>
    </row>
    <row r="128" spans="2:8" x14ac:dyDescent="0.25">
      <c r="B128" s="19" t="s">
        <v>21</v>
      </c>
      <c r="C128" s="15" t="s">
        <v>91</v>
      </c>
      <c r="D128" s="15">
        <f>IFERROR(VLOOKUP($B128,$B$21:$AE$29,22,0),0)</f>
        <v>19</v>
      </c>
      <c r="E128" s="27">
        <f>IFERROR(VLOOKUP($B128,$B$35:$AE$43,22,0),0)</f>
        <v>101</v>
      </c>
      <c r="G128" t="s">
        <v>22</v>
      </c>
    </row>
    <row r="129" spans="2:8" x14ac:dyDescent="0.25">
      <c r="B129" s="19" t="s">
        <v>21</v>
      </c>
      <c r="C129" s="15" t="s">
        <v>92</v>
      </c>
      <c r="D129" s="15">
        <f>IFERROR(VLOOKUP($B129,$B$21:$AE$29,23,0),0)</f>
        <v>0</v>
      </c>
      <c r="E129" s="27">
        <f>IFERROR(VLOOKUP($B129,$B$35:$AE$43,23,0),0)</f>
        <v>0</v>
      </c>
      <c r="G129" s="19" t="s">
        <v>23</v>
      </c>
    </row>
    <row r="130" spans="2:8" x14ac:dyDescent="0.25">
      <c r="B130" s="19" t="s">
        <v>21</v>
      </c>
      <c r="C130" s="15" t="s">
        <v>93</v>
      </c>
      <c r="D130" s="15">
        <f>IFERROR(VLOOKUP($B130,$B$21:$AE$29,24,0),0)</f>
        <v>0</v>
      </c>
      <c r="E130" s="27">
        <f>IFERROR(VLOOKUP($B130,$B$35:$AE$43,24,0),0)</f>
        <v>0</v>
      </c>
      <c r="G130" s="19" t="s">
        <v>23</v>
      </c>
    </row>
    <row r="131" spans="2:8" x14ac:dyDescent="0.25">
      <c r="B131" s="19" t="s">
        <v>21</v>
      </c>
      <c r="C131" s="15" t="s">
        <v>94</v>
      </c>
      <c r="D131" s="15">
        <f>IFERROR(VLOOKUP($B131,$B$21:$AE$29,25,0),0)</f>
        <v>0</v>
      </c>
      <c r="E131" s="27">
        <f>IFERROR(VLOOKUP($B131,$B$35:$AE$43,25,0),0)</f>
        <v>0</v>
      </c>
      <c r="G131" s="19" t="s">
        <v>23</v>
      </c>
    </row>
    <row r="132" spans="2:8" x14ac:dyDescent="0.25">
      <c r="B132" s="19" t="s">
        <v>21</v>
      </c>
      <c r="C132" s="15" t="s">
        <v>95</v>
      </c>
      <c r="D132" s="15">
        <f>IFERROR(VLOOKUP($B132,$B$21:$AE$29,26,0),0)</f>
        <v>0</v>
      </c>
      <c r="E132" s="27">
        <f>IFERROR(VLOOKUP($B132,$B$35:$AE$43,26,0),0)</f>
        <v>0</v>
      </c>
      <c r="G132" s="19" t="s">
        <v>23</v>
      </c>
    </row>
    <row r="133" spans="2:8" x14ac:dyDescent="0.25">
      <c r="B133" s="19" t="s">
        <v>21</v>
      </c>
      <c r="C133" s="15" t="s">
        <v>96</v>
      </c>
      <c r="D133" s="15">
        <f>IFERROR(VLOOKUP($B133,$B$21:$AE$29,27,0),0)</f>
        <v>5</v>
      </c>
      <c r="E133" s="27">
        <f>IFERROR(VLOOKUP($B133,$B$35:$AE$43,27,0),0)</f>
        <v>23</v>
      </c>
      <c r="G133" s="19" t="s">
        <v>23</v>
      </c>
    </row>
    <row r="134" spans="2:8" x14ac:dyDescent="0.25">
      <c r="B134" s="19" t="s">
        <v>21</v>
      </c>
      <c r="C134" s="15" t="s">
        <v>97</v>
      </c>
      <c r="D134" s="15">
        <f>IFERROR(VLOOKUP($B134,$B$21:$AE$29,28,0),0)</f>
        <v>0</v>
      </c>
      <c r="E134" s="27">
        <f>IFERROR(VLOOKUP($B134,$B$35:$AE$43,28,0),0)</f>
        <v>0</v>
      </c>
      <c r="G134" s="19" t="s">
        <v>23</v>
      </c>
    </row>
    <row r="135" spans="2:8" x14ac:dyDescent="0.25">
      <c r="B135" s="19" t="s">
        <v>21</v>
      </c>
      <c r="C135" s="15" t="s">
        <v>98</v>
      </c>
      <c r="D135" s="15">
        <f>IFERROR(VLOOKUP($B135,$B$21:$AE$29,29,0),0)</f>
        <v>0</v>
      </c>
      <c r="E135" s="27">
        <f>IFERROR(VLOOKUP($B135,$B$35:$AE$43,29,0),0)</f>
        <v>0</v>
      </c>
      <c r="G135" s="19" t="s">
        <v>24</v>
      </c>
      <c r="H135">
        <v>5000</v>
      </c>
    </row>
    <row r="136" spans="2:8" x14ac:dyDescent="0.25">
      <c r="B136" s="19" t="s">
        <v>21</v>
      </c>
      <c r="C136" s="15" t="s">
        <v>99</v>
      </c>
      <c r="D136" s="15">
        <f>IFERROR(VLOOKUP($B136,$B$21:$AE$29,30,0),0)</f>
        <v>0</v>
      </c>
      <c r="E136" s="27">
        <f>IFERROR(VLOOKUP($B136,$B$35:$AE$43,30,0),0)</f>
        <v>0</v>
      </c>
      <c r="G136" s="19" t="s">
        <v>24</v>
      </c>
      <c r="H136">
        <v>3908</v>
      </c>
    </row>
    <row r="137" spans="2:8" x14ac:dyDescent="0.25">
      <c r="B137" s="19" t="s">
        <v>22</v>
      </c>
      <c r="C137" s="15" t="s">
        <v>71</v>
      </c>
      <c r="D137" s="15">
        <f>IFERROR(VLOOKUP($B137,$B$21:$AE$29,2,0),0)</f>
        <v>0</v>
      </c>
      <c r="E137" s="27">
        <f>IFERROR(VLOOKUP($B137,$B$35:$AE$43,2,0),0)</f>
        <v>0</v>
      </c>
      <c r="G137" s="19" t="s">
        <v>24</v>
      </c>
      <c r="H137">
        <v>5751</v>
      </c>
    </row>
    <row r="138" spans="2:8" x14ac:dyDescent="0.25">
      <c r="B138" s="19" t="s">
        <v>22</v>
      </c>
      <c r="C138" s="15" t="s">
        <v>72</v>
      </c>
      <c r="D138" s="15">
        <f>IFERROR(VLOOKUP($B138,$B$21:$AE$29,3,0),0)</f>
        <v>0</v>
      </c>
      <c r="E138" s="27">
        <f>IFERROR(VLOOKUP($B138,$B$35:$AE$43,3,0),0)</f>
        <v>15</v>
      </c>
      <c r="G138" s="19" t="s">
        <v>24</v>
      </c>
      <c r="H138">
        <v>7574</v>
      </c>
    </row>
    <row r="139" spans="2:8" x14ac:dyDescent="0.25">
      <c r="B139" s="19" t="s">
        <v>22</v>
      </c>
      <c r="C139" s="15" t="s">
        <v>73</v>
      </c>
      <c r="D139" s="15">
        <f>IFERROR(VLOOKUP($B139,$B$21:$AE$29,4,0),0)</f>
        <v>0</v>
      </c>
      <c r="E139" s="27">
        <f>IFERROR(VLOOKUP($B139,$B$35:$AE$43,4,0),0)</f>
        <v>26</v>
      </c>
      <c r="G139" s="19" t="s">
        <v>24</v>
      </c>
      <c r="H139">
        <v>2000</v>
      </c>
    </row>
    <row r="140" spans="2:8" x14ac:dyDescent="0.25">
      <c r="B140" s="19" t="s">
        <v>22</v>
      </c>
      <c r="C140" s="15" t="s">
        <v>136</v>
      </c>
      <c r="D140" s="15">
        <f>IFERROR(VLOOKUP($B140,$B$21:$AE$29,5,0),0)</f>
        <v>0</v>
      </c>
      <c r="E140" s="27">
        <f>IFERROR(VLOOKUP($B140,$B$35:$AE$43,5,0),0)</f>
        <v>15</v>
      </c>
      <c r="G140" s="19" t="s">
        <v>24</v>
      </c>
      <c r="H140">
        <v>4269</v>
      </c>
    </row>
    <row r="141" spans="2:8" x14ac:dyDescent="0.25">
      <c r="B141" s="19" t="s">
        <v>22</v>
      </c>
      <c r="C141" s="15" t="s">
        <v>75</v>
      </c>
      <c r="D141" s="15">
        <f>IFERROR(VLOOKUP($B141,$B$21:$AE$29,6,0),0)</f>
        <v>0</v>
      </c>
      <c r="E141" s="27">
        <f>IFERROR(VLOOKUP($B141,$B$35:$AE$43,6,0),0)</f>
        <v>0</v>
      </c>
      <c r="G141" s="19" t="s">
        <v>24</v>
      </c>
      <c r="H141">
        <v>500</v>
      </c>
    </row>
    <row r="142" spans="2:8" x14ac:dyDescent="0.25">
      <c r="B142" s="19" t="s">
        <v>22</v>
      </c>
      <c r="C142" s="15" t="s">
        <v>137</v>
      </c>
      <c r="D142" s="15">
        <f>IFERROR(VLOOKUP($B142,$B$21:$AE$29,7,0),0)</f>
        <v>0</v>
      </c>
      <c r="E142" s="27">
        <f>IFERROR(VLOOKUP($B142,$B$35:$AE$43,7,0),0)</f>
        <v>10</v>
      </c>
      <c r="G142" s="19" t="s">
        <v>24</v>
      </c>
      <c r="H142">
        <v>2000</v>
      </c>
    </row>
    <row r="143" spans="2:8" x14ac:dyDescent="0.25">
      <c r="B143" s="19" t="s">
        <v>22</v>
      </c>
      <c r="C143" s="15" t="s">
        <v>77</v>
      </c>
      <c r="D143" s="15">
        <f>IFERROR(VLOOKUP($B143,$B$21:$AE$29,8,0),0)</f>
        <v>0</v>
      </c>
      <c r="E143" s="27">
        <f>IFERROR(VLOOKUP($B143,$B$35:$AE$43,8,0),0)</f>
        <v>0</v>
      </c>
      <c r="G143" s="19" t="s">
        <v>24</v>
      </c>
      <c r="H143">
        <v>3000</v>
      </c>
    </row>
    <row r="144" spans="2:8" x14ac:dyDescent="0.25">
      <c r="B144" s="19" t="s">
        <v>22</v>
      </c>
      <c r="C144" s="15" t="s">
        <v>78</v>
      </c>
      <c r="D144" s="15">
        <f>IFERROR(VLOOKUP($B144,$B$21:$AE$29,9,0),0)</f>
        <v>0</v>
      </c>
      <c r="E144" s="27">
        <f>IFERROR(VLOOKUP($B144,$B$35:$AE$43,9,0),0)</f>
        <v>13</v>
      </c>
      <c r="G144" s="19" t="s">
        <v>24</v>
      </c>
      <c r="H144">
        <v>14000</v>
      </c>
    </row>
    <row r="145" spans="2:8" x14ac:dyDescent="0.25">
      <c r="B145" s="19" t="s">
        <v>22</v>
      </c>
      <c r="C145" s="15" t="s">
        <v>79</v>
      </c>
      <c r="D145" s="15">
        <f>IFERROR(VLOOKUP($B145,$B$21:$AE$29,10,0),0)</f>
        <v>0</v>
      </c>
      <c r="E145" s="27">
        <f>IFERROR(VLOOKUP($B145,$B$35:$AE$43,10,0),0)</f>
        <v>0</v>
      </c>
      <c r="G145" s="19" t="s">
        <v>24</v>
      </c>
    </row>
    <row r="146" spans="2:8" x14ac:dyDescent="0.25">
      <c r="B146" s="19" t="s">
        <v>22</v>
      </c>
      <c r="C146" s="15" t="s">
        <v>80</v>
      </c>
      <c r="D146" s="15">
        <f>IFERROR(VLOOKUP($B146,$B$21:$AE$29,11,0),0)</f>
        <v>0</v>
      </c>
      <c r="E146" s="27">
        <f>IFERROR(VLOOKUP($B146,$B$35:$AE$43,11,0),0)</f>
        <v>50</v>
      </c>
      <c r="G146" s="19" t="s">
        <v>25</v>
      </c>
      <c r="H146">
        <v>5987</v>
      </c>
    </row>
    <row r="147" spans="2:8" x14ac:dyDescent="0.25">
      <c r="B147" s="19" t="s">
        <v>22</v>
      </c>
      <c r="C147" s="15" t="s">
        <v>81</v>
      </c>
      <c r="D147" s="15">
        <f>IFERROR(VLOOKUP($B147,$B$21:$AE$29,12,0),0)</f>
        <v>0</v>
      </c>
      <c r="E147" s="27">
        <f>IFERROR(VLOOKUP($B147,$B$35:$AE$43,12,0),0)</f>
        <v>175</v>
      </c>
      <c r="G147" s="19" t="s">
        <v>25</v>
      </c>
      <c r="H147">
        <v>700</v>
      </c>
    </row>
    <row r="148" spans="2:8" x14ac:dyDescent="0.25">
      <c r="B148" s="19" t="s">
        <v>22</v>
      </c>
      <c r="C148" s="15" t="s">
        <v>82</v>
      </c>
      <c r="D148" s="15">
        <f>IFERROR(VLOOKUP($B148,$B$21:$AE$29,13,0),0)</f>
        <v>0</v>
      </c>
      <c r="E148" s="27">
        <f>IFERROR(VLOOKUP($B148,$B$35:$AE$43,13,0),0)</f>
        <v>0</v>
      </c>
      <c r="G148" s="19" t="s">
        <v>25</v>
      </c>
      <c r="H148">
        <v>2136</v>
      </c>
    </row>
    <row r="149" spans="2:8" x14ac:dyDescent="0.25">
      <c r="B149" s="19" t="s">
        <v>22</v>
      </c>
      <c r="C149" s="15" t="s">
        <v>83</v>
      </c>
      <c r="D149" s="15">
        <f>IFERROR(VLOOKUP($B149,$B$21:$AE$29,14,0),0)</f>
        <v>0</v>
      </c>
      <c r="E149" s="27">
        <f>IFERROR(VLOOKUP($B149,$B$35:$AE$43,14,0),0)</f>
        <v>4</v>
      </c>
      <c r="G149" s="19" t="s">
        <v>25</v>
      </c>
      <c r="H149">
        <v>4952</v>
      </c>
    </row>
    <row r="150" spans="2:8" x14ac:dyDescent="0.25">
      <c r="B150" s="19" t="s">
        <v>22</v>
      </c>
      <c r="C150" s="15" t="s">
        <v>84</v>
      </c>
      <c r="D150" s="15">
        <f>IFERROR(VLOOKUP($B150,$B$21:$AE$29,15,0),0)</f>
        <v>0</v>
      </c>
      <c r="E150" s="27">
        <f>IFERROR(VLOOKUP($B150,$B$35:$AE$43,15,0),0)</f>
        <v>9</v>
      </c>
      <c r="G150" s="19" t="s">
        <v>25</v>
      </c>
      <c r="H150">
        <v>727</v>
      </c>
    </row>
    <row r="151" spans="2:8" x14ac:dyDescent="0.25">
      <c r="B151" s="19" t="s">
        <v>22</v>
      </c>
      <c r="C151" s="15" t="s">
        <v>85</v>
      </c>
      <c r="D151" s="15">
        <f>IFERROR(VLOOKUP($B151,$B$21:$AE$29,16,0),0)</f>
        <v>0</v>
      </c>
      <c r="E151" s="27">
        <f>IFERROR(VLOOKUP($B151,$B$35:$AE$43,16,0),0)</f>
        <v>68</v>
      </c>
      <c r="G151" s="19" t="s">
        <v>25</v>
      </c>
      <c r="H151">
        <v>4864</v>
      </c>
    </row>
    <row r="152" spans="2:8" x14ac:dyDescent="0.25">
      <c r="B152" s="19" t="s">
        <v>22</v>
      </c>
      <c r="C152" s="15" t="s">
        <v>86</v>
      </c>
      <c r="D152" s="15">
        <f>IFERROR(VLOOKUP($B152,$B$21:$AE$29,17,0),0)</f>
        <v>0</v>
      </c>
      <c r="E152" s="27">
        <f>IFERROR(VLOOKUP($B152,$B$35:$AE$43,17,0),0)</f>
        <v>0</v>
      </c>
      <c r="G152" s="19" t="s">
        <v>25</v>
      </c>
      <c r="H152">
        <v>7000</v>
      </c>
    </row>
    <row r="153" spans="2:8" x14ac:dyDescent="0.25">
      <c r="B153" s="19" t="s">
        <v>22</v>
      </c>
      <c r="C153" s="15" t="s">
        <v>87</v>
      </c>
      <c r="D153" s="15">
        <f>IFERROR(VLOOKUP($B153,$B$21:$AE$29,18,0),0)</f>
        <v>0</v>
      </c>
      <c r="E153" s="27">
        <f>IFERROR(VLOOKUP($B153,$B$35:$AE$43,18,0),0)</f>
        <v>0</v>
      </c>
      <c r="G153" s="19" t="s">
        <v>25</v>
      </c>
      <c r="H153">
        <v>7000</v>
      </c>
    </row>
    <row r="154" spans="2:8" x14ac:dyDescent="0.25">
      <c r="B154" s="19" t="s">
        <v>22</v>
      </c>
      <c r="C154" s="15" t="s">
        <v>88</v>
      </c>
      <c r="D154" s="15">
        <f>IFERROR(VLOOKUP($B154,$B$21:$AE$29,19,0),0)</f>
        <v>0</v>
      </c>
      <c r="E154" s="27">
        <f>IFERROR(VLOOKUP($B154,$B$35:$AE$43,19,0),0)</f>
        <v>13</v>
      </c>
      <c r="G154" s="19" t="s">
        <v>25</v>
      </c>
      <c r="H154">
        <v>7000</v>
      </c>
    </row>
    <row r="155" spans="2:8" x14ac:dyDescent="0.25">
      <c r="B155" s="19" t="s">
        <v>22</v>
      </c>
      <c r="C155" s="15" t="s">
        <v>89</v>
      </c>
      <c r="D155" s="15">
        <f>IFERROR(VLOOKUP($B155,$B$21:$AE$29,20,0),0)</f>
        <v>0</v>
      </c>
      <c r="E155" s="27">
        <f>IFERROR(VLOOKUP($B155,$B$35:$AE$43,20,0),0)</f>
        <v>67</v>
      </c>
      <c r="G155" s="19" t="s">
        <v>25</v>
      </c>
      <c r="H155">
        <v>7000</v>
      </c>
    </row>
    <row r="156" spans="2:8" x14ac:dyDescent="0.25">
      <c r="B156" s="19" t="s">
        <v>22</v>
      </c>
      <c r="C156" s="15" t="s">
        <v>90</v>
      </c>
      <c r="D156" s="15">
        <f>IFERROR(VLOOKUP($B156,$B$21:$AE$29,21,0),0)</f>
        <v>0</v>
      </c>
      <c r="E156" s="27">
        <f>IFERROR(VLOOKUP($B156,$B$35:$AE$43,21,0),0)</f>
        <v>0</v>
      </c>
      <c r="G156" s="19" t="s">
        <v>25</v>
      </c>
      <c r="H156">
        <v>4000</v>
      </c>
    </row>
    <row r="157" spans="2:8" x14ac:dyDescent="0.25">
      <c r="B157" s="19" t="s">
        <v>22</v>
      </c>
      <c r="C157" s="15" t="s">
        <v>91</v>
      </c>
      <c r="D157" s="15">
        <f>IFERROR(VLOOKUP($B157,$B$21:$AE$29,22,0),0)</f>
        <v>0</v>
      </c>
      <c r="E157" s="27">
        <f>IFERROR(VLOOKUP($B157,$B$35:$AE$43,22,0),0)</f>
        <v>28</v>
      </c>
      <c r="G157" s="19" t="s">
        <v>25</v>
      </c>
    </row>
    <row r="158" spans="2:8" x14ac:dyDescent="0.25">
      <c r="B158" s="19" t="s">
        <v>22</v>
      </c>
      <c r="C158" s="15" t="s">
        <v>92</v>
      </c>
      <c r="D158" s="15">
        <f>IFERROR(VLOOKUP($B158,$B$21:$AE$29,23,0),0)</f>
        <v>0</v>
      </c>
      <c r="E158" s="27">
        <f>IFERROR(VLOOKUP($B158,$B$35:$AE$43,23,0),0)</f>
        <v>0</v>
      </c>
      <c r="G158" s="19" t="s">
        <v>138</v>
      </c>
      <c r="H158">
        <v>3000</v>
      </c>
    </row>
    <row r="159" spans="2:8" x14ac:dyDescent="0.25">
      <c r="B159" s="19" t="s">
        <v>22</v>
      </c>
      <c r="C159" s="15" t="s">
        <v>93</v>
      </c>
      <c r="D159" s="15">
        <f>IFERROR(VLOOKUP($B159,$B$21:$AE$29,24,0),0)</f>
        <v>0</v>
      </c>
      <c r="E159" s="27">
        <f>IFERROR(VLOOKUP($B159,$B$35:$AE$43,24,0),0)</f>
        <v>0</v>
      </c>
      <c r="G159" s="19" t="s">
        <v>138</v>
      </c>
    </row>
    <row r="160" spans="2:8" x14ac:dyDescent="0.25">
      <c r="B160" s="19" t="s">
        <v>22</v>
      </c>
      <c r="C160" s="15" t="s">
        <v>94</v>
      </c>
      <c r="D160" s="15">
        <f>IFERROR(VLOOKUP($B160,$B$21:$AE$29,25,0),0)</f>
        <v>0</v>
      </c>
      <c r="E160" s="27">
        <f>IFERROR(VLOOKUP($B160,$B$35:$AE$43,25,0),0)</f>
        <v>0</v>
      </c>
      <c r="G160" s="19" t="s">
        <v>138</v>
      </c>
    </row>
    <row r="161" spans="2:7" x14ac:dyDescent="0.25">
      <c r="B161" s="19" t="s">
        <v>22</v>
      </c>
      <c r="C161" s="15" t="s">
        <v>95</v>
      </c>
      <c r="D161" s="15">
        <f>IFERROR(VLOOKUP($B161,$B$21:$AE$29,26,0),0)</f>
        <v>0</v>
      </c>
      <c r="E161" s="27">
        <f>IFERROR(VLOOKUP($B161,$B$35:$AE$43,26,0),0)</f>
        <v>0</v>
      </c>
      <c r="G161" s="19" t="s">
        <v>138</v>
      </c>
    </row>
    <row r="162" spans="2:7" x14ac:dyDescent="0.25">
      <c r="B162" s="19" t="s">
        <v>22</v>
      </c>
      <c r="C162" s="15" t="s">
        <v>96</v>
      </c>
      <c r="D162" s="15">
        <f>IFERROR(VLOOKUP($B162,$B$21:$AE$29,27,0),0)</f>
        <v>0</v>
      </c>
      <c r="E162" s="27">
        <f>IFERROR(VLOOKUP($B162,$B$35:$AE$43,27,0),0)</f>
        <v>0</v>
      </c>
      <c r="G162" s="19" t="s">
        <v>138</v>
      </c>
    </row>
    <row r="163" spans="2:7" x14ac:dyDescent="0.25">
      <c r="B163" s="19" t="s">
        <v>22</v>
      </c>
      <c r="C163" s="15" t="s">
        <v>97</v>
      </c>
      <c r="D163" s="15">
        <f>IFERROR(VLOOKUP($B163,$B$21:$AE$29,28,0),0)</f>
        <v>0</v>
      </c>
      <c r="E163" s="27">
        <f>IFERROR(VLOOKUP($B163,$B$35:$AE$43,28,0),0)</f>
        <v>0</v>
      </c>
      <c r="G163" s="19" t="s">
        <v>138</v>
      </c>
    </row>
    <row r="164" spans="2:7" x14ac:dyDescent="0.25">
      <c r="B164" s="19" t="s">
        <v>22</v>
      </c>
      <c r="C164" s="15" t="s">
        <v>98</v>
      </c>
      <c r="D164" s="15">
        <f>IFERROR(VLOOKUP($B164,$B$21:$AE$29,29,0),0)</f>
        <v>0</v>
      </c>
      <c r="E164" s="27">
        <f>IFERROR(VLOOKUP($B164,$B$35:$AE$43,29,0),0)</f>
        <v>0</v>
      </c>
      <c r="G164" s="19" t="s">
        <v>138</v>
      </c>
    </row>
    <row r="165" spans="2:7" x14ac:dyDescent="0.25">
      <c r="B165" s="19" t="s">
        <v>22</v>
      </c>
      <c r="C165" s="15" t="s">
        <v>99</v>
      </c>
      <c r="D165" s="15">
        <f>IFERROR(VLOOKUP($B165,$B$21:$AE$29,30,0),0)</f>
        <v>0</v>
      </c>
      <c r="E165" s="27">
        <f>IFERROR(VLOOKUP($B165,$B$35:$AE$43,30,0),0)</f>
        <v>0</v>
      </c>
    </row>
    <row r="166" spans="2:7" x14ac:dyDescent="0.25">
      <c r="B166" s="19" t="s">
        <v>23</v>
      </c>
      <c r="C166" s="15" t="s">
        <v>71</v>
      </c>
      <c r="D166" s="15">
        <f>IFERROR(VLOOKUP($B166,$B$21:$AE$29,2,0),0)</f>
        <v>0</v>
      </c>
      <c r="E166" s="27">
        <f>IFERROR(VLOOKUP($B166,$B$35:$AE$43,2,0),0)</f>
        <v>0</v>
      </c>
    </row>
    <row r="167" spans="2:7" x14ac:dyDescent="0.25">
      <c r="B167" s="19" t="s">
        <v>23</v>
      </c>
      <c r="C167" s="15" t="s">
        <v>72</v>
      </c>
      <c r="D167" s="15">
        <f>IFERROR(VLOOKUP($B167,$B$21:$AE$29,3,0),0)</f>
        <v>0</v>
      </c>
      <c r="E167" s="27">
        <f>IFERROR(VLOOKUP($B167,$B$35:$AE$43,3,0),0)</f>
        <v>0</v>
      </c>
    </row>
    <row r="168" spans="2:7" x14ac:dyDescent="0.25">
      <c r="B168" s="19" t="s">
        <v>23</v>
      </c>
      <c r="C168" s="15" t="s">
        <v>73</v>
      </c>
      <c r="D168" s="15">
        <f>IFERROR(VLOOKUP($B168,$B$21:$AE$29,4,0),0)</f>
        <v>0</v>
      </c>
      <c r="E168" s="27">
        <f>IFERROR(VLOOKUP($B168,$B$35:$AE$43,4,0),0)</f>
        <v>0</v>
      </c>
    </row>
    <row r="169" spans="2:7" x14ac:dyDescent="0.25">
      <c r="B169" s="19" t="s">
        <v>23</v>
      </c>
      <c r="C169" s="15" t="s">
        <v>136</v>
      </c>
      <c r="D169" s="15">
        <f>IFERROR(VLOOKUP($B169,$B$21:$AE$29,5,0),0)</f>
        <v>0</v>
      </c>
      <c r="E169" s="27">
        <f>IFERROR(VLOOKUP($B169,$B$35:$AE$43,5,0),0)</f>
        <v>0</v>
      </c>
    </row>
    <row r="170" spans="2:7" x14ac:dyDescent="0.25">
      <c r="B170" s="19" t="s">
        <v>23</v>
      </c>
      <c r="C170" s="15" t="s">
        <v>75</v>
      </c>
      <c r="D170" s="15">
        <f>IFERROR(VLOOKUP($B170,$B$21:$AE$29,6,0),0)</f>
        <v>0</v>
      </c>
      <c r="E170" s="27">
        <f>IFERROR(VLOOKUP($B170,$B$35:$AE$43,6,0),0)</f>
        <v>0</v>
      </c>
    </row>
    <row r="171" spans="2:7" x14ac:dyDescent="0.25">
      <c r="B171" s="19" t="s">
        <v>23</v>
      </c>
      <c r="C171" s="15" t="s">
        <v>137</v>
      </c>
      <c r="D171" s="15">
        <f>IFERROR(VLOOKUP($B171,$B$21:$AE$29,7,0),0)</f>
        <v>0</v>
      </c>
      <c r="E171" s="27">
        <f>IFERROR(VLOOKUP($B171,$B$35:$AE$43,7,0),0)</f>
        <v>0</v>
      </c>
    </row>
    <row r="172" spans="2:7" x14ac:dyDescent="0.25">
      <c r="B172" s="19" t="s">
        <v>23</v>
      </c>
      <c r="C172" s="15" t="s">
        <v>77</v>
      </c>
      <c r="D172" s="15">
        <f>IFERROR(VLOOKUP($B172,$B$21:$AE$29,8,0),0)</f>
        <v>0</v>
      </c>
      <c r="E172" s="27">
        <f>IFERROR(VLOOKUP($B172,$B$35:$AE$43,8,0),0)</f>
        <v>0</v>
      </c>
    </row>
    <row r="173" spans="2:7" x14ac:dyDescent="0.25">
      <c r="B173" s="19" t="s">
        <v>23</v>
      </c>
      <c r="C173" s="15" t="s">
        <v>78</v>
      </c>
      <c r="D173" s="15">
        <f>IFERROR(VLOOKUP($B173,$B$21:$AE$29,9,0),0)</f>
        <v>0</v>
      </c>
      <c r="E173" s="27">
        <f>IFERROR(VLOOKUP($B173,$B$35:$AE$43,9,0),0)</f>
        <v>0</v>
      </c>
    </row>
    <row r="174" spans="2:7" x14ac:dyDescent="0.25">
      <c r="B174" s="19" t="s">
        <v>23</v>
      </c>
      <c r="C174" s="15" t="s">
        <v>79</v>
      </c>
      <c r="D174" s="15">
        <f>IFERROR(VLOOKUP($B174,$B$21:$AE$29,10,0),0)</f>
        <v>0</v>
      </c>
      <c r="E174" s="27">
        <f>IFERROR(VLOOKUP($B174,$B$35:$AE$43,10,0),0)</f>
        <v>0</v>
      </c>
    </row>
    <row r="175" spans="2:7" x14ac:dyDescent="0.25">
      <c r="B175" s="19" t="s">
        <v>23</v>
      </c>
      <c r="C175" s="15" t="s">
        <v>80</v>
      </c>
      <c r="D175" s="15">
        <f>IFERROR(VLOOKUP($B175,$B$21:$AE$29,11,0),0)</f>
        <v>0</v>
      </c>
      <c r="E175" s="27">
        <f>IFERROR(VLOOKUP($B175,$B$35:$AE$43,11,0),0)</f>
        <v>0</v>
      </c>
    </row>
    <row r="176" spans="2:7" x14ac:dyDescent="0.25">
      <c r="B176" s="19" t="s">
        <v>23</v>
      </c>
      <c r="C176" s="15" t="s">
        <v>81</v>
      </c>
      <c r="D176" s="15">
        <f>IFERROR(VLOOKUP($B176,$B$21:$AE$29,12,0),0)</f>
        <v>0</v>
      </c>
      <c r="E176" s="27">
        <f>IFERROR(VLOOKUP($B176,$B$35:$AE$43,12,0),0)</f>
        <v>0</v>
      </c>
    </row>
    <row r="177" spans="2:5" x14ac:dyDescent="0.25">
      <c r="B177" s="19" t="s">
        <v>23</v>
      </c>
      <c r="C177" s="15" t="s">
        <v>82</v>
      </c>
      <c r="D177" s="15">
        <f>IFERROR(VLOOKUP($B177,$B$21:$AE$29,13,0),0)</f>
        <v>0</v>
      </c>
      <c r="E177" s="27">
        <f>IFERROR(VLOOKUP($B177,$B$35:$AE$43,13,0),0)</f>
        <v>0</v>
      </c>
    </row>
    <row r="178" spans="2:5" x14ac:dyDescent="0.25">
      <c r="B178" s="19" t="s">
        <v>23</v>
      </c>
      <c r="C178" s="15" t="s">
        <v>83</v>
      </c>
      <c r="D178" s="15">
        <f>IFERROR(VLOOKUP($B178,$B$21:$AE$29,14,0),0)</f>
        <v>0</v>
      </c>
      <c r="E178" s="27">
        <f>IFERROR(VLOOKUP($B178,$B$35:$AE$43,14,0),0)</f>
        <v>0</v>
      </c>
    </row>
    <row r="179" spans="2:5" x14ac:dyDescent="0.25">
      <c r="B179" s="19" t="s">
        <v>23</v>
      </c>
      <c r="C179" s="15" t="s">
        <v>84</v>
      </c>
      <c r="D179" s="15">
        <f>IFERROR(VLOOKUP($B179,$B$21:$AE$29,15,0),0)</f>
        <v>0</v>
      </c>
      <c r="E179" s="27">
        <f>IFERROR(VLOOKUP($B179,$B$35:$AE$43,15,0),0)</f>
        <v>0</v>
      </c>
    </row>
    <row r="180" spans="2:5" x14ac:dyDescent="0.25">
      <c r="B180" s="19" t="s">
        <v>23</v>
      </c>
      <c r="C180" s="15" t="s">
        <v>85</v>
      </c>
      <c r="D180" s="15">
        <f>IFERROR(VLOOKUP($B180,$B$21:$AE$29,16,0),0)</f>
        <v>0</v>
      </c>
      <c r="E180" s="27">
        <f>IFERROR(VLOOKUP($B180,$B$35:$AE$43,16,0),0)</f>
        <v>0</v>
      </c>
    </row>
    <row r="181" spans="2:5" x14ac:dyDescent="0.25">
      <c r="B181" s="19" t="s">
        <v>23</v>
      </c>
      <c r="C181" s="15" t="s">
        <v>86</v>
      </c>
      <c r="D181" s="15">
        <f>IFERROR(VLOOKUP($B181,$B$21:$AE$29,17,0),0)</f>
        <v>0</v>
      </c>
      <c r="E181" s="27">
        <f>IFERROR(VLOOKUP($B181,$B$35:$AE$43,17,0),0)</f>
        <v>0</v>
      </c>
    </row>
    <row r="182" spans="2:5" x14ac:dyDescent="0.25">
      <c r="B182" s="19" t="s">
        <v>23</v>
      </c>
      <c r="C182" s="15" t="s">
        <v>87</v>
      </c>
      <c r="D182" s="15">
        <f>IFERROR(VLOOKUP($B182,$B$21:$AE$29,18,0),0)</f>
        <v>0</v>
      </c>
      <c r="E182" s="27">
        <f>IFERROR(VLOOKUP($B182,$B$35:$AE$43,18,0),0)</f>
        <v>0</v>
      </c>
    </row>
    <row r="183" spans="2:5" x14ac:dyDescent="0.25">
      <c r="B183" s="19" t="s">
        <v>23</v>
      </c>
      <c r="C183" s="15" t="s">
        <v>88</v>
      </c>
      <c r="D183" s="15">
        <f>IFERROR(VLOOKUP($B183,$B$21:$AE$29,19,0),0)</f>
        <v>0</v>
      </c>
      <c r="E183" s="27">
        <f>IFERROR(VLOOKUP($B183,$B$35:$AE$43,19,0),0)</f>
        <v>0</v>
      </c>
    </row>
    <row r="184" spans="2:5" x14ac:dyDescent="0.25">
      <c r="B184" s="19" t="s">
        <v>23</v>
      </c>
      <c r="C184" s="15" t="s">
        <v>89</v>
      </c>
      <c r="D184" s="15">
        <f>IFERROR(VLOOKUP($B184,$B$21:$AE$29,20,0),0)</f>
        <v>0</v>
      </c>
      <c r="E184" s="27">
        <f>IFERROR(VLOOKUP($B184,$B$35:$AE$43,20,0),0)</f>
        <v>0</v>
      </c>
    </row>
    <row r="185" spans="2:5" x14ac:dyDescent="0.25">
      <c r="B185" s="19" t="s">
        <v>23</v>
      </c>
      <c r="C185" s="15" t="s">
        <v>90</v>
      </c>
      <c r="D185" s="15">
        <f>IFERROR(VLOOKUP($B185,$B$21:$AE$29,21,0),0)</f>
        <v>0</v>
      </c>
      <c r="E185" s="27">
        <f>IFERROR(VLOOKUP($B185,$B$35:$AE$43,21,0),0)</f>
        <v>0</v>
      </c>
    </row>
    <row r="186" spans="2:5" x14ac:dyDescent="0.25">
      <c r="B186" s="19" t="s">
        <v>23</v>
      </c>
      <c r="C186" s="15" t="s">
        <v>91</v>
      </c>
      <c r="D186" s="15">
        <f>IFERROR(VLOOKUP($B186,$B$21:$AE$29,22,0),0)</f>
        <v>0</v>
      </c>
      <c r="E186" s="27">
        <f>IFERROR(VLOOKUP($B186,$B$35:$AE$43,22,0),0)</f>
        <v>0</v>
      </c>
    </row>
    <row r="187" spans="2:5" x14ac:dyDescent="0.25">
      <c r="B187" s="19" t="s">
        <v>23</v>
      </c>
      <c r="C187" s="15" t="s">
        <v>92</v>
      </c>
      <c r="D187" s="15">
        <f>IFERROR(VLOOKUP($B187,$B$21:$AE$29,23,0),0)</f>
        <v>0</v>
      </c>
      <c r="E187" s="27">
        <f>IFERROR(VLOOKUP($B187,$B$35:$AE$43,23,0),0)</f>
        <v>0</v>
      </c>
    </row>
    <row r="188" spans="2:5" x14ac:dyDescent="0.25">
      <c r="B188" s="19" t="s">
        <v>23</v>
      </c>
      <c r="C188" s="15" t="s">
        <v>93</v>
      </c>
      <c r="D188" s="15">
        <f>IFERROR(VLOOKUP($B188,$B$21:$AE$29,24,0),0)</f>
        <v>0</v>
      </c>
      <c r="E188" s="27">
        <f>IFERROR(VLOOKUP($B188,$B$35:$AE$43,24,0),0)</f>
        <v>0</v>
      </c>
    </row>
    <row r="189" spans="2:5" x14ac:dyDescent="0.25">
      <c r="B189" s="19" t="s">
        <v>23</v>
      </c>
      <c r="C189" s="15" t="s">
        <v>94</v>
      </c>
      <c r="D189" s="15">
        <f>IFERROR(VLOOKUP($B189,$B$21:$AE$29,25,0),0)</f>
        <v>0</v>
      </c>
      <c r="E189" s="27">
        <f>IFERROR(VLOOKUP($B189,$B$35:$AE$43,25,0),0)</f>
        <v>0</v>
      </c>
    </row>
    <row r="190" spans="2:5" x14ac:dyDescent="0.25">
      <c r="B190" s="19" t="s">
        <v>23</v>
      </c>
      <c r="C190" s="15" t="s">
        <v>95</v>
      </c>
      <c r="D190" s="15">
        <f>IFERROR(VLOOKUP($B190,$B$21:$AE$29,26,0),0)</f>
        <v>0</v>
      </c>
      <c r="E190" s="27">
        <f>IFERROR(VLOOKUP($B190,$B$35:$AE$43,26,0),0)</f>
        <v>0</v>
      </c>
    </row>
    <row r="191" spans="2:5" x14ac:dyDescent="0.25">
      <c r="B191" s="19" t="s">
        <v>23</v>
      </c>
      <c r="C191" s="15" t="s">
        <v>96</v>
      </c>
      <c r="D191" s="15">
        <f>IFERROR(VLOOKUP($B191,$B$21:$AE$29,27,0),0)</f>
        <v>0</v>
      </c>
      <c r="E191" s="27">
        <f>IFERROR(VLOOKUP($B191,$B$35:$AE$43,27,0),0)</f>
        <v>0</v>
      </c>
    </row>
    <row r="192" spans="2:5" x14ac:dyDescent="0.25">
      <c r="B192" s="19" t="s">
        <v>23</v>
      </c>
      <c r="C192" s="15" t="s">
        <v>97</v>
      </c>
      <c r="D192" s="15">
        <f>IFERROR(VLOOKUP($B192,$B$21:$AE$29,28,0),0)</f>
        <v>0</v>
      </c>
      <c r="E192" s="27">
        <f>IFERROR(VLOOKUP($B192,$B$35:$AE$43,28,0),0)</f>
        <v>0</v>
      </c>
    </row>
    <row r="193" spans="2:5" x14ac:dyDescent="0.25">
      <c r="B193" s="19" t="s">
        <v>23</v>
      </c>
      <c r="C193" s="15" t="s">
        <v>98</v>
      </c>
      <c r="D193" s="15">
        <f>IFERROR(VLOOKUP($B193,$B$21:$AE$29,29,0),0)</f>
        <v>0</v>
      </c>
      <c r="E193" s="27">
        <f>IFERROR(VLOOKUP($B193,$B$35:$AE$43,29,0),0)</f>
        <v>0</v>
      </c>
    </row>
    <row r="194" spans="2:5" x14ac:dyDescent="0.25">
      <c r="B194" s="19" t="s">
        <v>23</v>
      </c>
      <c r="C194" s="15" t="s">
        <v>99</v>
      </c>
      <c r="D194" s="15">
        <f>IFERROR(VLOOKUP($B194,$B$21:$AE$29,30,0),0)</f>
        <v>0</v>
      </c>
      <c r="E194" s="27">
        <f>IFERROR(VLOOKUP($B194,$B$35:$AE$43,30,0),0)</f>
        <v>0</v>
      </c>
    </row>
    <row r="195" spans="2:5" x14ac:dyDescent="0.25">
      <c r="B195" s="19" t="s">
        <v>24</v>
      </c>
      <c r="C195" s="15" t="s">
        <v>71</v>
      </c>
      <c r="D195" s="15">
        <f>IFERROR(VLOOKUP($B195,$B$21:$AE$29,2,0),0)</f>
        <v>0</v>
      </c>
      <c r="E195" s="27">
        <f>IFERROR(VLOOKUP($B195,$B$35:$AE$43,2,0),0)</f>
        <v>10</v>
      </c>
    </row>
    <row r="196" spans="2:5" x14ac:dyDescent="0.25">
      <c r="B196" s="19" t="s">
        <v>24</v>
      </c>
      <c r="C196" s="15" t="s">
        <v>72</v>
      </c>
      <c r="D196" s="15">
        <f>IFERROR(VLOOKUP($B196,$B$21:$AE$29,3,0),0)</f>
        <v>0</v>
      </c>
      <c r="E196" s="27">
        <f>IFERROR(VLOOKUP($B196,$B$35:$AE$43,3,0),0)</f>
        <v>35</v>
      </c>
    </row>
    <row r="197" spans="2:5" x14ac:dyDescent="0.25">
      <c r="B197" s="19" t="s">
        <v>24</v>
      </c>
      <c r="C197" s="15" t="s">
        <v>73</v>
      </c>
      <c r="D197" s="15">
        <f>IFERROR(VLOOKUP($B197,$B$21:$AE$29,4,0),0)</f>
        <v>15</v>
      </c>
      <c r="E197" s="27">
        <f>IFERROR(VLOOKUP($B197,$B$35:$AE$43,4,0),0)</f>
        <v>50</v>
      </c>
    </row>
    <row r="198" spans="2:5" x14ac:dyDescent="0.25">
      <c r="B198" s="19" t="s">
        <v>24</v>
      </c>
      <c r="C198" s="15" t="s">
        <v>136</v>
      </c>
      <c r="D198" s="15">
        <f>IFERROR(VLOOKUP($B198,$B$21:$AE$29,5,0),0)</f>
        <v>0</v>
      </c>
      <c r="E198" s="27">
        <f>IFERROR(VLOOKUP($B198,$B$35:$AE$43,5,0),0)</f>
        <v>22</v>
      </c>
    </row>
    <row r="199" spans="2:5" x14ac:dyDescent="0.25">
      <c r="B199" s="19" t="s">
        <v>24</v>
      </c>
      <c r="C199" s="15" t="s">
        <v>75</v>
      </c>
      <c r="D199" s="15">
        <f>IFERROR(VLOOKUP($B199,$B$21:$AE$29,6,0),0)</f>
        <v>0</v>
      </c>
      <c r="E199" s="27">
        <f>IFERROR(VLOOKUP($B199,$B$35:$AE$43,6,0),0)</f>
        <v>0</v>
      </c>
    </row>
    <row r="200" spans="2:5" x14ac:dyDescent="0.25">
      <c r="B200" s="19" t="s">
        <v>24</v>
      </c>
      <c r="C200" s="15" t="s">
        <v>137</v>
      </c>
      <c r="D200" s="15">
        <f>IFERROR(VLOOKUP($B200,$B$21:$AE$29,7,0),0)</f>
        <v>0</v>
      </c>
      <c r="E200" s="27">
        <f>IFERROR(VLOOKUP($B200,$B$35:$AE$43,7,0),0)</f>
        <v>0</v>
      </c>
    </row>
    <row r="201" spans="2:5" x14ac:dyDescent="0.25">
      <c r="B201" s="19" t="s">
        <v>24</v>
      </c>
      <c r="C201" s="15" t="s">
        <v>77</v>
      </c>
      <c r="D201" s="15">
        <f>IFERROR(VLOOKUP($B201,$B$21:$AE$29,8,0),0)</f>
        <v>0</v>
      </c>
      <c r="E201" s="27">
        <f>IFERROR(VLOOKUP($B201,$B$35:$AE$43,8,0),0)</f>
        <v>0</v>
      </c>
    </row>
    <row r="202" spans="2:5" x14ac:dyDescent="0.25">
      <c r="B202" s="19" t="s">
        <v>24</v>
      </c>
      <c r="C202" s="15" t="s">
        <v>78</v>
      </c>
      <c r="D202" s="15">
        <f>IFERROR(VLOOKUP($B202,$B$21:$AE$29,9,0),0)</f>
        <v>0</v>
      </c>
      <c r="E202" s="27">
        <f>IFERROR(VLOOKUP($B202,$B$35:$AE$43,9,0),0)</f>
        <v>12</v>
      </c>
    </row>
    <row r="203" spans="2:5" x14ac:dyDescent="0.25">
      <c r="B203" s="19" t="s">
        <v>24</v>
      </c>
      <c r="C203" s="15" t="s">
        <v>79</v>
      </c>
      <c r="D203" s="15">
        <f>IFERROR(VLOOKUP($B203,$B$21:$AE$29,10,0),0)</f>
        <v>0</v>
      </c>
      <c r="E203" s="27">
        <f>IFERROR(VLOOKUP($B203,$B$35:$AE$43,10,0),0)</f>
        <v>0</v>
      </c>
    </row>
    <row r="204" spans="2:5" x14ac:dyDescent="0.25">
      <c r="B204" s="19" t="s">
        <v>24</v>
      </c>
      <c r="C204" s="15" t="s">
        <v>80</v>
      </c>
      <c r="D204" s="15">
        <f>IFERROR(VLOOKUP($B204,$B$21:$AE$29,11,0),0)</f>
        <v>0</v>
      </c>
      <c r="E204" s="27">
        <f>IFERROR(VLOOKUP($B204,$B$35:$AE$43,11,0),0)</f>
        <v>43</v>
      </c>
    </row>
    <row r="205" spans="2:5" x14ac:dyDescent="0.25">
      <c r="B205" s="19" t="s">
        <v>24</v>
      </c>
      <c r="C205" s="15" t="s">
        <v>81</v>
      </c>
      <c r="D205" s="15">
        <f>IFERROR(VLOOKUP($B205,$B$21:$AE$29,12,0),0)</f>
        <v>0</v>
      </c>
      <c r="E205" s="27">
        <f>IFERROR(VLOOKUP($B205,$B$35:$AE$43,12,0),0)</f>
        <v>68</v>
      </c>
    </row>
    <row r="206" spans="2:5" x14ac:dyDescent="0.25">
      <c r="B206" s="19" t="s">
        <v>24</v>
      </c>
      <c r="C206" s="15" t="s">
        <v>82</v>
      </c>
      <c r="D206" s="15">
        <f>IFERROR(VLOOKUP($B206,$B$21:$AE$29,13,0),0)</f>
        <v>0</v>
      </c>
      <c r="E206" s="27">
        <f>IFERROR(VLOOKUP($B206,$B$35:$AE$43,13,0),0)</f>
        <v>0</v>
      </c>
    </row>
    <row r="207" spans="2:5" x14ac:dyDescent="0.25">
      <c r="B207" s="19" t="s">
        <v>24</v>
      </c>
      <c r="C207" s="15" t="s">
        <v>83</v>
      </c>
      <c r="D207" s="15">
        <f>IFERROR(VLOOKUP($B207,$B$21:$AE$29,14,0),0)</f>
        <v>105</v>
      </c>
      <c r="E207" s="27">
        <f>IFERROR(VLOOKUP($B207,$B$35:$AE$43,14,0),0)</f>
        <v>143</v>
      </c>
    </row>
    <row r="208" spans="2:5" x14ac:dyDescent="0.25">
      <c r="B208" s="19" t="s">
        <v>24</v>
      </c>
      <c r="C208" s="15" t="s">
        <v>84</v>
      </c>
      <c r="D208" s="15">
        <f>IFERROR(VLOOKUP($B208,$B$21:$AE$29,15,0),0)</f>
        <v>36</v>
      </c>
      <c r="E208" s="27">
        <f>IFERROR(VLOOKUP($B208,$B$35:$AE$43,15,0),0)</f>
        <v>36</v>
      </c>
    </row>
    <row r="209" spans="2:5" x14ac:dyDescent="0.25">
      <c r="B209" s="19" t="s">
        <v>24</v>
      </c>
      <c r="C209" s="15" t="s">
        <v>85</v>
      </c>
      <c r="D209" s="15">
        <f>IFERROR(VLOOKUP($B209,$B$21:$AE$29,16,0),0)</f>
        <v>0</v>
      </c>
      <c r="E209" s="27">
        <f>IFERROR(VLOOKUP($B209,$B$35:$AE$43,16,0),0)</f>
        <v>0</v>
      </c>
    </row>
    <row r="210" spans="2:5" x14ac:dyDescent="0.25">
      <c r="B210" s="19" t="s">
        <v>24</v>
      </c>
      <c r="C210" s="15" t="s">
        <v>86</v>
      </c>
      <c r="D210" s="15">
        <f>IFERROR(VLOOKUP($B210,$B$21:$AE$29,17,0),0)</f>
        <v>25</v>
      </c>
      <c r="E210" s="27">
        <f>IFERROR(VLOOKUP($B210,$B$35:$AE$43,17,0),0)</f>
        <v>47</v>
      </c>
    </row>
    <row r="211" spans="2:5" x14ac:dyDescent="0.25">
      <c r="B211" s="19" t="s">
        <v>24</v>
      </c>
      <c r="C211" s="15" t="s">
        <v>87</v>
      </c>
      <c r="D211" s="15">
        <f>IFERROR(VLOOKUP($B211,$B$21:$AE$29,18,0),0)</f>
        <v>0</v>
      </c>
      <c r="E211" s="27">
        <f>IFERROR(VLOOKUP($B211,$B$35:$AE$43,18,0),0)</f>
        <v>0</v>
      </c>
    </row>
    <row r="212" spans="2:5" x14ac:dyDescent="0.25">
      <c r="B212" s="19" t="s">
        <v>24</v>
      </c>
      <c r="C212" s="15" t="s">
        <v>88</v>
      </c>
      <c r="D212" s="15">
        <f>IFERROR(VLOOKUP($B212,$B$21:$AE$29,19,0),0)</f>
        <v>0</v>
      </c>
      <c r="E212" s="27">
        <f>IFERROR(VLOOKUP($B212,$B$35:$AE$43,19,0),0)</f>
        <v>0</v>
      </c>
    </row>
    <row r="213" spans="2:5" x14ac:dyDescent="0.25">
      <c r="B213" s="19" t="s">
        <v>24</v>
      </c>
      <c r="C213" s="15" t="s">
        <v>89</v>
      </c>
      <c r="D213" s="15">
        <f>IFERROR(VLOOKUP($B213,$B$21:$AE$29,20,0),0)</f>
        <v>75</v>
      </c>
      <c r="E213" s="27">
        <f>IFERROR(VLOOKUP($B213,$B$35:$AE$43,20,0),0)</f>
        <v>326</v>
      </c>
    </row>
    <row r="214" spans="2:5" x14ac:dyDescent="0.25">
      <c r="B214" s="19" t="s">
        <v>24</v>
      </c>
      <c r="C214" s="15" t="s">
        <v>90</v>
      </c>
      <c r="D214" s="15">
        <f>IFERROR(VLOOKUP($B214,$B$21:$AE$29,21,0),0)</f>
        <v>46</v>
      </c>
      <c r="E214" s="27">
        <f>IFERROR(VLOOKUP($B214,$B$35:$AE$43,21,0),0)</f>
        <v>86</v>
      </c>
    </row>
    <row r="215" spans="2:5" x14ac:dyDescent="0.25">
      <c r="B215" s="19" t="s">
        <v>24</v>
      </c>
      <c r="C215" s="15" t="s">
        <v>91</v>
      </c>
      <c r="D215" s="15">
        <f>IFERROR(VLOOKUP($B215,$B$21:$AE$29,22,0),0)</f>
        <v>30</v>
      </c>
      <c r="E215" s="27">
        <f>IFERROR(VLOOKUP($B215,$B$35:$AE$43,22,0),0)</f>
        <v>85</v>
      </c>
    </row>
    <row r="216" spans="2:5" x14ac:dyDescent="0.25">
      <c r="B216" s="19" t="s">
        <v>24</v>
      </c>
      <c r="C216" s="15" t="s">
        <v>92</v>
      </c>
      <c r="D216" s="15">
        <f>IFERROR(VLOOKUP($B216,$B$21:$AE$29,23,0),0)</f>
        <v>27</v>
      </c>
      <c r="E216" s="27">
        <f>IFERROR(VLOOKUP($B216,$B$35:$AE$43,23,0),0)</f>
        <v>103</v>
      </c>
    </row>
    <row r="217" spans="2:5" x14ac:dyDescent="0.25">
      <c r="B217" s="19" t="s">
        <v>24</v>
      </c>
      <c r="C217" s="15" t="s">
        <v>93</v>
      </c>
      <c r="D217" s="15">
        <f>IFERROR(VLOOKUP($B217,$B$21:$AE$29,24,0),0)</f>
        <v>0</v>
      </c>
      <c r="E217" s="27">
        <f>IFERROR(VLOOKUP($B217,$B$35:$AE$43,24,0),0)</f>
        <v>63</v>
      </c>
    </row>
    <row r="218" spans="2:5" x14ac:dyDescent="0.25">
      <c r="B218" s="19" t="s">
        <v>24</v>
      </c>
      <c r="C218" s="15" t="s">
        <v>94</v>
      </c>
      <c r="D218" s="15">
        <f>IFERROR(VLOOKUP($B218,$B$21:$AE$29,25,0),0)</f>
        <v>0</v>
      </c>
      <c r="E218" s="27">
        <f>IFERROR(VLOOKUP($B218,$B$35:$AE$43,25,0),0)</f>
        <v>0</v>
      </c>
    </row>
    <row r="219" spans="2:5" x14ac:dyDescent="0.25">
      <c r="B219" s="19" t="s">
        <v>24</v>
      </c>
      <c r="C219" s="15" t="s">
        <v>95</v>
      </c>
      <c r="D219" s="15">
        <f>IFERROR(VLOOKUP($B219,$B$21:$AE$29,26,0),0)</f>
        <v>0</v>
      </c>
      <c r="E219" s="27">
        <f>IFERROR(VLOOKUP($B219,$B$35:$AE$43,26,0),0)</f>
        <v>0</v>
      </c>
    </row>
    <row r="220" spans="2:5" x14ac:dyDescent="0.25">
      <c r="B220" s="19" t="s">
        <v>24</v>
      </c>
      <c r="C220" s="15" t="s">
        <v>96</v>
      </c>
      <c r="D220" s="15">
        <f>IFERROR(VLOOKUP($B220,$B$21:$AE$29,27,0),0)</f>
        <v>0</v>
      </c>
      <c r="E220" s="27">
        <f>IFERROR(VLOOKUP($B220,$B$35:$AE$43,27,0),0)</f>
        <v>0</v>
      </c>
    </row>
    <row r="221" spans="2:5" x14ac:dyDescent="0.25">
      <c r="B221" s="19" t="s">
        <v>24</v>
      </c>
      <c r="C221" s="15" t="s">
        <v>97</v>
      </c>
      <c r="D221" s="15">
        <f>IFERROR(VLOOKUP($B221,$B$21:$AE$29,28,0),0)</f>
        <v>0</v>
      </c>
      <c r="E221" s="27">
        <f>IFERROR(VLOOKUP($B221,$B$35:$AE$43,28,0),0)</f>
        <v>0</v>
      </c>
    </row>
    <row r="222" spans="2:5" x14ac:dyDescent="0.25">
      <c r="B222" s="19" t="s">
        <v>24</v>
      </c>
      <c r="C222" s="15" t="s">
        <v>98</v>
      </c>
      <c r="D222" s="15">
        <f>IFERROR(VLOOKUP($B222,$B$21:$AE$29,29,0),0)</f>
        <v>0</v>
      </c>
      <c r="E222" s="27">
        <f>IFERROR(VLOOKUP($B222,$B$35:$AE$43,29,0),0)</f>
        <v>0</v>
      </c>
    </row>
    <row r="223" spans="2:5" x14ac:dyDescent="0.25">
      <c r="B223" s="19" t="s">
        <v>24</v>
      </c>
      <c r="C223" s="15" t="s">
        <v>99</v>
      </c>
      <c r="D223" s="15">
        <f>IFERROR(VLOOKUP($B223,$B$21:$AE$29,30,0),0)</f>
        <v>7</v>
      </c>
      <c r="E223" s="27">
        <f>IFERROR(VLOOKUP($B223,$B$35:$AE$43,30,0),0)</f>
        <v>13</v>
      </c>
    </row>
    <row r="224" spans="2:5" x14ac:dyDescent="0.25">
      <c r="B224" s="19" t="s">
        <v>25</v>
      </c>
      <c r="C224" s="15" t="s">
        <v>71</v>
      </c>
      <c r="D224" s="15">
        <f>IFERROR(VLOOKUP($B224,$B$21:$AE$29,2,0),0)</f>
        <v>0</v>
      </c>
      <c r="E224" s="27">
        <f>IFERROR(VLOOKUP($B224,$B$35:$AE$43,2,0),0)</f>
        <v>0</v>
      </c>
    </row>
    <row r="225" spans="2:5" x14ac:dyDescent="0.25">
      <c r="B225" s="19" t="s">
        <v>25</v>
      </c>
      <c r="C225" s="15" t="s">
        <v>72</v>
      </c>
      <c r="D225" s="15">
        <f>IFERROR(VLOOKUP($B225,$B$21:$AE$29,3,0),0)</f>
        <v>0</v>
      </c>
      <c r="E225" s="27">
        <f>IFERROR(VLOOKUP($B225,$B$35:$AE$43,3,0),0)</f>
        <v>15</v>
      </c>
    </row>
    <row r="226" spans="2:5" x14ac:dyDescent="0.25">
      <c r="B226" s="19" t="s">
        <v>25</v>
      </c>
      <c r="C226" s="15" t="s">
        <v>73</v>
      </c>
      <c r="D226" s="15">
        <f>IFERROR(VLOOKUP($B226,$B$21:$AE$29,4,0),0)</f>
        <v>0</v>
      </c>
      <c r="E226" s="27">
        <f>IFERROR(VLOOKUP($B226,$B$35:$AE$43,4,0),0)</f>
        <v>44</v>
      </c>
    </row>
    <row r="227" spans="2:5" x14ac:dyDescent="0.25">
      <c r="B227" s="19" t="s">
        <v>25</v>
      </c>
      <c r="C227" s="15" t="s">
        <v>136</v>
      </c>
      <c r="D227" s="15">
        <f>IFERROR(VLOOKUP($B227,$B$21:$AE$29,5,0),0)</f>
        <v>0</v>
      </c>
      <c r="E227" s="27">
        <f>IFERROR(VLOOKUP($B227,$B$35:$AE$43,5,0),0)</f>
        <v>325</v>
      </c>
    </row>
    <row r="228" spans="2:5" x14ac:dyDescent="0.25">
      <c r="B228" s="19" t="s">
        <v>25</v>
      </c>
      <c r="C228" s="15" t="s">
        <v>75</v>
      </c>
      <c r="D228" s="15">
        <f>IFERROR(VLOOKUP($B228,$B$21:$AE$29,6,0),0)</f>
        <v>0</v>
      </c>
      <c r="E228" s="27">
        <f>IFERROR(VLOOKUP($B228,$B$35:$AE$43,6,0),0)</f>
        <v>0</v>
      </c>
    </row>
    <row r="229" spans="2:5" x14ac:dyDescent="0.25">
      <c r="B229" s="19" t="s">
        <v>25</v>
      </c>
      <c r="C229" s="15" t="s">
        <v>137</v>
      </c>
      <c r="D229" s="15">
        <f>IFERROR(VLOOKUP($B229,$B$21:$AE$29,7,0),0)</f>
        <v>0</v>
      </c>
      <c r="E229" s="27">
        <f>IFERROR(VLOOKUP($B229,$B$35:$AE$43,7,0),0)</f>
        <v>0</v>
      </c>
    </row>
    <row r="230" spans="2:5" x14ac:dyDescent="0.25">
      <c r="B230" s="19" t="s">
        <v>25</v>
      </c>
      <c r="C230" s="15" t="s">
        <v>77</v>
      </c>
      <c r="D230" s="15">
        <f>IFERROR(VLOOKUP($B230,$B$21:$AE$29,8,0),0)</f>
        <v>0</v>
      </c>
      <c r="E230" s="27">
        <f>IFERROR(VLOOKUP($B230,$B$35:$AE$43,8,0),0)</f>
        <v>0</v>
      </c>
    </row>
    <row r="231" spans="2:5" x14ac:dyDescent="0.25">
      <c r="B231" s="19" t="s">
        <v>25</v>
      </c>
      <c r="C231" s="15" t="s">
        <v>78</v>
      </c>
      <c r="D231" s="15">
        <f>IFERROR(VLOOKUP($B231,$B$21:$AE$29,9,0),0)</f>
        <v>0</v>
      </c>
      <c r="E231" s="27">
        <f>IFERROR(VLOOKUP($B231,$B$35:$AE$43,9,0),0)</f>
        <v>158</v>
      </c>
    </row>
    <row r="232" spans="2:5" x14ac:dyDescent="0.25">
      <c r="B232" s="19" t="s">
        <v>25</v>
      </c>
      <c r="C232" s="15" t="s">
        <v>79</v>
      </c>
      <c r="D232" s="15">
        <f>IFERROR(VLOOKUP($B232,$B$21:$AE$29,10,0),0)</f>
        <v>0</v>
      </c>
      <c r="E232" s="27">
        <f>IFERROR(VLOOKUP($B232,$B$35:$AE$43,10,0),0)</f>
        <v>0</v>
      </c>
    </row>
    <row r="233" spans="2:5" x14ac:dyDescent="0.25">
      <c r="B233" s="19" t="s">
        <v>25</v>
      </c>
      <c r="C233" s="15" t="s">
        <v>80</v>
      </c>
      <c r="D233" s="15">
        <f>IFERROR(VLOOKUP($B233,$B$21:$AE$29,11,0),0)</f>
        <v>0</v>
      </c>
      <c r="E233" s="27">
        <f>IFERROR(VLOOKUP($B233,$B$35:$AE$43,11,0),0)</f>
        <v>10</v>
      </c>
    </row>
    <row r="234" spans="2:5" x14ac:dyDescent="0.25">
      <c r="B234" s="19" t="s">
        <v>25</v>
      </c>
      <c r="C234" s="15" t="s">
        <v>81</v>
      </c>
      <c r="D234" s="15">
        <f>IFERROR(VLOOKUP($B234,$B$21:$AE$29,12,0),0)</f>
        <v>0</v>
      </c>
      <c r="E234" s="27">
        <f>IFERROR(VLOOKUP($B234,$B$35:$AE$43,12,0),0)</f>
        <v>42</v>
      </c>
    </row>
    <row r="235" spans="2:5" x14ac:dyDescent="0.25">
      <c r="B235" s="19" t="s">
        <v>25</v>
      </c>
      <c r="C235" s="15" t="s">
        <v>82</v>
      </c>
      <c r="D235" s="15">
        <f>IFERROR(VLOOKUP($B235,$B$21:$AE$29,13,0),0)</f>
        <v>0</v>
      </c>
      <c r="E235" s="27">
        <f>IFERROR(VLOOKUP($B235,$B$35:$AE$43,13,0),0)</f>
        <v>0</v>
      </c>
    </row>
    <row r="236" spans="2:5" x14ac:dyDescent="0.25">
      <c r="B236" s="19" t="s">
        <v>25</v>
      </c>
      <c r="C236" s="15" t="s">
        <v>83</v>
      </c>
      <c r="D236" s="15">
        <f>IFERROR(VLOOKUP($B236,$B$21:$AE$29,14,0),0)</f>
        <v>0</v>
      </c>
      <c r="E236" s="27">
        <f>IFERROR(VLOOKUP($B236,$B$35:$AE$43,14,0),0)</f>
        <v>19</v>
      </c>
    </row>
    <row r="237" spans="2:5" x14ac:dyDescent="0.25">
      <c r="B237" s="19" t="s">
        <v>25</v>
      </c>
      <c r="C237" s="15" t="s">
        <v>84</v>
      </c>
      <c r="D237" s="15">
        <f>IFERROR(VLOOKUP($B237,$B$21:$AE$29,15,0),0)</f>
        <v>0</v>
      </c>
      <c r="E237" s="27">
        <f>IFERROR(VLOOKUP($B237,$B$35:$AE$43,15,0),0)</f>
        <v>0</v>
      </c>
    </row>
    <row r="238" spans="2:5" x14ac:dyDescent="0.25">
      <c r="B238" s="19" t="s">
        <v>25</v>
      </c>
      <c r="C238" s="15" t="s">
        <v>85</v>
      </c>
      <c r="D238" s="15">
        <f>IFERROR(VLOOKUP($B238,$B$21:$AE$29,16,0),0)</f>
        <v>4</v>
      </c>
      <c r="E238" s="27">
        <f>IFERROR(VLOOKUP($B238,$B$35:$AE$43,16,0),0)</f>
        <v>47</v>
      </c>
    </row>
    <row r="239" spans="2:5" x14ac:dyDescent="0.25">
      <c r="B239" s="19" t="s">
        <v>25</v>
      </c>
      <c r="C239" s="15" t="s">
        <v>86</v>
      </c>
      <c r="D239" s="15">
        <f>IFERROR(VLOOKUP($B239,$B$21:$AE$29,17,0),0)</f>
        <v>0</v>
      </c>
      <c r="E239" s="27">
        <f>IFERROR(VLOOKUP($B239,$B$35:$AE$43,17,0),0)</f>
        <v>0</v>
      </c>
    </row>
    <row r="240" spans="2:5" x14ac:dyDescent="0.25">
      <c r="B240" s="19" t="s">
        <v>25</v>
      </c>
      <c r="C240" s="15" t="s">
        <v>87</v>
      </c>
      <c r="D240" s="15">
        <f>IFERROR(VLOOKUP($B240,$B$21:$AE$29,18,0),0)</f>
        <v>0</v>
      </c>
      <c r="E240" s="27">
        <f>IFERROR(VLOOKUP($B240,$B$35:$AE$43,18,0),0)</f>
        <v>0</v>
      </c>
    </row>
    <row r="241" spans="2:5" x14ac:dyDescent="0.25">
      <c r="B241" s="19" t="s">
        <v>25</v>
      </c>
      <c r="C241" s="15" t="s">
        <v>88</v>
      </c>
      <c r="D241" s="15">
        <f>IFERROR(VLOOKUP($B241,$B$21:$AE$29,19,0),0)</f>
        <v>0</v>
      </c>
      <c r="E241" s="27">
        <f>IFERROR(VLOOKUP($B241,$B$35:$AE$43,19,0),0)</f>
        <v>0</v>
      </c>
    </row>
    <row r="242" spans="2:5" x14ac:dyDescent="0.25">
      <c r="B242" s="19" t="s">
        <v>25</v>
      </c>
      <c r="C242" s="15" t="s">
        <v>89</v>
      </c>
      <c r="D242" s="15">
        <f>IFERROR(VLOOKUP($B242,$B$21:$AE$29,20,0),0)</f>
        <v>11</v>
      </c>
      <c r="E242" s="27">
        <f>IFERROR(VLOOKUP($B242,$B$35:$AE$43,20,0),0)</f>
        <v>72</v>
      </c>
    </row>
    <row r="243" spans="2:5" x14ac:dyDescent="0.25">
      <c r="B243" s="19" t="s">
        <v>25</v>
      </c>
      <c r="C243" s="15" t="s">
        <v>90</v>
      </c>
      <c r="D243" s="15">
        <f>IFERROR(VLOOKUP($B243,$B$21:$AE$29,21,0),0)</f>
        <v>0</v>
      </c>
      <c r="E243" s="27">
        <f>IFERROR(VLOOKUP($B243,$B$35:$AE$43,21,0),0)</f>
        <v>0</v>
      </c>
    </row>
    <row r="244" spans="2:5" x14ac:dyDescent="0.25">
      <c r="B244" s="19" t="s">
        <v>25</v>
      </c>
      <c r="C244" s="15" t="s">
        <v>91</v>
      </c>
      <c r="D244" s="15">
        <f>IFERROR(VLOOKUP($B244,$B$21:$AE$29,22,0),0)</f>
        <v>11</v>
      </c>
      <c r="E244" s="27">
        <f>IFERROR(VLOOKUP($B244,$B$35:$AE$43,22,0),0)</f>
        <v>154</v>
      </c>
    </row>
    <row r="245" spans="2:5" x14ac:dyDescent="0.25">
      <c r="B245" s="19" t="s">
        <v>25</v>
      </c>
      <c r="C245" s="15" t="s">
        <v>92</v>
      </c>
      <c r="D245" s="15">
        <f>IFERROR(VLOOKUP($B245,$B$21:$AE$29,23,0),0)</f>
        <v>0</v>
      </c>
      <c r="E245" s="27">
        <f>IFERROR(VLOOKUP($B245,$B$35:$AE$43,23,0),0)</f>
        <v>0</v>
      </c>
    </row>
    <row r="246" spans="2:5" x14ac:dyDescent="0.25">
      <c r="B246" s="19" t="s">
        <v>25</v>
      </c>
      <c r="C246" s="15" t="s">
        <v>93</v>
      </c>
      <c r="D246" s="15">
        <f>IFERROR(VLOOKUP($B246,$B$21:$AE$29,24,0),0)</f>
        <v>0</v>
      </c>
      <c r="E246" s="27">
        <f>IFERROR(VLOOKUP($B246,$B$35:$AE$43,24,0),0)</f>
        <v>0</v>
      </c>
    </row>
    <row r="247" spans="2:5" x14ac:dyDescent="0.25">
      <c r="B247" s="19" t="s">
        <v>25</v>
      </c>
      <c r="C247" s="15" t="s">
        <v>94</v>
      </c>
      <c r="D247" s="15">
        <f>IFERROR(VLOOKUP($B247,$B$21:$AE$29,25,0),0)</f>
        <v>0</v>
      </c>
      <c r="E247" s="27">
        <f>IFERROR(VLOOKUP($B247,$B$35:$AE$43,25,0),0)</f>
        <v>0</v>
      </c>
    </row>
    <row r="248" spans="2:5" x14ac:dyDescent="0.25">
      <c r="B248" s="19" t="s">
        <v>25</v>
      </c>
      <c r="C248" s="15" t="s">
        <v>95</v>
      </c>
      <c r="D248" s="15">
        <f>IFERROR(VLOOKUP($B248,$B$21:$AE$29,26,0),0)</f>
        <v>0</v>
      </c>
      <c r="E248" s="27">
        <f>IFERROR(VLOOKUP($B248,$B$35:$AE$43,26,0),0)</f>
        <v>0</v>
      </c>
    </row>
    <row r="249" spans="2:5" x14ac:dyDescent="0.25">
      <c r="B249" s="19" t="s">
        <v>25</v>
      </c>
      <c r="C249" s="15" t="s">
        <v>96</v>
      </c>
      <c r="D249" s="15">
        <f>IFERROR(VLOOKUP($B249,$B$21:$AE$29,27,0),0)</f>
        <v>0</v>
      </c>
      <c r="E249" s="27">
        <f>IFERROR(VLOOKUP($B249,$B$35:$AE$43,27,0),0)</f>
        <v>0</v>
      </c>
    </row>
    <row r="250" spans="2:5" x14ac:dyDescent="0.25">
      <c r="B250" s="19" t="s">
        <v>25</v>
      </c>
      <c r="C250" s="15" t="s">
        <v>97</v>
      </c>
      <c r="D250" s="15">
        <f>IFERROR(VLOOKUP($B250,$B$21:$AE$29,28,0),0)</f>
        <v>0</v>
      </c>
      <c r="E250" s="27">
        <f>IFERROR(VLOOKUP($B250,$B$35:$AE$43,28,0),0)</f>
        <v>0</v>
      </c>
    </row>
    <row r="251" spans="2:5" x14ac:dyDescent="0.25">
      <c r="B251" s="19" t="s">
        <v>25</v>
      </c>
      <c r="C251" s="15" t="s">
        <v>98</v>
      </c>
      <c r="D251" s="15">
        <f>IFERROR(VLOOKUP($B251,$B$21:$AE$29,29,0),0)</f>
        <v>0</v>
      </c>
      <c r="E251" s="27">
        <f>IFERROR(VLOOKUP($B251,$B$35:$AE$43,29,0),0)</f>
        <v>0</v>
      </c>
    </row>
    <row r="252" spans="2:5" x14ac:dyDescent="0.25">
      <c r="B252" s="19" t="s">
        <v>25</v>
      </c>
      <c r="C252" s="15" t="s">
        <v>99</v>
      </c>
      <c r="D252" s="15">
        <f>IFERROR(VLOOKUP($B252,$B$21:$AE$29,30,0),0)</f>
        <v>0</v>
      </c>
      <c r="E252" s="27">
        <f>IFERROR(VLOOKUP($B252,$B$35:$AE$43,30,0),0)</f>
        <v>0</v>
      </c>
    </row>
    <row r="253" spans="2:5" x14ac:dyDescent="0.25">
      <c r="B253" s="19" t="s">
        <v>138</v>
      </c>
      <c r="C253" s="15" t="s">
        <v>71</v>
      </c>
      <c r="D253" s="15">
        <f>IFERROR(VLOOKUP($B253,$B$21:$AE$29,2,0),0)</f>
        <v>0</v>
      </c>
      <c r="E253" s="27">
        <f>IFERROR(VLOOKUP($B253,$B$35:$AE$43,2,0),0)</f>
        <v>0</v>
      </c>
    </row>
    <row r="254" spans="2:5" x14ac:dyDescent="0.25">
      <c r="B254" s="19" t="s">
        <v>138</v>
      </c>
      <c r="C254" s="15" t="s">
        <v>72</v>
      </c>
      <c r="D254" s="15">
        <f>IFERROR(VLOOKUP($B254,$B$21:$AE$29,3,0),0)</f>
        <v>0</v>
      </c>
      <c r="E254" s="27">
        <f>IFERROR(VLOOKUP($B254,$B$35:$AE$43,3,0),0)</f>
        <v>0</v>
      </c>
    </row>
    <row r="255" spans="2:5" x14ac:dyDescent="0.25">
      <c r="B255" s="19" t="s">
        <v>138</v>
      </c>
      <c r="C255" s="15" t="s">
        <v>73</v>
      </c>
      <c r="D255" s="15">
        <f>IFERROR(VLOOKUP($B255,$B$21:$AE$29,4,0),0)</f>
        <v>0</v>
      </c>
      <c r="E255" s="27">
        <f>IFERROR(VLOOKUP($B255,$B$35:$AE$43,4,0),0)</f>
        <v>0</v>
      </c>
    </row>
    <row r="256" spans="2:5" x14ac:dyDescent="0.25">
      <c r="B256" s="19" t="s">
        <v>138</v>
      </c>
      <c r="C256" s="15" t="s">
        <v>136</v>
      </c>
      <c r="D256" s="15">
        <f>IFERROR(VLOOKUP($B256,$B$21:$AE$29,5,0),0)</f>
        <v>20</v>
      </c>
      <c r="E256" s="27">
        <f>IFERROR(VLOOKUP($B256,$B$35:$AE$43,5,0),0)</f>
        <v>20</v>
      </c>
    </row>
    <row r="257" spans="2:5" x14ac:dyDescent="0.25">
      <c r="B257" s="19" t="s">
        <v>138</v>
      </c>
      <c r="C257" s="15" t="s">
        <v>75</v>
      </c>
      <c r="D257" s="15">
        <f>IFERROR(VLOOKUP($B257,$B$21:$AE$29,6,0),0)</f>
        <v>0</v>
      </c>
      <c r="E257" s="27">
        <f>IFERROR(VLOOKUP($B257,$B$35:$AE$43,6,0),0)</f>
        <v>0</v>
      </c>
    </row>
    <row r="258" spans="2:5" x14ac:dyDescent="0.25">
      <c r="B258" s="19" t="s">
        <v>138</v>
      </c>
      <c r="C258" s="15" t="s">
        <v>137</v>
      </c>
      <c r="D258" s="15">
        <f>IFERROR(VLOOKUP($B258,$B$21:$AE$29,7,0),0)</f>
        <v>165</v>
      </c>
      <c r="E258" s="27">
        <f>IFERROR(VLOOKUP($B258,$B$35:$AE$43,7,0),0)</f>
        <v>165</v>
      </c>
    </row>
    <row r="259" spans="2:5" x14ac:dyDescent="0.25">
      <c r="B259" s="19" t="s">
        <v>138</v>
      </c>
      <c r="C259" s="15" t="s">
        <v>77</v>
      </c>
      <c r="D259" s="15">
        <f>IFERROR(VLOOKUP($B259,$B$21:$AE$29,8,0),0)</f>
        <v>0</v>
      </c>
      <c r="E259" s="27">
        <f>IFERROR(VLOOKUP($B259,$B$35:$AE$43,8,0),0)</f>
        <v>0</v>
      </c>
    </row>
    <row r="260" spans="2:5" x14ac:dyDescent="0.25">
      <c r="B260" s="19" t="s">
        <v>138</v>
      </c>
      <c r="C260" s="15" t="s">
        <v>78</v>
      </c>
      <c r="D260" s="15">
        <f>IFERROR(VLOOKUP($B260,$B$21:$AE$29,9,0),0)</f>
        <v>0</v>
      </c>
      <c r="E260" s="27">
        <f>IFERROR(VLOOKUP($B260,$B$35:$AE$43,9,0),0)</f>
        <v>0</v>
      </c>
    </row>
    <row r="261" spans="2:5" x14ac:dyDescent="0.25">
      <c r="B261" s="19" t="s">
        <v>138</v>
      </c>
      <c r="C261" s="15" t="s">
        <v>79</v>
      </c>
      <c r="D261" s="15">
        <f>IFERROR(VLOOKUP($B261,$B$21:$AE$29,10,0),0)</f>
        <v>90</v>
      </c>
      <c r="E261" s="27">
        <f>IFERROR(VLOOKUP($B261,$B$35:$AE$43,10,0),0)</f>
        <v>90</v>
      </c>
    </row>
    <row r="262" spans="2:5" x14ac:dyDescent="0.25">
      <c r="B262" s="19" t="s">
        <v>138</v>
      </c>
      <c r="C262" s="15" t="s">
        <v>80</v>
      </c>
      <c r="D262" s="15">
        <f>IFERROR(VLOOKUP($B262,$B$21:$AE$29,11,0),0)</f>
        <v>0</v>
      </c>
      <c r="E262" s="27">
        <f>IFERROR(VLOOKUP($B262,$B$35:$AE$43,11,0),0)</f>
        <v>0</v>
      </c>
    </row>
    <row r="263" spans="2:5" x14ac:dyDescent="0.25">
      <c r="B263" s="19" t="s">
        <v>138</v>
      </c>
      <c r="C263" s="15" t="s">
        <v>81</v>
      </c>
      <c r="D263" s="15">
        <f>IFERROR(VLOOKUP($B263,$B$21:$AE$29,12,0),0)</f>
        <v>0</v>
      </c>
      <c r="E263" s="27">
        <f>IFERROR(VLOOKUP($B263,$B$35:$AE$43,12,0),0)</f>
        <v>0</v>
      </c>
    </row>
    <row r="264" spans="2:5" x14ac:dyDescent="0.25">
      <c r="B264" s="19" t="s">
        <v>138</v>
      </c>
      <c r="C264" s="15" t="s">
        <v>82</v>
      </c>
      <c r="D264" s="15">
        <f>IFERROR(VLOOKUP($B264,$B$21:$AE$29,13,0),0)</f>
        <v>0</v>
      </c>
      <c r="E264" s="27">
        <f>IFERROR(VLOOKUP($B264,$B$35:$AE$43,13,0),0)</f>
        <v>0</v>
      </c>
    </row>
    <row r="265" spans="2:5" x14ac:dyDescent="0.25">
      <c r="B265" s="19" t="s">
        <v>138</v>
      </c>
      <c r="C265" s="15" t="s">
        <v>83</v>
      </c>
      <c r="D265" s="15">
        <f>IFERROR(VLOOKUP($B265,$B$21:$AE$29,14,0),0)</f>
        <v>0</v>
      </c>
      <c r="E265" s="27">
        <f>IFERROR(VLOOKUP($B265,$B$35:$AE$43,14,0),0)</f>
        <v>0</v>
      </c>
    </row>
    <row r="266" spans="2:5" x14ac:dyDescent="0.25">
      <c r="B266" s="19" t="s">
        <v>138</v>
      </c>
      <c r="C266" s="15" t="s">
        <v>84</v>
      </c>
      <c r="D266" s="15">
        <f>IFERROR(VLOOKUP($B266,$B$21:$AE$29,15,0),0)</f>
        <v>0</v>
      </c>
      <c r="E266" s="27">
        <f>IFERROR(VLOOKUP($B266,$B$35:$AE$43,15,0),0)</f>
        <v>0</v>
      </c>
    </row>
    <row r="267" spans="2:5" x14ac:dyDescent="0.25">
      <c r="B267" s="19" t="s">
        <v>138</v>
      </c>
      <c r="C267" s="15" t="s">
        <v>85</v>
      </c>
      <c r="D267" s="15">
        <f>IFERROR(VLOOKUP($B267,$B$21:$AE$29,16,0),0)</f>
        <v>0</v>
      </c>
      <c r="E267" s="27">
        <f>IFERROR(VLOOKUP($B267,$B$35:$AE$43,16,0),0)</f>
        <v>0</v>
      </c>
    </row>
    <row r="268" spans="2:5" x14ac:dyDescent="0.25">
      <c r="B268" s="19" t="s">
        <v>138</v>
      </c>
      <c r="C268" s="15" t="s">
        <v>86</v>
      </c>
      <c r="D268" s="15">
        <f>IFERROR(VLOOKUP($B268,$B$21:$AE$29,17,0),0)</f>
        <v>0</v>
      </c>
      <c r="E268" s="27">
        <f>IFERROR(VLOOKUP($B268,$B$35:$AE$43,17,0),0)</f>
        <v>0</v>
      </c>
    </row>
    <row r="269" spans="2:5" x14ac:dyDescent="0.25">
      <c r="B269" s="19" t="s">
        <v>138</v>
      </c>
      <c r="C269" s="15" t="s">
        <v>87</v>
      </c>
      <c r="D269" s="15">
        <f>IFERROR(VLOOKUP($B269,$B$21:$AE$29,18,0),0)</f>
        <v>0</v>
      </c>
      <c r="E269" s="27">
        <f>IFERROR(VLOOKUP($B269,$B$35:$AE$43,18,0),0)</f>
        <v>0</v>
      </c>
    </row>
    <row r="270" spans="2:5" x14ac:dyDescent="0.25">
      <c r="B270" s="19" t="s">
        <v>138</v>
      </c>
      <c r="C270" s="15" t="s">
        <v>88</v>
      </c>
      <c r="D270" s="15">
        <f>IFERROR(VLOOKUP($B270,$B$21:$AE$29,19,0),0)</f>
        <v>0</v>
      </c>
      <c r="E270" s="27">
        <f>IFERROR(VLOOKUP($B270,$B$35:$AE$43,19,0),0)</f>
        <v>0</v>
      </c>
    </row>
    <row r="271" spans="2:5" x14ac:dyDescent="0.25">
      <c r="B271" s="19" t="s">
        <v>138</v>
      </c>
      <c r="C271" s="15" t="s">
        <v>89</v>
      </c>
      <c r="D271" s="15">
        <f>IFERROR(VLOOKUP($B271,$B$21:$AE$29,20,0),0)</f>
        <v>0</v>
      </c>
      <c r="E271" s="27">
        <f>IFERROR(VLOOKUP($B271,$B$35:$AE$43,20,0),0)</f>
        <v>0</v>
      </c>
    </row>
    <row r="272" spans="2:5" x14ac:dyDescent="0.25">
      <c r="B272" s="19" t="s">
        <v>138</v>
      </c>
      <c r="C272" s="15" t="s">
        <v>90</v>
      </c>
      <c r="D272" s="15">
        <f>IFERROR(VLOOKUP($B272,$B$21:$AE$29,21,0),0)</f>
        <v>0</v>
      </c>
      <c r="E272" s="27">
        <f>IFERROR(VLOOKUP($B272,$B$35:$AE$43,21,0),0)</f>
        <v>0</v>
      </c>
    </row>
    <row r="273" spans="2:5" x14ac:dyDescent="0.25">
      <c r="B273" s="19" t="s">
        <v>138</v>
      </c>
      <c r="C273" s="15" t="s">
        <v>91</v>
      </c>
      <c r="D273" s="15">
        <f>IFERROR(VLOOKUP($B273,$B$21:$AE$29,22,0),0)</f>
        <v>35</v>
      </c>
      <c r="E273" s="27">
        <f>IFERROR(VLOOKUP($B273,$B$35:$AE$43,22,0),0)</f>
        <v>35</v>
      </c>
    </row>
    <row r="274" spans="2:5" x14ac:dyDescent="0.25">
      <c r="B274" s="19" t="s">
        <v>138</v>
      </c>
      <c r="C274" s="15" t="s">
        <v>92</v>
      </c>
      <c r="D274" s="15">
        <f>IFERROR(VLOOKUP($B274,$B$21:$AE$29,23,0),0)</f>
        <v>0</v>
      </c>
      <c r="E274" s="27">
        <f>IFERROR(VLOOKUP($B274,$B$35:$AE$43,23,0),0)</f>
        <v>0</v>
      </c>
    </row>
    <row r="275" spans="2:5" x14ac:dyDescent="0.25">
      <c r="B275" s="19" t="s">
        <v>138</v>
      </c>
      <c r="C275" s="15" t="s">
        <v>93</v>
      </c>
      <c r="D275" s="15">
        <f>IFERROR(VLOOKUP($B275,$B$21:$AE$29,24,0),0)</f>
        <v>0</v>
      </c>
      <c r="E275" s="27">
        <f>IFERROR(VLOOKUP($B275,$B$35:$AE$43,24,0),0)</f>
        <v>0</v>
      </c>
    </row>
    <row r="276" spans="2:5" x14ac:dyDescent="0.25">
      <c r="B276" s="19" t="s">
        <v>138</v>
      </c>
      <c r="C276" s="15" t="s">
        <v>94</v>
      </c>
      <c r="D276" s="15">
        <f>IFERROR(VLOOKUP($B276,$B$21:$AE$29,25,0),0)</f>
        <v>0</v>
      </c>
      <c r="E276" s="27">
        <f>IFERROR(VLOOKUP($B276,$B$35:$AE$43,25,0),0)</f>
        <v>0</v>
      </c>
    </row>
    <row r="277" spans="2:5" x14ac:dyDescent="0.25">
      <c r="B277" s="19" t="s">
        <v>138</v>
      </c>
      <c r="C277" s="15" t="s">
        <v>95</v>
      </c>
      <c r="D277" s="15">
        <f>IFERROR(VLOOKUP($B277,$B$21:$AE$29,26,0),0)</f>
        <v>0</v>
      </c>
      <c r="E277" s="27">
        <f>IFERROR(VLOOKUP($B277,$B$35:$AE$43,26,0),0)</f>
        <v>0</v>
      </c>
    </row>
    <row r="278" spans="2:5" x14ac:dyDescent="0.25">
      <c r="B278" s="19" t="s">
        <v>138</v>
      </c>
      <c r="C278" s="15" t="s">
        <v>96</v>
      </c>
      <c r="D278" s="15">
        <f>IFERROR(VLOOKUP($B278,$B$21:$AE$29,27,0),0)</f>
        <v>0</v>
      </c>
      <c r="E278" s="27">
        <f>IFERROR(VLOOKUP($B278,$B$35:$AE$43,27,0),0)</f>
        <v>0</v>
      </c>
    </row>
    <row r="279" spans="2:5" x14ac:dyDescent="0.25">
      <c r="B279" s="19" t="s">
        <v>138</v>
      </c>
      <c r="C279" s="15" t="s">
        <v>97</v>
      </c>
      <c r="D279" s="15">
        <f>IFERROR(VLOOKUP($B279,$B$21:$AE$29,28,0),0)</f>
        <v>0</v>
      </c>
      <c r="E279" s="27">
        <f>IFERROR(VLOOKUP($B279,$B$35:$AE$43,28,0),0)</f>
        <v>0</v>
      </c>
    </row>
    <row r="280" spans="2:5" x14ac:dyDescent="0.25">
      <c r="B280" s="19" t="s">
        <v>138</v>
      </c>
      <c r="C280" s="15" t="s">
        <v>98</v>
      </c>
      <c r="D280" s="15">
        <f>IFERROR(VLOOKUP($B280,$B$21:$AE$29,29,0),0)</f>
        <v>0</v>
      </c>
      <c r="E280" s="27">
        <f>IFERROR(VLOOKUP($B280,$B$35:$AE$43,29,0),0)</f>
        <v>0</v>
      </c>
    </row>
    <row r="281" spans="2:5" x14ac:dyDescent="0.25">
      <c r="B281" s="22" t="s">
        <v>138</v>
      </c>
      <c r="C281" s="29" t="s">
        <v>99</v>
      </c>
      <c r="D281" s="29">
        <f>IFERROR(VLOOKUP($B281,$B$21:$AE$29,30,0),0)</f>
        <v>135</v>
      </c>
      <c r="E281" s="30">
        <f>IFERROR(VLOOKUP($B281,$B$35:$AE$43,30,0),0)</f>
        <v>135</v>
      </c>
    </row>
  </sheetData>
  <mergeCells count="8">
    <mergeCell ref="G79:H79"/>
    <mergeCell ref="B1:J1"/>
    <mergeCell ref="S47:Y47"/>
    <mergeCell ref="L1:N1"/>
    <mergeCell ref="B48:E48"/>
    <mergeCell ref="G48:K48"/>
    <mergeCell ref="M48:Q48"/>
    <mergeCell ref="L2:N2"/>
  </mergeCells>
  <phoneticPr fontId="5" type="noConversion"/>
  <pageMargins left="0.7" right="0.7" top="0.75" bottom="0.75" header="0.3" footer="0.3"/>
  <pageSetup orientation="portrait" verticalDpi="0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47A-C08B-4FAE-8B5C-A37721B2952A}">
  <dimension ref="A1:B12"/>
  <sheetViews>
    <sheetView workbookViewId="0">
      <selection activeCell="D10" sqref="D10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237</v>
      </c>
      <c r="B1" t="s">
        <v>248</v>
      </c>
    </row>
    <row r="2" spans="1:2" x14ac:dyDescent="0.25">
      <c r="A2" t="s">
        <v>238</v>
      </c>
      <c r="B2" t="s">
        <v>249</v>
      </c>
    </row>
    <row r="3" spans="1:2" x14ac:dyDescent="0.25">
      <c r="A3" t="s">
        <v>239</v>
      </c>
      <c r="B3" t="s">
        <v>250</v>
      </c>
    </row>
    <row r="4" spans="1:2" x14ac:dyDescent="0.25">
      <c r="A4" t="s">
        <v>240</v>
      </c>
      <c r="B4" t="s">
        <v>251</v>
      </c>
    </row>
    <row r="5" spans="1:2" x14ac:dyDescent="0.25">
      <c r="A5" t="s">
        <v>241</v>
      </c>
      <c r="B5" t="s">
        <v>252</v>
      </c>
    </row>
    <row r="6" spans="1:2" x14ac:dyDescent="0.25">
      <c r="A6" t="s">
        <v>242</v>
      </c>
      <c r="B6" t="s">
        <v>253</v>
      </c>
    </row>
    <row r="7" spans="1:2" x14ac:dyDescent="0.25">
      <c r="A7" t="s">
        <v>243</v>
      </c>
      <c r="B7" t="s">
        <v>254</v>
      </c>
    </row>
    <row r="8" spans="1:2" x14ac:dyDescent="0.25">
      <c r="A8" t="s">
        <v>244</v>
      </c>
      <c r="B8" t="s">
        <v>255</v>
      </c>
    </row>
    <row r="9" spans="1:2" x14ac:dyDescent="0.25">
      <c r="A9" t="s">
        <v>182</v>
      </c>
      <c r="B9" t="s">
        <v>256</v>
      </c>
    </row>
    <row r="10" spans="1:2" x14ac:dyDescent="0.25">
      <c r="A10" t="s">
        <v>245</v>
      </c>
      <c r="B10" t="s">
        <v>257</v>
      </c>
    </row>
    <row r="11" spans="1:2" x14ac:dyDescent="0.25">
      <c r="A11" t="s">
        <v>246</v>
      </c>
      <c r="B11" t="s">
        <v>258</v>
      </c>
    </row>
    <row r="12" spans="1:2" x14ac:dyDescent="0.25">
      <c r="A12" t="s">
        <v>247</v>
      </c>
      <c r="B12" t="s">
        <v>259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Overall</vt:lpstr>
      <vt:lpstr>1</vt:lpstr>
      <vt:lpstr>3</vt:lpstr>
      <vt:lpstr>4</vt:lpstr>
      <vt:lpstr>5</vt:lpstr>
      <vt:lpstr>9</vt:lpstr>
      <vt:lpstr>10</vt:lpstr>
      <vt:lpstr>12</vt:lpstr>
      <vt:lpstr>14</vt:lpstr>
      <vt:lpstr>Data</vt:lpstr>
      <vt:lpstr>Totals</vt:lpstr>
      <vt:lpstr>Months</vt:lpstr>
      <vt:lpstr>'1'!Print_Area</vt:lpstr>
      <vt:lpstr>'10'!Print_Area</vt:lpstr>
      <vt:lpstr>'12'!Print_Area</vt:lpstr>
      <vt:lpstr>'14'!Print_Area</vt:lpstr>
      <vt:lpstr>'3'!Print_Area</vt:lpstr>
      <vt:lpstr>'4'!Print_Area</vt:lpstr>
      <vt:lpstr>'5'!Print_Area</vt:lpstr>
      <vt:lpstr>'9'!Print_Area</vt:lpstr>
      <vt:lpstr>Overall!Print_Area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 Winters</dc:creator>
  <cp:lastModifiedBy>Amie Winters</cp:lastModifiedBy>
  <cp:lastPrinted>2023-02-28T22:58:48Z</cp:lastPrinted>
  <dcterms:created xsi:type="dcterms:W3CDTF">2023-01-13T17:36:28Z</dcterms:created>
  <dcterms:modified xsi:type="dcterms:W3CDTF">2023-07-12T03:51:07Z</dcterms:modified>
</cp:coreProperties>
</file>