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10410"/>
  </bookViews>
  <sheets>
    <sheet name="ECCAW" sheetId="16" r:id="rId1"/>
    <sheet name="ECW" sheetId="1" r:id="rId2"/>
    <sheet name="Input - Inductance" sheetId="10" r:id="rId3"/>
    <sheet name="Data Collection" sheetId="11" r:id="rId4"/>
    <sheet name="Data Processing" sheetId="13" r:id="rId5"/>
    <sheet name="Rdc vs Temp" sheetId="15" r:id="rId6"/>
    <sheet name="B&amp;Qes vs I" sheetId="14" r:id="rId7"/>
    <sheet name="Temp Rising 4A" sheetId="12" r:id="rId8"/>
    <sheet name="Length to Mass" sheetId="4" r:id="rId9"/>
    <sheet name="BL vs Mass" sheetId="5" r:id="rId10"/>
    <sheet name="Multilayer" sheetId="6" r:id="rId11"/>
    <sheet name="DCR vs Bl" sheetId="8" r:id="rId12"/>
    <sheet name="No comp" sheetId="9" r:id="rId13"/>
  </sheets>
  <externalReferences>
    <externalReference r:id="rId14"/>
  </externalReferences>
  <calcPr calcId="124519"/>
  <fileRecoveryPr repairLoad="1"/>
</workbook>
</file>

<file path=xl/calcChain.xml><?xml version="1.0" encoding="utf-8"?>
<calcChain xmlns="http://schemas.openxmlformats.org/spreadsheetml/2006/main">
  <c r="F34" i="16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J9"/>
  <c r="C34"/>
  <c r="C33"/>
  <c r="C32"/>
  <c r="C31"/>
  <c r="C30"/>
  <c r="C29"/>
  <c r="C28"/>
  <c r="C27"/>
  <c r="C26"/>
  <c r="C25"/>
  <c r="C24"/>
  <c r="C23"/>
  <c r="C22"/>
  <c r="C21"/>
  <c r="C20"/>
  <c r="C19"/>
  <c r="C18"/>
  <c r="V17"/>
  <c r="C17"/>
  <c r="V16"/>
  <c r="C16"/>
  <c r="V15"/>
  <c r="C15"/>
  <c r="D12"/>
  <c r="D34" s="1"/>
  <c r="G34" s="1"/>
  <c r="F16" i="1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15"/>
  <c r="J9"/>
  <c r="H44" i="11"/>
  <c r="H45"/>
  <c r="H46"/>
  <c r="H47"/>
  <c r="H48"/>
  <c r="H49"/>
  <c r="H50"/>
  <c r="H51"/>
  <c r="H52"/>
  <c r="H53"/>
  <c r="H54"/>
  <c r="H55"/>
  <c r="H43"/>
  <c r="H8" i="13"/>
  <c r="H9"/>
  <c r="H10"/>
  <c r="H11"/>
  <c r="H12"/>
  <c r="H13"/>
  <c r="H7"/>
  <c r="J19" i="11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13"/>
  <c r="J14"/>
  <c r="J15"/>
  <c r="J16"/>
  <c r="J17"/>
  <c r="J18"/>
  <c r="J12"/>
  <c r="J6"/>
  <c r="J7"/>
  <c r="J8"/>
  <c r="J5"/>
  <c r="E15" i="10"/>
  <c r="E11"/>
  <c r="E12"/>
  <c r="E13" s="1"/>
  <c r="L12"/>
  <c r="L10"/>
  <c r="V17" i="1"/>
  <c r="V16"/>
  <c r="V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15"/>
  <c r="D12"/>
  <c r="W17" s="1"/>
  <c r="X15" i="16" l="1"/>
  <c r="X17"/>
  <c r="B15"/>
  <c r="D15"/>
  <c r="G15" s="1"/>
  <c r="T15"/>
  <c r="W15"/>
  <c r="B16"/>
  <c r="D16"/>
  <c r="G16" s="1"/>
  <c r="T16"/>
  <c r="X16" s="1"/>
  <c r="W16"/>
  <c r="B17"/>
  <c r="D17"/>
  <c r="G17" s="1"/>
  <c r="T17"/>
  <c r="W17"/>
  <c r="B18"/>
  <c r="D18"/>
  <c r="G18" s="1"/>
  <c r="B19"/>
  <c r="D19"/>
  <c r="G19" s="1"/>
  <c r="B20"/>
  <c r="D20"/>
  <c r="G20" s="1"/>
  <c r="B21"/>
  <c r="D21"/>
  <c r="G21" s="1"/>
  <c r="B22"/>
  <c r="D22"/>
  <c r="G22" s="1"/>
  <c r="B23"/>
  <c r="D23"/>
  <c r="G23" s="1"/>
  <c r="B24"/>
  <c r="D24"/>
  <c r="G24" s="1"/>
  <c r="B25"/>
  <c r="D25"/>
  <c r="G25" s="1"/>
  <c r="B26"/>
  <c r="D26"/>
  <c r="G26" s="1"/>
  <c r="B27"/>
  <c r="D27"/>
  <c r="G27" s="1"/>
  <c r="B28"/>
  <c r="D28"/>
  <c r="G28" s="1"/>
  <c r="B29"/>
  <c r="D29"/>
  <c r="G29" s="1"/>
  <c r="B30"/>
  <c r="D30"/>
  <c r="G30" s="1"/>
  <c r="B31"/>
  <c r="D31"/>
  <c r="G31" s="1"/>
  <c r="B32"/>
  <c r="D32"/>
  <c r="G32" s="1"/>
  <c r="B33"/>
  <c r="D33"/>
  <c r="G33" s="1"/>
  <c r="B34"/>
  <c r="B34" i="1"/>
  <c r="B32"/>
  <c r="B30"/>
  <c r="B28"/>
  <c r="B26"/>
  <c r="B24"/>
  <c r="B22"/>
  <c r="B20"/>
  <c r="B18"/>
  <c r="B16"/>
  <c r="D34"/>
  <c r="G34" s="1"/>
  <c r="D32"/>
  <c r="G32" s="1"/>
  <c r="D30"/>
  <c r="G30" s="1"/>
  <c r="D28"/>
  <c r="G28" s="1"/>
  <c r="D26"/>
  <c r="G26" s="1"/>
  <c r="D24"/>
  <c r="G24" s="1"/>
  <c r="D22"/>
  <c r="G22" s="1"/>
  <c r="D20"/>
  <c r="G20" s="1"/>
  <c r="D18"/>
  <c r="G18" s="1"/>
  <c r="D16"/>
  <c r="G16" s="1"/>
  <c r="T16"/>
  <c r="X16" s="1"/>
  <c r="W16"/>
  <c r="B15"/>
  <c r="B33"/>
  <c r="B31"/>
  <c r="B29"/>
  <c r="B27"/>
  <c r="B25"/>
  <c r="B23"/>
  <c r="B21"/>
  <c r="B19"/>
  <c r="B17"/>
  <c r="D15"/>
  <c r="G15" s="1"/>
  <c r="D33"/>
  <c r="G33" s="1"/>
  <c r="D31"/>
  <c r="G31" s="1"/>
  <c r="D29"/>
  <c r="G29" s="1"/>
  <c r="D27"/>
  <c r="G27" s="1"/>
  <c r="D25"/>
  <c r="G25" s="1"/>
  <c r="D23"/>
  <c r="G23" s="1"/>
  <c r="D21"/>
  <c r="G21" s="1"/>
  <c r="D19"/>
  <c r="G19" s="1"/>
  <c r="D17"/>
  <c r="G17" s="1"/>
  <c r="T15"/>
  <c r="X15" s="1"/>
  <c r="W15"/>
  <c r="T17"/>
  <c r="X17" s="1"/>
  <c r="K34" i="16" l="1"/>
  <c r="H34"/>
  <c r="M34" s="1"/>
  <c r="P34"/>
  <c r="N34"/>
  <c r="L34"/>
  <c r="I34"/>
  <c r="K33"/>
  <c r="H33"/>
  <c r="M33" s="1"/>
  <c r="P33"/>
  <c r="N33"/>
  <c r="L33"/>
  <c r="I33"/>
  <c r="K32"/>
  <c r="H32"/>
  <c r="M32" s="1"/>
  <c r="P32"/>
  <c r="N32"/>
  <c r="L32"/>
  <c r="I32"/>
  <c r="O31"/>
  <c r="K31"/>
  <c r="H31"/>
  <c r="M31" s="1"/>
  <c r="P31"/>
  <c r="N31"/>
  <c r="L31"/>
  <c r="I31"/>
  <c r="O30"/>
  <c r="K30"/>
  <c r="H30"/>
  <c r="M30" s="1"/>
  <c r="P30"/>
  <c r="N30"/>
  <c r="L30"/>
  <c r="I30"/>
  <c r="O29"/>
  <c r="K29"/>
  <c r="H29"/>
  <c r="M29" s="1"/>
  <c r="P29"/>
  <c r="N29"/>
  <c r="L29"/>
  <c r="I29"/>
  <c r="O28"/>
  <c r="K28"/>
  <c r="H28"/>
  <c r="M28" s="1"/>
  <c r="P28"/>
  <c r="N28"/>
  <c r="L28"/>
  <c r="I28"/>
  <c r="O27"/>
  <c r="K27"/>
  <c r="H27"/>
  <c r="M27" s="1"/>
  <c r="P27"/>
  <c r="N27"/>
  <c r="L27"/>
  <c r="I27"/>
  <c r="O26"/>
  <c r="K26"/>
  <c r="H26"/>
  <c r="M26" s="1"/>
  <c r="P26"/>
  <c r="N26"/>
  <c r="L26"/>
  <c r="I26"/>
  <c r="O25"/>
  <c r="K25"/>
  <c r="H25"/>
  <c r="M25" s="1"/>
  <c r="P25"/>
  <c r="N25"/>
  <c r="L25"/>
  <c r="I25"/>
  <c r="O24"/>
  <c r="K24"/>
  <c r="H24"/>
  <c r="M24" s="1"/>
  <c r="P24"/>
  <c r="N24"/>
  <c r="L24"/>
  <c r="I24"/>
  <c r="H23"/>
  <c r="M23" s="1"/>
  <c r="H22"/>
  <c r="O22" s="1"/>
  <c r="N22"/>
  <c r="I22"/>
  <c r="H21"/>
  <c r="O21" s="1"/>
  <c r="N21"/>
  <c r="I21"/>
  <c r="H20"/>
  <c r="O20" s="1"/>
  <c r="N20"/>
  <c r="I20"/>
  <c r="H19"/>
  <c r="O19" s="1"/>
  <c r="N19"/>
  <c r="I19"/>
  <c r="H18"/>
  <c r="O18" s="1"/>
  <c r="N18"/>
  <c r="I18"/>
  <c r="H17"/>
  <c r="O17" s="1"/>
  <c r="N17"/>
  <c r="I17"/>
  <c r="H16"/>
  <c r="O16" s="1"/>
  <c r="N16"/>
  <c r="I16"/>
  <c r="H15"/>
  <c r="O15" s="1"/>
  <c r="I15"/>
  <c r="H19" i="1"/>
  <c r="O19" s="1"/>
  <c r="H23"/>
  <c r="O23" s="1"/>
  <c r="H27"/>
  <c r="O27" s="1"/>
  <c r="I31"/>
  <c r="H31"/>
  <c r="O31" s="1"/>
  <c r="H15"/>
  <c r="O15" s="1"/>
  <c r="H18"/>
  <c r="O18" s="1"/>
  <c r="H22"/>
  <c r="O22" s="1"/>
  <c r="H26"/>
  <c r="O26" s="1"/>
  <c r="H30"/>
  <c r="O30" s="1"/>
  <c r="H34"/>
  <c r="O34" s="1"/>
  <c r="H17"/>
  <c r="O17" s="1"/>
  <c r="H21"/>
  <c r="O21" s="1"/>
  <c r="H25"/>
  <c r="O25" s="1"/>
  <c r="H29"/>
  <c r="O29" s="1"/>
  <c r="I33"/>
  <c r="H33"/>
  <c r="O33" s="1"/>
  <c r="H16"/>
  <c r="O16" s="1"/>
  <c r="H20"/>
  <c r="O20" s="1"/>
  <c r="H24"/>
  <c r="O24" s="1"/>
  <c r="I28"/>
  <c r="H28"/>
  <c r="O28" s="1"/>
  <c r="H32"/>
  <c r="O32" s="1"/>
  <c r="N15" i="16" l="1"/>
  <c r="M15"/>
  <c r="M16"/>
  <c r="M17"/>
  <c r="M18"/>
  <c r="M19"/>
  <c r="M20"/>
  <c r="M21"/>
  <c r="M22"/>
  <c r="I23"/>
  <c r="N23"/>
  <c r="L15"/>
  <c r="P15"/>
  <c r="K15"/>
  <c r="L16"/>
  <c r="P16"/>
  <c r="K16"/>
  <c r="L17"/>
  <c r="P17"/>
  <c r="K17"/>
  <c r="L18"/>
  <c r="P18"/>
  <c r="K18"/>
  <c r="L19"/>
  <c r="P19"/>
  <c r="K19"/>
  <c r="L20"/>
  <c r="P20"/>
  <c r="K20"/>
  <c r="L21"/>
  <c r="P21"/>
  <c r="K21"/>
  <c r="L22"/>
  <c r="P22"/>
  <c r="K22"/>
  <c r="L23"/>
  <c r="P23"/>
  <c r="K23"/>
  <c r="O23"/>
  <c r="O32"/>
  <c r="O33"/>
  <c r="O34"/>
  <c r="I20" i="1"/>
  <c r="I17"/>
  <c r="I26"/>
  <c r="I23"/>
  <c r="N28"/>
  <c r="N20"/>
  <c r="I25"/>
  <c r="I18"/>
  <c r="N31"/>
  <c r="N23"/>
  <c r="L32"/>
  <c r="I32"/>
  <c r="N32"/>
  <c r="L28"/>
  <c r="P28"/>
  <c r="I24"/>
  <c r="N24"/>
  <c r="L20"/>
  <c r="P20"/>
  <c r="I16"/>
  <c r="N16"/>
  <c r="L33"/>
  <c r="P33"/>
  <c r="I29"/>
  <c r="N29"/>
  <c r="L25"/>
  <c r="P25"/>
  <c r="I21"/>
  <c r="N21"/>
  <c r="L17"/>
  <c r="P17"/>
  <c r="I34"/>
  <c r="N34"/>
  <c r="L30"/>
  <c r="P30"/>
  <c r="N26"/>
  <c r="L22"/>
  <c r="P22"/>
  <c r="N18"/>
  <c r="L15"/>
  <c r="P15"/>
  <c r="L27"/>
  <c r="P27"/>
  <c r="L19"/>
  <c r="P19"/>
  <c r="P32"/>
  <c r="L24"/>
  <c r="P24"/>
  <c r="L16"/>
  <c r="P16"/>
  <c r="N33"/>
  <c r="L29"/>
  <c r="P29"/>
  <c r="N25"/>
  <c r="L21"/>
  <c r="P21"/>
  <c r="N17"/>
  <c r="L34"/>
  <c r="P34"/>
  <c r="I30"/>
  <c r="N30"/>
  <c r="L26"/>
  <c r="P26"/>
  <c r="I22"/>
  <c r="N22"/>
  <c r="L18"/>
  <c r="P18"/>
  <c r="I15"/>
  <c r="N15"/>
  <c r="L31"/>
  <c r="P31"/>
  <c r="I27"/>
  <c r="N27"/>
  <c r="L23"/>
  <c r="P23"/>
  <c r="I19"/>
  <c r="N19"/>
  <c r="K32"/>
  <c r="M32"/>
  <c r="K28"/>
  <c r="M28"/>
  <c r="K24"/>
  <c r="M24"/>
  <c r="K20"/>
  <c r="M20"/>
  <c r="K16"/>
  <c r="M16"/>
  <c r="K33"/>
  <c r="M33"/>
  <c r="K29"/>
  <c r="M29"/>
  <c r="K25"/>
  <c r="M25"/>
  <c r="K21"/>
  <c r="M21"/>
  <c r="K17"/>
  <c r="M17"/>
  <c r="K34"/>
  <c r="M34"/>
  <c r="K30"/>
  <c r="M30"/>
  <c r="K26"/>
  <c r="M26"/>
  <c r="K22"/>
  <c r="M22"/>
  <c r="K18"/>
  <c r="M18"/>
  <c r="K15"/>
  <c r="M15"/>
  <c r="K31"/>
  <c r="M31"/>
  <c r="K27"/>
  <c r="M27"/>
  <c r="K23"/>
  <c r="M23"/>
  <c r="K19"/>
  <c r="M19"/>
</calcChain>
</file>

<file path=xl/sharedStrings.xml><?xml version="1.0" encoding="utf-8"?>
<sst xmlns="http://schemas.openxmlformats.org/spreadsheetml/2006/main" count="117" uniqueCount="71">
  <si>
    <t>Wire Diameter:</t>
  </si>
  <si>
    <t>Cross-sectional Area:</t>
  </si>
  <si>
    <t>mm</t>
  </si>
  <si>
    <t>cm^2</t>
  </si>
  <si>
    <t>Density:</t>
  </si>
  <si>
    <t>g/cm^3</t>
  </si>
  <si>
    <t>Resistivity:</t>
  </si>
  <si>
    <t>ohm mm^2/m</t>
  </si>
  <si>
    <t>Flux Density [B]:</t>
  </si>
  <si>
    <t>T</t>
  </si>
  <si>
    <t>L wire</t>
  </si>
  <si>
    <t>Mass</t>
  </si>
  <si>
    <t>BL</t>
  </si>
  <si>
    <t>DCR</t>
  </si>
  <si>
    <t>DCR ||</t>
  </si>
  <si>
    <t>Mass ||</t>
  </si>
  <si>
    <t>noS/no||</t>
  </si>
  <si>
    <t>Cone Mass</t>
  </si>
  <si>
    <t>Zn</t>
  </si>
  <si>
    <t>Rdc</t>
  </si>
  <si>
    <t>Obs</t>
  </si>
  <si>
    <t>Mvc</t>
  </si>
  <si>
    <t>Len Wire</t>
  </si>
  <si>
    <t>2 Layer Parallel</t>
  </si>
  <si>
    <t xml:space="preserve">Single layer </t>
  </si>
  <si>
    <t>6mm Hvc</t>
  </si>
  <si>
    <t>4 Layer 2 S 2 P</t>
  </si>
  <si>
    <t>BL^2/Rdc</t>
  </si>
  <si>
    <t>Number of turns:</t>
  </si>
  <si>
    <t>Voice Coil Height:</t>
  </si>
  <si>
    <t>Voice Coil Radius:</t>
  </si>
  <si>
    <t>Core permeability:</t>
  </si>
  <si>
    <t>Calculated Inductance at x=0:</t>
  </si>
  <si>
    <t>Avg B value:</t>
  </si>
  <si>
    <t>Avg H value:</t>
  </si>
  <si>
    <t>Air permeability:</t>
  </si>
  <si>
    <t>H</t>
  </si>
  <si>
    <t>mH</t>
  </si>
  <si>
    <t>b 3"</t>
  </si>
  <si>
    <t>Sim</t>
  </si>
  <si>
    <t>Mas liber</t>
  </si>
  <si>
    <t>mas otel</t>
  </si>
  <si>
    <t>catalog</t>
  </si>
  <si>
    <t>1.5m</t>
  </si>
  <si>
    <t>1.11m</t>
  </si>
  <si>
    <t>0.95m</t>
  </si>
  <si>
    <t>b4"</t>
  </si>
  <si>
    <t>1.868m</t>
  </si>
  <si>
    <t>2.75m</t>
  </si>
  <si>
    <t>2.6m</t>
  </si>
  <si>
    <t>1.63m</t>
  </si>
  <si>
    <t xml:space="preserve">2" </t>
  </si>
  <si>
    <t>mas free</t>
  </si>
  <si>
    <t>mas  2.24</t>
  </si>
  <si>
    <t>A</t>
  </si>
  <si>
    <t>V</t>
  </si>
  <si>
    <t>Fs</t>
  </si>
  <si>
    <t>Qes</t>
  </si>
  <si>
    <t>SPL</t>
  </si>
  <si>
    <t>Mms</t>
  </si>
  <si>
    <t>B</t>
  </si>
  <si>
    <t>Temp</t>
  </si>
  <si>
    <t>266 vas</t>
  </si>
  <si>
    <t>I</t>
  </si>
  <si>
    <t>6hours</t>
  </si>
  <si>
    <t>2.5A</t>
  </si>
  <si>
    <t>54.5deg</t>
  </si>
  <si>
    <t>VC Radius:</t>
  </si>
  <si>
    <t>Circ:</t>
  </si>
  <si>
    <t>VC h mm</t>
  </si>
  <si>
    <t>Turns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</si>
</sst>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3" xfId="0" applyNumberFormat="1" applyBorder="1"/>
    <xf numFmtId="0" fontId="0" fillId="0" borderId="1" xfId="0" applyBorder="1"/>
    <xf numFmtId="0" fontId="0" fillId="0" borderId="1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20" fontId="0" fillId="0" borderId="0" xfId="0" applyNumberFormat="1"/>
    <xf numFmtId="0" fontId="0" fillId="0" borderId="2" xfId="0" applyFill="1" applyBorder="1"/>
    <xf numFmtId="0" fontId="0" fillId="4" borderId="1" xfId="0" applyFill="1" applyBorder="1"/>
    <xf numFmtId="0" fontId="0" fillId="4" borderId="0" xfId="0" applyFill="1"/>
    <xf numFmtId="0" fontId="0" fillId="5" borderId="7" xfId="0" applyFill="1" applyBorder="1"/>
    <xf numFmtId="0" fontId="0" fillId="5" borderId="8" xfId="0" applyFill="1" applyBorder="1"/>
    <xf numFmtId="20" fontId="0" fillId="5" borderId="9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2" fontId="0" fillId="5" borderId="9" xfId="0" applyNumberFormat="1" applyFill="1" applyBorder="1"/>
    <xf numFmtId="2" fontId="0" fillId="5" borderId="0" xfId="0" applyNumberFormat="1" applyFill="1" applyBorder="1"/>
    <xf numFmtId="2" fontId="0" fillId="5" borderId="12" xfId="0" applyNumberFormat="1" applyFill="1" applyBorder="1"/>
    <xf numFmtId="0" fontId="1" fillId="6" borderId="5" xfId="0" applyFont="1" applyFill="1" applyBorder="1"/>
    <xf numFmtId="0" fontId="1" fillId="6" borderId="14" xfId="0" applyFont="1" applyFill="1" applyBorder="1"/>
    <xf numFmtId="0" fontId="1" fillId="6" borderId="6" xfId="0" applyFont="1" applyFill="1" applyBorder="1"/>
    <xf numFmtId="2" fontId="0" fillId="5" borderId="8" xfId="0" applyNumberFormat="1" applyFill="1" applyBorder="1"/>
    <xf numFmtId="2" fontId="0" fillId="5" borderId="1" xfId="0" applyNumberFormat="1" applyFill="1" applyBorder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'[1]Input - mech'!$A$15:$A$114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'[1]Input - mech'!$B$15:$B$114</c:f>
              <c:numCache>
                <c:formatCode>0.00</c:formatCode>
                <c:ptCount val="100"/>
                <c:pt idx="0">
                  <c:v>4.9086050000000013E-2</c:v>
                </c:pt>
                <c:pt idx="1">
                  <c:v>9.8172100000000026E-2</c:v>
                </c:pt>
                <c:pt idx="2">
                  <c:v>0.14725815000000003</c:v>
                </c:pt>
                <c:pt idx="3">
                  <c:v>0.19634420000000005</c:v>
                </c:pt>
                <c:pt idx="4">
                  <c:v>0.24543025000000004</c:v>
                </c:pt>
                <c:pt idx="5">
                  <c:v>0.29451630000000006</c:v>
                </c:pt>
                <c:pt idx="6">
                  <c:v>0.34360235000000006</c:v>
                </c:pt>
                <c:pt idx="7">
                  <c:v>0.3926884000000001</c:v>
                </c:pt>
                <c:pt idx="8">
                  <c:v>0.4417744500000001</c:v>
                </c:pt>
                <c:pt idx="9">
                  <c:v>0.49086050000000009</c:v>
                </c:pt>
                <c:pt idx="10">
                  <c:v>0.53994655000000003</c:v>
                </c:pt>
                <c:pt idx="11">
                  <c:v>0.58903260000000013</c:v>
                </c:pt>
                <c:pt idx="12">
                  <c:v>0.63811865000000023</c:v>
                </c:pt>
                <c:pt idx="13">
                  <c:v>0.68720470000000011</c:v>
                </c:pt>
                <c:pt idx="14">
                  <c:v>0.7362907500000001</c:v>
                </c:pt>
                <c:pt idx="15">
                  <c:v>0.78537680000000021</c:v>
                </c:pt>
                <c:pt idx="16">
                  <c:v>0.83446285000000009</c:v>
                </c:pt>
                <c:pt idx="17">
                  <c:v>0.88354890000000019</c:v>
                </c:pt>
                <c:pt idx="18">
                  <c:v>0.93263495000000007</c:v>
                </c:pt>
                <c:pt idx="19">
                  <c:v>0.98172100000000018</c:v>
                </c:pt>
              </c:numCache>
            </c:numRef>
          </c:yVal>
          <c:smooth val="1"/>
        </c:ser>
        <c:axId val="69415680"/>
        <c:axId val="69417216"/>
      </c:scatterChart>
      <c:valAx>
        <c:axId val="69415680"/>
        <c:scaling>
          <c:orientation val="minMax"/>
        </c:scaling>
        <c:axPos val="b"/>
        <c:numFmt formatCode="General" sourceLinked="1"/>
        <c:tickLblPos val="nextTo"/>
        <c:crossAx val="69417216"/>
        <c:crosses val="autoZero"/>
        <c:crossBetween val="midCat"/>
      </c:valAx>
      <c:valAx>
        <c:axId val="69417216"/>
        <c:scaling>
          <c:orientation val="minMax"/>
        </c:scaling>
        <c:axPos val="l"/>
        <c:majorGridlines/>
        <c:numFmt formatCode="0.00" sourceLinked="1"/>
        <c:tickLblPos val="nextTo"/>
        <c:crossAx val="6941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Cone Mass 1g</c:v>
          </c:tx>
          <c:marker>
            <c:symbol val="none"/>
          </c:marker>
          <c:xVal>
            <c:numRef>
              <c:f>ECW!$A$15:$A$34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ECW!$K$15:$K$34</c:f>
              <c:numCache>
                <c:formatCode>General</c:formatCode>
                <c:ptCount val="20"/>
                <c:pt idx="0">
                  <c:v>0.56831650343274731</c:v>
                </c:pt>
                <c:pt idx="1">
                  <c:v>0.62020855108043071</c:v>
                </c:pt>
                <c:pt idx="2">
                  <c:v>0.66096362275286691</c:v>
                </c:pt>
                <c:pt idx="3">
                  <c:v>0.69381956419501489</c:v>
                </c:pt>
                <c:pt idx="4">
                  <c:v>0.72086999240766381</c:v>
                </c:pt>
                <c:pt idx="5">
                  <c:v>0.74352871657666231</c:v>
                </c:pt>
                <c:pt idx="6">
                  <c:v>0.76278494272679653</c:v>
                </c:pt>
                <c:pt idx="7">
                  <c:v>0.77935154065580248</c:v>
                </c:pt>
                <c:pt idx="8">
                  <c:v>0.79375523861693942</c:v>
                </c:pt>
                <c:pt idx="9">
                  <c:v>0.80639365590731682</c:v>
                </c:pt>
                <c:pt idx="10">
                  <c:v>0.81757257692599583</c:v>
                </c:pt>
                <c:pt idx="11">
                  <c:v>0.82753101682193486</c:v>
                </c:pt>
                <c:pt idx="12">
                  <c:v>0.83645850232621421</c:v>
                </c:pt>
                <c:pt idx="13">
                  <c:v>0.84450724969399038</c:v>
                </c:pt>
                <c:pt idx="14">
                  <c:v>0.8518009152775472</c:v>
                </c:pt>
                <c:pt idx="15">
                  <c:v>0.85844099367627613</c:v>
                </c:pt>
                <c:pt idx="16">
                  <c:v>0.86451156962804632</c:v>
                </c:pt>
                <c:pt idx="17">
                  <c:v>0.8700828975047602</c:v>
                </c:pt>
                <c:pt idx="18">
                  <c:v>0.87521413254854674</c:v>
                </c:pt>
                <c:pt idx="19">
                  <c:v>0.87995543945912724</c:v>
                </c:pt>
              </c:numCache>
            </c:numRef>
          </c:yVal>
          <c:smooth val="1"/>
        </c:ser>
        <c:ser>
          <c:idx val="1"/>
          <c:order val="1"/>
          <c:tx>
            <c:v>Cone Mass 3g</c:v>
          </c:tx>
          <c:marker>
            <c:symbol val="none"/>
          </c:marker>
          <c:xVal>
            <c:numRef>
              <c:f>ECW!$A$15:$A$34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ECW!$L$15:$L$34</c:f>
              <c:numCache>
                <c:formatCode>General</c:formatCode>
                <c:ptCount val="20"/>
                <c:pt idx="0">
                  <c:v>0.52505433378421507</c:v>
                </c:pt>
                <c:pt idx="1">
                  <c:v>0.54771760210727427</c:v>
                </c:pt>
                <c:pt idx="2">
                  <c:v>0.5683165034327472</c:v>
                </c:pt>
                <c:pt idx="3">
                  <c:v>0.58712081175351438</c:v>
                </c:pt>
                <c:pt idx="4">
                  <c:v>0.60435525732734052</c:v>
                </c:pt>
                <c:pt idx="5">
                  <c:v>0.6202085510804306</c:v>
                </c:pt>
                <c:pt idx="6">
                  <c:v>0.63484032297643112</c:v>
                </c:pt>
                <c:pt idx="7">
                  <c:v>0.64838651604482656</c:v>
                </c:pt>
                <c:pt idx="8">
                  <c:v>0.6609636227528668</c:v>
                </c:pt>
                <c:pt idx="9">
                  <c:v>0.67267204357389765</c:v>
                </c:pt>
                <c:pt idx="10">
                  <c:v>0.68359877286948068</c:v>
                </c:pt>
                <c:pt idx="11">
                  <c:v>0.69381956419501489</c:v>
                </c:pt>
                <c:pt idx="12">
                  <c:v>0.70340068905951936</c:v>
                </c:pt>
                <c:pt idx="13">
                  <c:v>0.71240037549006996</c:v>
                </c:pt>
                <c:pt idx="14">
                  <c:v>0.72086999240766381</c:v>
                </c:pt>
                <c:pt idx="15">
                  <c:v>0.72885503071530211</c:v>
                </c:pt>
                <c:pt idx="16">
                  <c:v>0.73639592067415172</c:v>
                </c:pt>
                <c:pt idx="17">
                  <c:v>0.74352871657666231</c:v>
                </c:pt>
                <c:pt idx="18">
                  <c:v>0.75028567318987072</c:v>
                </c:pt>
                <c:pt idx="19">
                  <c:v>0.75669573341638108</c:v>
                </c:pt>
              </c:numCache>
            </c:numRef>
          </c:yVal>
          <c:smooth val="1"/>
        </c:ser>
        <c:ser>
          <c:idx val="2"/>
          <c:order val="2"/>
          <c:tx>
            <c:v>Cone Mass 6g</c:v>
          </c:tx>
          <c:marker>
            <c:symbol val="none"/>
          </c:marker>
          <c:xVal>
            <c:numRef>
              <c:f>ECW!$A$15:$A$34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ECW!$M$15:$M$34</c:f>
              <c:numCache>
                <c:formatCode>General</c:formatCode>
                <c:ptCount val="20"/>
                <c:pt idx="0">
                  <c:v>0.51284909234042886</c:v>
                </c:pt>
                <c:pt idx="1">
                  <c:v>0.52505433378421507</c:v>
                </c:pt>
                <c:pt idx="2">
                  <c:v>0.53666293525883857</c:v>
                </c:pt>
                <c:pt idx="3">
                  <c:v>0.54771760210727427</c:v>
                </c:pt>
                <c:pt idx="4">
                  <c:v>0.55825705905219636</c:v>
                </c:pt>
                <c:pt idx="5">
                  <c:v>0.5683165034327472</c:v>
                </c:pt>
                <c:pt idx="6">
                  <c:v>0.57792799789301663</c:v>
                </c:pt>
                <c:pt idx="7">
                  <c:v>0.58712081175351438</c:v>
                </c:pt>
                <c:pt idx="8">
                  <c:v>0.5959217187227247</c:v>
                </c:pt>
                <c:pt idx="9">
                  <c:v>0.60435525732734052</c:v>
                </c:pt>
                <c:pt idx="10">
                  <c:v>0.61244395939652874</c:v>
                </c:pt>
                <c:pt idx="11">
                  <c:v>0.6202085510804306</c:v>
                </c:pt>
                <c:pt idx="12">
                  <c:v>0.62766813017913625</c:v>
                </c:pt>
                <c:pt idx="13">
                  <c:v>0.63484032297643112</c:v>
                </c:pt>
                <c:pt idx="14">
                  <c:v>0.64174142328967354</c:v>
                </c:pt>
                <c:pt idx="15">
                  <c:v>0.64838651604482656</c:v>
                </c:pt>
                <c:pt idx="16">
                  <c:v>0.65478958734928117</c:v>
                </c:pt>
                <c:pt idx="17">
                  <c:v>0.6609636227528668</c:v>
                </c:pt>
                <c:pt idx="18">
                  <c:v>0.66692069514983243</c:v>
                </c:pt>
                <c:pt idx="19">
                  <c:v>0.67267204357389765</c:v>
                </c:pt>
              </c:numCache>
            </c:numRef>
          </c:yVal>
          <c:smooth val="1"/>
        </c:ser>
        <c:ser>
          <c:idx val="3"/>
          <c:order val="3"/>
          <c:tx>
            <c:v>Cone Mass 9g</c:v>
          </c:tx>
          <c:marker>
            <c:symbol val="none"/>
          </c:marker>
          <c:xVal>
            <c:numRef>
              <c:f>ECW!$A$15:$A$34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ECW!$N$15:$N$34</c:f>
              <c:numCache>
                <c:formatCode>General</c:formatCode>
                <c:ptCount val="20"/>
                <c:pt idx="0">
                  <c:v>0.50864007295712199</c:v>
                </c:pt>
                <c:pt idx="1">
                  <c:v>0.51698661473306762</c:v>
                </c:pt>
                <c:pt idx="2">
                  <c:v>0.52505433378421507</c:v>
                </c:pt>
                <c:pt idx="3">
                  <c:v>0.53285697201626403</c:v>
                </c:pt>
                <c:pt idx="4">
                  <c:v>0.54040738289580126</c:v>
                </c:pt>
                <c:pt idx="5">
                  <c:v>0.54771760210727416</c:v>
                </c:pt>
                <c:pt idx="6">
                  <c:v>0.55479891157237904</c:v>
                </c:pt>
                <c:pt idx="7">
                  <c:v>0.56166189754811202</c:v>
                </c:pt>
                <c:pt idx="8">
                  <c:v>0.56831650343274709</c:v>
                </c:pt>
                <c:pt idx="9">
                  <c:v>0.57477207783371875</c:v>
                </c:pt>
                <c:pt idx="10">
                  <c:v>0.58103741838608902</c:v>
                </c:pt>
                <c:pt idx="11">
                  <c:v>0.58712081175351438</c:v>
                </c:pt>
                <c:pt idx="12">
                  <c:v>0.59303007019417353</c:v>
                </c:pt>
                <c:pt idx="13">
                  <c:v>0.59877256503094267</c:v>
                </c:pt>
                <c:pt idx="14">
                  <c:v>0.60435525732734063</c:v>
                </c:pt>
                <c:pt idx="15">
                  <c:v>0.60978472603766054</c:v>
                </c:pt>
                <c:pt idx="16">
                  <c:v>0.61506719387063791</c:v>
                </c:pt>
                <c:pt idx="17">
                  <c:v>0.6202085510804306</c:v>
                </c:pt>
                <c:pt idx="18">
                  <c:v>0.62521437737614094</c:v>
                </c:pt>
                <c:pt idx="19">
                  <c:v>0.63008996212121215</c:v>
                </c:pt>
              </c:numCache>
            </c:numRef>
          </c:yVal>
          <c:smooth val="1"/>
        </c:ser>
        <c:ser>
          <c:idx val="4"/>
          <c:order val="4"/>
          <c:tx>
            <c:v>Cone Mass 12g</c:v>
          </c:tx>
          <c:marker>
            <c:symbol val="none"/>
          </c:marker>
          <c:xVal>
            <c:numRef>
              <c:f>ECW!$A$15:$A$34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ECW!$O$15:$O$34</c:f>
              <c:numCache>
                <c:formatCode>General</c:formatCode>
                <c:ptCount val="20"/>
                <c:pt idx="0">
                  <c:v>0.50650817025073325</c:v>
                </c:pt>
                <c:pt idx="1">
                  <c:v>0.51284909234042886</c:v>
                </c:pt>
                <c:pt idx="2">
                  <c:v>0.51902913144356666</c:v>
                </c:pt>
                <c:pt idx="3">
                  <c:v>0.52505433378421507</c:v>
                </c:pt>
                <c:pt idx="4">
                  <c:v>0.53093044636658726</c:v>
                </c:pt>
                <c:pt idx="5">
                  <c:v>0.53666293525883857</c:v>
                </c:pt>
                <c:pt idx="6">
                  <c:v>0.54225700255237497</c:v>
                </c:pt>
                <c:pt idx="7">
                  <c:v>0.54771760210727427</c:v>
                </c:pt>
                <c:pt idx="8">
                  <c:v>0.55304945418399354</c:v>
                </c:pt>
                <c:pt idx="9">
                  <c:v>0.55825705905219636</c:v>
                </c:pt>
                <c:pt idx="10">
                  <c:v>0.56334470965916439</c:v>
                </c:pt>
                <c:pt idx="11">
                  <c:v>0.5683165034327472</c:v>
                </c:pt>
                <c:pt idx="12">
                  <c:v>0.57317635328705419</c:v>
                </c:pt>
                <c:pt idx="13">
                  <c:v>0.57792799789301663</c:v>
                </c:pt>
                <c:pt idx="14">
                  <c:v>0.58257501127047473</c:v>
                </c:pt>
                <c:pt idx="15">
                  <c:v>0.58712081175351438</c:v>
                </c:pt>
                <c:pt idx="16">
                  <c:v>0.59156867037631233</c:v>
                </c:pt>
                <c:pt idx="17">
                  <c:v>0.5959217187227247</c:v>
                </c:pt>
                <c:pt idx="18">
                  <c:v>0.6001829562792067</c:v>
                </c:pt>
                <c:pt idx="19">
                  <c:v>0.60435525732734052</c:v>
                </c:pt>
              </c:numCache>
            </c:numRef>
          </c:yVal>
          <c:smooth val="1"/>
        </c:ser>
        <c:ser>
          <c:idx val="5"/>
          <c:order val="5"/>
          <c:tx>
            <c:v>Cone Mass 15g</c:v>
          </c:tx>
          <c:marker>
            <c:symbol val="none"/>
          </c:marker>
          <c:xVal>
            <c:numRef>
              <c:f>ECW!$A$15:$A$34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ECW!$P$15:$P$34</c:f>
              <c:numCache>
                <c:formatCode>General</c:formatCode>
                <c:ptCount val="20"/>
                <c:pt idx="0">
                  <c:v>0.5052201255870068</c:v>
                </c:pt>
                <c:pt idx="1">
                  <c:v>0.51033237854676061</c:v>
                </c:pt>
                <c:pt idx="2">
                  <c:v>0.51534006842622782</c:v>
                </c:pt>
                <c:pt idx="3">
                  <c:v>0.52024637075974556</c:v>
                </c:pt>
                <c:pt idx="4">
                  <c:v>0.52505433378421507</c:v>
                </c:pt>
                <c:pt idx="5">
                  <c:v>0.52976688475451572</c:v>
                </c:pt>
                <c:pt idx="6">
                  <c:v>0.53438683588663172</c:v>
                </c:pt>
                <c:pt idx="7">
                  <c:v>0.53891688995384734</c:v>
                </c:pt>
                <c:pt idx="8">
                  <c:v>0.54335964555941008</c:v>
                </c:pt>
                <c:pt idx="9">
                  <c:v>0.54771760210727416</c:v>
                </c:pt>
                <c:pt idx="10">
                  <c:v>0.55199316449090663</c:v>
                </c:pt>
                <c:pt idx="11">
                  <c:v>0.55618864751863306</c:v>
                </c:pt>
                <c:pt idx="12">
                  <c:v>0.56030628009263816</c:v>
                </c:pt>
                <c:pt idx="13">
                  <c:v>0.5643482091574703</c:v>
                </c:pt>
                <c:pt idx="14">
                  <c:v>0.5683165034327472</c:v>
                </c:pt>
                <c:pt idx="15">
                  <c:v>0.57221315694369923</c:v>
                </c:pt>
                <c:pt idx="16">
                  <c:v>0.57604009236220965</c:v>
                </c:pt>
                <c:pt idx="17">
                  <c:v>0.57979916417011346</c:v>
                </c:pt>
                <c:pt idx="18">
                  <c:v>0.58349216165568862</c:v>
                </c:pt>
                <c:pt idx="19">
                  <c:v>0.58712081175351438</c:v>
                </c:pt>
              </c:numCache>
            </c:numRef>
          </c:yVal>
          <c:smooth val="1"/>
        </c:ser>
        <c:axId val="60865536"/>
        <c:axId val="60875904"/>
      </c:scatterChart>
      <c:valAx>
        <c:axId val="608655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>
                    <a:latin typeface="Tw Cen MT" pitchFamily="34" charset="0"/>
                  </a:rPr>
                  <a:t>Wire Length [m]</a:t>
                </a:r>
              </a:p>
            </c:rich>
          </c:tx>
        </c:title>
        <c:numFmt formatCode="General" sourceLinked="1"/>
        <c:tickLblPos val="nextTo"/>
        <c:crossAx val="60875904"/>
        <c:crosses val="autoZero"/>
        <c:crossBetween val="midCat"/>
      </c:valAx>
      <c:valAx>
        <c:axId val="60875904"/>
        <c:scaling>
          <c:orientation val="minMax"/>
          <c:min val="0.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baseline="0">
                    <a:latin typeface="Tw Cen MT" pitchFamily="34" charset="0"/>
                  </a:defRPr>
                </a:pPr>
                <a:r>
                  <a:rPr lang="en-US" baseline="0">
                    <a:latin typeface="Tw Cen MT" pitchFamily="34" charset="0"/>
                  </a:rPr>
                  <a:t>Lower Mass Higher Rdc Eff/Higher Mass Lower Rdc Eff</a:t>
                </a:r>
              </a:p>
            </c:rich>
          </c:tx>
        </c:title>
        <c:numFmt formatCode="General" sourceLinked="1"/>
        <c:tickLblPos val="nextTo"/>
        <c:crossAx val="60865536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ECW!$A$15:$A$114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ECW!$B$15:$B$114</c:f>
              <c:numCache>
                <c:formatCode>0.00</c:formatCode>
                <c:ptCount val="100"/>
                <c:pt idx="0">
                  <c:v>0.15825600000000004</c:v>
                </c:pt>
                <c:pt idx="1">
                  <c:v>0.31651200000000007</c:v>
                </c:pt>
                <c:pt idx="2">
                  <c:v>0.47476800000000013</c:v>
                </c:pt>
                <c:pt idx="3">
                  <c:v>0.63302400000000014</c:v>
                </c:pt>
                <c:pt idx="4">
                  <c:v>0.79128000000000009</c:v>
                </c:pt>
                <c:pt idx="5">
                  <c:v>0.94953600000000027</c:v>
                </c:pt>
                <c:pt idx="6">
                  <c:v>1.1077920000000001</c:v>
                </c:pt>
                <c:pt idx="7">
                  <c:v>1.2660480000000003</c:v>
                </c:pt>
                <c:pt idx="8">
                  <c:v>1.4243040000000005</c:v>
                </c:pt>
                <c:pt idx="9">
                  <c:v>1.5825600000000002</c:v>
                </c:pt>
                <c:pt idx="10">
                  <c:v>1.7408160000000001</c:v>
                </c:pt>
                <c:pt idx="11">
                  <c:v>1.8990720000000005</c:v>
                </c:pt>
                <c:pt idx="12">
                  <c:v>2.0573280000000005</c:v>
                </c:pt>
                <c:pt idx="13">
                  <c:v>2.2155840000000002</c:v>
                </c:pt>
                <c:pt idx="14">
                  <c:v>2.3738400000000004</c:v>
                </c:pt>
                <c:pt idx="15">
                  <c:v>2.5320960000000006</c:v>
                </c:pt>
                <c:pt idx="16">
                  <c:v>2.6903520000000007</c:v>
                </c:pt>
                <c:pt idx="17">
                  <c:v>2.8486080000000009</c:v>
                </c:pt>
                <c:pt idx="18">
                  <c:v>3.0068640000000006</c:v>
                </c:pt>
                <c:pt idx="19">
                  <c:v>3.1651200000000004</c:v>
                </c:pt>
              </c:numCache>
            </c:numRef>
          </c:yVal>
          <c:smooth val="1"/>
        </c:ser>
        <c:axId val="57962880"/>
        <c:axId val="57964416"/>
      </c:scatterChart>
      <c:valAx>
        <c:axId val="57962880"/>
        <c:scaling>
          <c:orientation val="minMax"/>
        </c:scaling>
        <c:axPos val="b"/>
        <c:numFmt formatCode="General" sourceLinked="1"/>
        <c:tickLblPos val="nextTo"/>
        <c:crossAx val="57964416"/>
        <c:crosses val="autoZero"/>
        <c:crossBetween val="midCat"/>
      </c:valAx>
      <c:valAx>
        <c:axId val="57964416"/>
        <c:scaling>
          <c:orientation val="minMax"/>
        </c:scaling>
        <c:axPos val="l"/>
        <c:majorGridlines/>
        <c:numFmt formatCode="0.00" sourceLinked="1"/>
        <c:tickLblPos val="nextTo"/>
        <c:crossAx val="57962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Rdc vs Temp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Rdc</c:v>
          </c:tx>
          <c:marker>
            <c:symbol val="none"/>
          </c:marker>
          <c:cat>
            <c:numRef>
              <c:f>'Data Processing'!$G$7:$G$13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29.5</c:v>
                </c:pt>
                <c:pt idx="3">
                  <c:v>30.3</c:v>
                </c:pt>
                <c:pt idx="4">
                  <c:v>32.5</c:v>
                </c:pt>
                <c:pt idx="5">
                  <c:v>34</c:v>
                </c:pt>
                <c:pt idx="6">
                  <c:v>35</c:v>
                </c:pt>
              </c:numCache>
            </c:numRef>
          </c:cat>
          <c:val>
            <c:numRef>
              <c:f>'Data Processing'!$F$7:$F$13</c:f>
              <c:numCache>
                <c:formatCode>General</c:formatCode>
                <c:ptCount val="7"/>
                <c:pt idx="0">
                  <c:v>12.96</c:v>
                </c:pt>
                <c:pt idx="1">
                  <c:v>13.04</c:v>
                </c:pt>
                <c:pt idx="2">
                  <c:v>13.11</c:v>
                </c:pt>
                <c:pt idx="3">
                  <c:v>13.16</c:v>
                </c:pt>
                <c:pt idx="4">
                  <c:v>13.33</c:v>
                </c:pt>
                <c:pt idx="5">
                  <c:v>13.39</c:v>
                </c:pt>
                <c:pt idx="6">
                  <c:v>13.48</c:v>
                </c:pt>
              </c:numCache>
            </c:numRef>
          </c:val>
          <c:smooth val="1"/>
        </c:ser>
        <c:marker val="1"/>
        <c:axId val="59180160"/>
        <c:axId val="59181696"/>
      </c:lineChart>
      <c:catAx>
        <c:axId val="59180160"/>
        <c:scaling>
          <c:orientation val="minMax"/>
        </c:scaling>
        <c:axPos val="b"/>
        <c:minorGridlines/>
        <c:numFmt formatCode="General" sourceLinked="1"/>
        <c:tickLblPos val="nextTo"/>
        <c:crossAx val="59181696"/>
        <c:crosses val="autoZero"/>
        <c:auto val="1"/>
        <c:lblAlgn val="ctr"/>
        <c:lblOffset val="100"/>
      </c:catAx>
      <c:valAx>
        <c:axId val="5918169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9180160"/>
        <c:crosses val="autoZero"/>
        <c:crossBetween val="between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|B|</c:v>
          </c:tx>
          <c:marker>
            <c:symbol val="none"/>
          </c:marker>
          <c:cat>
            <c:numRef>
              <c:f>'Data Processing'!$B$4:$B$12</c:f>
              <c:numCache>
                <c:formatCode>General</c:formatCode>
                <c:ptCount val="9"/>
                <c:pt idx="0">
                  <c:v>0.43</c:v>
                </c:pt>
                <c:pt idx="1">
                  <c:v>0.67</c:v>
                </c:pt>
                <c:pt idx="2">
                  <c:v>1.6</c:v>
                </c:pt>
                <c:pt idx="3">
                  <c:v>1.95</c:v>
                </c:pt>
                <c:pt idx="4">
                  <c:v>2.37</c:v>
                </c:pt>
                <c:pt idx="5">
                  <c:v>2.44</c:v>
                </c:pt>
                <c:pt idx="6">
                  <c:v>2.6</c:v>
                </c:pt>
                <c:pt idx="7">
                  <c:v>4.0999999999999996</c:v>
                </c:pt>
                <c:pt idx="8">
                  <c:v>4.17</c:v>
                </c:pt>
              </c:numCache>
            </c:numRef>
          </c:cat>
          <c:val>
            <c:numRef>
              <c:f>'Data Processing'!$C$4:$C$12</c:f>
              <c:numCache>
                <c:formatCode>General</c:formatCode>
                <c:ptCount val="9"/>
                <c:pt idx="0">
                  <c:v>0.35499999999999998</c:v>
                </c:pt>
                <c:pt idx="1">
                  <c:v>0.54</c:v>
                </c:pt>
                <c:pt idx="2">
                  <c:v>1.1220000000000001</c:v>
                </c:pt>
                <c:pt idx="3">
                  <c:v>1.38</c:v>
                </c:pt>
                <c:pt idx="4">
                  <c:v>1.47</c:v>
                </c:pt>
                <c:pt idx="5">
                  <c:v>1.5</c:v>
                </c:pt>
                <c:pt idx="6">
                  <c:v>1.53</c:v>
                </c:pt>
                <c:pt idx="7">
                  <c:v>1.556</c:v>
                </c:pt>
                <c:pt idx="8">
                  <c:v>1.5569999999999999</c:v>
                </c:pt>
              </c:numCache>
            </c:numRef>
          </c:val>
          <c:smooth val="1"/>
        </c:ser>
        <c:ser>
          <c:idx val="1"/>
          <c:order val="1"/>
          <c:tx>
            <c:v>Qes</c:v>
          </c:tx>
          <c:marker>
            <c:symbol val="none"/>
          </c:marker>
          <c:cat>
            <c:numRef>
              <c:f>'Data Processing'!$B$4:$B$12</c:f>
              <c:numCache>
                <c:formatCode>General</c:formatCode>
                <c:ptCount val="9"/>
                <c:pt idx="0">
                  <c:v>0.43</c:v>
                </c:pt>
                <c:pt idx="1">
                  <c:v>0.67</c:v>
                </c:pt>
                <c:pt idx="2">
                  <c:v>1.6</c:v>
                </c:pt>
                <c:pt idx="3">
                  <c:v>1.95</c:v>
                </c:pt>
                <c:pt idx="4">
                  <c:v>2.37</c:v>
                </c:pt>
                <c:pt idx="5">
                  <c:v>2.44</c:v>
                </c:pt>
                <c:pt idx="6">
                  <c:v>2.6</c:v>
                </c:pt>
                <c:pt idx="7">
                  <c:v>4.0999999999999996</c:v>
                </c:pt>
                <c:pt idx="8">
                  <c:v>4.17</c:v>
                </c:pt>
              </c:numCache>
            </c:numRef>
          </c:cat>
          <c:val>
            <c:numRef>
              <c:f>'Data Processing'!$D$4:$D$12</c:f>
              <c:numCache>
                <c:formatCode>0.00</c:formatCode>
                <c:ptCount val="9"/>
                <c:pt idx="0">
                  <c:v>3.51</c:v>
                </c:pt>
                <c:pt idx="1">
                  <c:v>1.38</c:v>
                </c:pt>
                <c:pt idx="2">
                  <c:v>0.33</c:v>
                </c:pt>
                <c:pt idx="3" formatCode="General">
                  <c:v>0.27410000000000001</c:v>
                </c:pt>
                <c:pt idx="4" formatCode="General">
                  <c:v>0.2417</c:v>
                </c:pt>
                <c:pt idx="5" formatCode="General">
                  <c:v>0.23400000000000001</c:v>
                </c:pt>
                <c:pt idx="6" formatCode="General">
                  <c:v>0.22570000000000001</c:v>
                </c:pt>
                <c:pt idx="7" formatCode="General">
                  <c:v>0.19550000000000001</c:v>
                </c:pt>
                <c:pt idx="8" formatCode="General">
                  <c:v>0.19600000000000001</c:v>
                </c:pt>
              </c:numCache>
            </c:numRef>
          </c:val>
          <c:smooth val="1"/>
        </c:ser>
        <c:marker val="1"/>
        <c:axId val="59223424"/>
        <c:axId val="59237504"/>
      </c:lineChart>
      <c:catAx>
        <c:axId val="59223424"/>
        <c:scaling>
          <c:orientation val="minMax"/>
        </c:scaling>
        <c:axPos val="b"/>
        <c:minorGridlines/>
        <c:numFmt formatCode="General" sourceLinked="1"/>
        <c:tickLblPos val="nextTo"/>
        <c:crossAx val="59237504"/>
        <c:crosses val="autoZero"/>
        <c:auto val="1"/>
        <c:lblAlgn val="ctr"/>
        <c:lblOffset val="100"/>
      </c:catAx>
      <c:valAx>
        <c:axId val="5923750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9223424"/>
        <c:crosses val="autoZero"/>
        <c:crossBetween val="between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v>Temp rising 4A </c:v>
          </c:tx>
          <c:marker>
            <c:symbol val="none"/>
          </c:marker>
          <c:cat>
            <c:numRef>
              <c:f>'Data Collection'!$H$43:$H$55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55</c:v>
                </c:pt>
                <c:pt idx="12">
                  <c:v>59</c:v>
                </c:pt>
              </c:numCache>
            </c:numRef>
          </c:cat>
          <c:val>
            <c:numRef>
              <c:f>'Data Collection'!$C$43:$C$55</c:f>
              <c:numCache>
                <c:formatCode>General</c:formatCode>
                <c:ptCount val="13"/>
                <c:pt idx="0">
                  <c:v>35</c:v>
                </c:pt>
                <c:pt idx="1">
                  <c:v>36.5</c:v>
                </c:pt>
                <c:pt idx="2">
                  <c:v>37.5</c:v>
                </c:pt>
                <c:pt idx="3">
                  <c:v>38</c:v>
                </c:pt>
                <c:pt idx="4">
                  <c:v>43</c:v>
                </c:pt>
                <c:pt idx="5">
                  <c:v>45.5</c:v>
                </c:pt>
                <c:pt idx="6">
                  <c:v>49</c:v>
                </c:pt>
                <c:pt idx="7">
                  <c:v>53</c:v>
                </c:pt>
                <c:pt idx="8">
                  <c:v>55.5</c:v>
                </c:pt>
                <c:pt idx="9">
                  <c:v>56</c:v>
                </c:pt>
                <c:pt idx="10">
                  <c:v>57</c:v>
                </c:pt>
                <c:pt idx="11">
                  <c:v>61</c:v>
                </c:pt>
                <c:pt idx="12">
                  <c:v>62</c:v>
                </c:pt>
              </c:numCache>
            </c:numRef>
          </c:val>
          <c:smooth val="1"/>
        </c:ser>
        <c:marker val="1"/>
        <c:axId val="60584704"/>
        <c:axId val="60586240"/>
      </c:lineChart>
      <c:catAx>
        <c:axId val="60584704"/>
        <c:scaling>
          <c:orientation val="minMax"/>
        </c:scaling>
        <c:axPos val="b"/>
        <c:minorGridlines/>
        <c:numFmt formatCode="General" sourceLinked="1"/>
        <c:tickLblPos val="nextTo"/>
        <c:crossAx val="60586240"/>
        <c:crosses val="autoZero"/>
        <c:auto val="1"/>
        <c:lblAlgn val="ctr"/>
        <c:lblOffset val="100"/>
        <c:tickLblSkip val="1"/>
      </c:catAx>
      <c:valAx>
        <c:axId val="6058624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60584704"/>
        <c:crosses val="autoZero"/>
        <c:crossBetween val="between"/>
      </c:valAx>
    </c:plotArea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805857392825897"/>
          <c:y val="6.5289442986293383E-2"/>
          <c:w val="0.66837948381452517"/>
          <c:h val="0.79822506561679785"/>
        </c:manualLayout>
      </c:layout>
      <c:scatterChart>
        <c:scatterStyle val="smoothMarker"/>
        <c:ser>
          <c:idx val="0"/>
          <c:order val="0"/>
          <c:tx>
            <c:v>Single Winding</c:v>
          </c:tx>
          <c:marker>
            <c:symbol val="none"/>
          </c:marker>
          <c:xVal>
            <c:numRef>
              <c:f>ECW!$A$15:$A$34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ECW!$B$15:$B$34</c:f>
              <c:numCache>
                <c:formatCode>0.00</c:formatCode>
                <c:ptCount val="20"/>
                <c:pt idx="0">
                  <c:v>0.15825600000000004</c:v>
                </c:pt>
                <c:pt idx="1">
                  <c:v>0.31651200000000007</c:v>
                </c:pt>
                <c:pt idx="2">
                  <c:v>0.47476800000000013</c:v>
                </c:pt>
                <c:pt idx="3">
                  <c:v>0.63302400000000014</c:v>
                </c:pt>
                <c:pt idx="4">
                  <c:v>0.79128000000000009</c:v>
                </c:pt>
                <c:pt idx="5">
                  <c:v>0.94953600000000027</c:v>
                </c:pt>
                <c:pt idx="6">
                  <c:v>1.1077920000000001</c:v>
                </c:pt>
                <c:pt idx="7">
                  <c:v>1.2660480000000003</c:v>
                </c:pt>
                <c:pt idx="8">
                  <c:v>1.4243040000000005</c:v>
                </c:pt>
                <c:pt idx="9">
                  <c:v>1.5825600000000002</c:v>
                </c:pt>
                <c:pt idx="10">
                  <c:v>1.7408160000000001</c:v>
                </c:pt>
                <c:pt idx="11">
                  <c:v>1.8990720000000005</c:v>
                </c:pt>
                <c:pt idx="12">
                  <c:v>2.0573280000000005</c:v>
                </c:pt>
                <c:pt idx="13">
                  <c:v>2.2155840000000002</c:v>
                </c:pt>
                <c:pt idx="14">
                  <c:v>2.3738400000000004</c:v>
                </c:pt>
                <c:pt idx="15">
                  <c:v>2.5320960000000006</c:v>
                </c:pt>
                <c:pt idx="16">
                  <c:v>2.6903520000000007</c:v>
                </c:pt>
                <c:pt idx="17">
                  <c:v>2.8486080000000009</c:v>
                </c:pt>
                <c:pt idx="18">
                  <c:v>3.0068640000000006</c:v>
                </c:pt>
                <c:pt idx="19">
                  <c:v>3.1651200000000004</c:v>
                </c:pt>
              </c:numCache>
            </c:numRef>
          </c:yVal>
          <c:smooth val="1"/>
        </c:ser>
        <c:axId val="60610432"/>
        <c:axId val="60690432"/>
      </c:scatterChart>
      <c:valAx>
        <c:axId val="606104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>
                    <a:latin typeface="Tw Cen MT" pitchFamily="34" charset="0"/>
                  </a:rPr>
                  <a:t>Wiire Length [m]</a:t>
                </a:r>
              </a:p>
            </c:rich>
          </c:tx>
        </c:title>
        <c:numFmt formatCode="General" sourceLinked="1"/>
        <c:tickLblPos val="nextTo"/>
        <c:crossAx val="60690432"/>
        <c:crosses val="autoZero"/>
        <c:crossBetween val="midCat"/>
      </c:valAx>
      <c:valAx>
        <c:axId val="6069043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>
                    <a:latin typeface="Tw Cen MT" pitchFamily="34" charset="0"/>
                  </a:rPr>
                  <a:t>Mass [g]</a:t>
                </a:r>
              </a:p>
            </c:rich>
          </c:tx>
        </c:title>
        <c:numFmt formatCode="0.00" sourceLinked="1"/>
        <c:tickLblPos val="nextTo"/>
        <c:crossAx val="60610432"/>
        <c:crosses val="autoZero"/>
        <c:crossBetween val="midCat"/>
      </c:valAx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/>
            </a:pPr>
            <a:r>
              <a:rPr lang="en-US" sz="1400" baseline="0">
                <a:latin typeface="Tw Cen MT" pitchFamily="34" charset="0"/>
              </a:rPr>
              <a:t>BL and DCR vs Mass Single Winding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BL [Tm]</c:v>
          </c:tx>
          <c:marker>
            <c:symbol val="none"/>
          </c:marker>
          <c:xVal>
            <c:numRef>
              <c:f>ECW!$B$15:$B$34</c:f>
              <c:numCache>
                <c:formatCode>0.00</c:formatCode>
                <c:ptCount val="20"/>
                <c:pt idx="0">
                  <c:v>0.15825600000000004</c:v>
                </c:pt>
                <c:pt idx="1">
                  <c:v>0.31651200000000007</c:v>
                </c:pt>
                <c:pt idx="2">
                  <c:v>0.47476800000000013</c:v>
                </c:pt>
                <c:pt idx="3">
                  <c:v>0.63302400000000014</c:v>
                </c:pt>
                <c:pt idx="4">
                  <c:v>0.79128000000000009</c:v>
                </c:pt>
                <c:pt idx="5">
                  <c:v>0.94953600000000027</c:v>
                </c:pt>
                <c:pt idx="6">
                  <c:v>1.1077920000000001</c:v>
                </c:pt>
                <c:pt idx="7">
                  <c:v>1.2660480000000003</c:v>
                </c:pt>
                <c:pt idx="8">
                  <c:v>1.4243040000000005</c:v>
                </c:pt>
                <c:pt idx="9">
                  <c:v>1.5825600000000002</c:v>
                </c:pt>
                <c:pt idx="10">
                  <c:v>1.7408160000000001</c:v>
                </c:pt>
                <c:pt idx="11">
                  <c:v>1.8990720000000005</c:v>
                </c:pt>
                <c:pt idx="12">
                  <c:v>2.0573280000000005</c:v>
                </c:pt>
                <c:pt idx="13">
                  <c:v>2.2155840000000002</c:v>
                </c:pt>
                <c:pt idx="14">
                  <c:v>2.3738400000000004</c:v>
                </c:pt>
                <c:pt idx="15">
                  <c:v>2.5320960000000006</c:v>
                </c:pt>
                <c:pt idx="16">
                  <c:v>2.6903520000000007</c:v>
                </c:pt>
                <c:pt idx="17">
                  <c:v>2.8486080000000009</c:v>
                </c:pt>
                <c:pt idx="18">
                  <c:v>3.0068640000000006</c:v>
                </c:pt>
                <c:pt idx="19">
                  <c:v>3.1651200000000004</c:v>
                </c:pt>
              </c:numCache>
            </c:numRef>
          </c:xVal>
          <c:yVal>
            <c:numRef>
              <c:f>ECW!$C$15:$C$34</c:f>
              <c:numCache>
                <c:formatCode>General</c:formatCode>
                <c:ptCount val="2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DCR [ohms]</c:v>
          </c:tx>
          <c:marker>
            <c:symbol val="none"/>
          </c:marker>
          <c:xVal>
            <c:numRef>
              <c:f>ECW!$B$15:$B$34</c:f>
              <c:numCache>
                <c:formatCode>0.00</c:formatCode>
                <c:ptCount val="20"/>
                <c:pt idx="0">
                  <c:v>0.15825600000000004</c:v>
                </c:pt>
                <c:pt idx="1">
                  <c:v>0.31651200000000007</c:v>
                </c:pt>
                <c:pt idx="2">
                  <c:v>0.47476800000000013</c:v>
                </c:pt>
                <c:pt idx="3">
                  <c:v>0.63302400000000014</c:v>
                </c:pt>
                <c:pt idx="4">
                  <c:v>0.79128000000000009</c:v>
                </c:pt>
                <c:pt idx="5">
                  <c:v>0.94953600000000027</c:v>
                </c:pt>
                <c:pt idx="6">
                  <c:v>1.1077920000000001</c:v>
                </c:pt>
                <c:pt idx="7">
                  <c:v>1.2660480000000003</c:v>
                </c:pt>
                <c:pt idx="8">
                  <c:v>1.4243040000000005</c:v>
                </c:pt>
                <c:pt idx="9">
                  <c:v>1.5825600000000002</c:v>
                </c:pt>
                <c:pt idx="10">
                  <c:v>1.7408160000000001</c:v>
                </c:pt>
                <c:pt idx="11">
                  <c:v>1.8990720000000005</c:v>
                </c:pt>
                <c:pt idx="12">
                  <c:v>2.0573280000000005</c:v>
                </c:pt>
                <c:pt idx="13">
                  <c:v>2.2155840000000002</c:v>
                </c:pt>
                <c:pt idx="14">
                  <c:v>2.3738400000000004</c:v>
                </c:pt>
                <c:pt idx="15">
                  <c:v>2.5320960000000006</c:v>
                </c:pt>
                <c:pt idx="16">
                  <c:v>2.6903520000000007</c:v>
                </c:pt>
                <c:pt idx="17">
                  <c:v>2.8486080000000009</c:v>
                </c:pt>
                <c:pt idx="18">
                  <c:v>3.0068640000000006</c:v>
                </c:pt>
                <c:pt idx="19">
                  <c:v>3.1651200000000004</c:v>
                </c:pt>
              </c:numCache>
            </c:numRef>
          </c:xVal>
          <c:yVal>
            <c:numRef>
              <c:f>ECW!$D$15:$D$34</c:f>
              <c:numCache>
                <c:formatCode>0.00</c:formatCode>
                <c:ptCount val="20"/>
                <c:pt idx="0">
                  <c:v>0.96249115357395609</c:v>
                </c:pt>
                <c:pt idx="1">
                  <c:v>1.9249823071479122</c:v>
                </c:pt>
                <c:pt idx="2">
                  <c:v>2.8874734607218686</c:v>
                </c:pt>
                <c:pt idx="3">
                  <c:v>3.8499646142958244</c:v>
                </c:pt>
                <c:pt idx="4">
                  <c:v>4.812455767869781</c:v>
                </c:pt>
                <c:pt idx="5">
                  <c:v>5.7749469214437372</c:v>
                </c:pt>
                <c:pt idx="6">
                  <c:v>6.7374380750176925</c:v>
                </c:pt>
                <c:pt idx="7">
                  <c:v>7.6999292285916487</c:v>
                </c:pt>
                <c:pt idx="8">
                  <c:v>8.6624203821656067</c:v>
                </c:pt>
                <c:pt idx="9">
                  <c:v>9.624911535739562</c:v>
                </c:pt>
                <c:pt idx="10">
                  <c:v>10.587402689313517</c:v>
                </c:pt>
                <c:pt idx="11">
                  <c:v>11.549893842887474</c:v>
                </c:pt>
                <c:pt idx="12">
                  <c:v>12.51238499646143</c:v>
                </c:pt>
                <c:pt idx="13">
                  <c:v>13.474876150035385</c:v>
                </c:pt>
                <c:pt idx="14">
                  <c:v>14.43736730360934</c:v>
                </c:pt>
                <c:pt idx="15">
                  <c:v>15.399858457183297</c:v>
                </c:pt>
                <c:pt idx="16">
                  <c:v>16.362349610757256</c:v>
                </c:pt>
                <c:pt idx="17">
                  <c:v>17.324840764331213</c:v>
                </c:pt>
                <c:pt idx="18">
                  <c:v>18.287331917905167</c:v>
                </c:pt>
                <c:pt idx="19">
                  <c:v>19.249823071479124</c:v>
                </c:pt>
              </c:numCache>
            </c:numRef>
          </c:yVal>
          <c:smooth val="1"/>
        </c:ser>
        <c:axId val="60724736"/>
        <c:axId val="60726656"/>
      </c:scatterChart>
      <c:valAx>
        <c:axId val="607247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</a:t>
                </a:r>
                <a:r>
                  <a:rPr lang="en-US" baseline="0"/>
                  <a:t> [g]</a:t>
                </a:r>
                <a:endParaRPr lang="en-US"/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baseline="0">
                <a:latin typeface="Tw Cen MT" pitchFamily="34" charset="0"/>
              </a:defRPr>
            </a:pPr>
            <a:endParaRPr lang="en-US"/>
          </a:p>
        </c:txPr>
        <c:crossAx val="60726656"/>
        <c:crosses val="autoZero"/>
        <c:crossBetween val="midCat"/>
      </c:valAx>
      <c:valAx>
        <c:axId val="60726656"/>
        <c:scaling>
          <c:orientation val="minMax"/>
        </c:scaling>
        <c:axPos val="l"/>
        <c:majorGridlines/>
        <c:minorGridlines/>
        <c:numFmt formatCode="General" sourceLinked="1"/>
        <c:tickLblPos val="nextTo"/>
        <c:txPr>
          <a:bodyPr/>
          <a:lstStyle/>
          <a:p>
            <a:pPr>
              <a:defRPr baseline="0">
                <a:latin typeface="Tw Cen MT" pitchFamily="34" charset="0"/>
              </a:defRPr>
            </a:pPr>
            <a:endParaRPr lang="en-US"/>
          </a:p>
        </c:txPr>
        <c:crossAx val="60724736"/>
        <c:crosses val="autoZero"/>
        <c:crossBetween val="midCat"/>
      </c:valAx>
    </c:plotArea>
    <c:legend>
      <c:legendPos val="r"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aseline="0">
                <a:latin typeface="Tw Cen MT" pitchFamily="34" charset="0"/>
              </a:rPr>
              <a:t>BL and DCR vs Mass Multilayer  Winding</a:t>
            </a:r>
          </a:p>
        </c:rich>
      </c:tx>
    </c:title>
    <c:plotArea>
      <c:layout>
        <c:manualLayout>
          <c:layoutTarget val="inner"/>
          <c:xMode val="edge"/>
          <c:yMode val="edge"/>
          <c:x val="5.891661511882821E-2"/>
          <c:y val="7.707122438791042E-2"/>
          <c:w val="0.7955047342505156"/>
          <c:h val="0.82229178914108669"/>
        </c:manualLayout>
      </c:layout>
      <c:scatterChart>
        <c:scatterStyle val="smoothMarker"/>
        <c:ser>
          <c:idx val="0"/>
          <c:order val="0"/>
          <c:tx>
            <c:v>BL [Tm]</c:v>
          </c:tx>
          <c:marker>
            <c:symbol val="none"/>
          </c:marker>
          <c:xVal>
            <c:numRef>
              <c:f>ECW!$H$15:$H$34</c:f>
              <c:numCache>
                <c:formatCode>0.00</c:formatCode>
                <c:ptCount val="20"/>
                <c:pt idx="0">
                  <c:v>0.31651200000000007</c:v>
                </c:pt>
                <c:pt idx="1">
                  <c:v>0.63302400000000014</c:v>
                </c:pt>
                <c:pt idx="2">
                  <c:v>0.94953600000000027</c:v>
                </c:pt>
                <c:pt idx="3">
                  <c:v>1.2660480000000003</c:v>
                </c:pt>
                <c:pt idx="4">
                  <c:v>1.5825600000000002</c:v>
                </c:pt>
                <c:pt idx="5">
                  <c:v>1.8990720000000005</c:v>
                </c:pt>
                <c:pt idx="6">
                  <c:v>2.2155840000000002</c:v>
                </c:pt>
                <c:pt idx="7">
                  <c:v>2.5320960000000006</c:v>
                </c:pt>
                <c:pt idx="8">
                  <c:v>2.8486080000000009</c:v>
                </c:pt>
                <c:pt idx="9">
                  <c:v>3.1651200000000004</c:v>
                </c:pt>
                <c:pt idx="10">
                  <c:v>3.4816320000000003</c:v>
                </c:pt>
                <c:pt idx="11">
                  <c:v>3.7981440000000011</c:v>
                </c:pt>
                <c:pt idx="12">
                  <c:v>4.114656000000001</c:v>
                </c:pt>
                <c:pt idx="13">
                  <c:v>4.4311680000000004</c:v>
                </c:pt>
                <c:pt idx="14">
                  <c:v>4.7476800000000008</c:v>
                </c:pt>
                <c:pt idx="15">
                  <c:v>5.0641920000000011</c:v>
                </c:pt>
                <c:pt idx="16">
                  <c:v>5.3807040000000015</c:v>
                </c:pt>
                <c:pt idx="17">
                  <c:v>5.6972160000000018</c:v>
                </c:pt>
                <c:pt idx="18">
                  <c:v>6.0137280000000013</c:v>
                </c:pt>
                <c:pt idx="19">
                  <c:v>6.3302400000000008</c:v>
                </c:pt>
              </c:numCache>
            </c:numRef>
          </c:xVal>
          <c:yVal>
            <c:numRef>
              <c:f>ECW!$C$15:$C$34</c:f>
              <c:numCache>
                <c:formatCode>General</c:formatCode>
                <c:ptCount val="2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DCR [ohms]</c:v>
          </c:tx>
          <c:marker>
            <c:symbol val="none"/>
          </c:marker>
          <c:xVal>
            <c:numRef>
              <c:f>ECW!$H$15:$H$34</c:f>
              <c:numCache>
                <c:formatCode>0.00</c:formatCode>
                <c:ptCount val="20"/>
                <c:pt idx="0">
                  <c:v>0.31651200000000007</c:v>
                </c:pt>
                <c:pt idx="1">
                  <c:v>0.63302400000000014</c:v>
                </c:pt>
                <c:pt idx="2">
                  <c:v>0.94953600000000027</c:v>
                </c:pt>
                <c:pt idx="3">
                  <c:v>1.2660480000000003</c:v>
                </c:pt>
                <c:pt idx="4">
                  <c:v>1.5825600000000002</c:v>
                </c:pt>
                <c:pt idx="5">
                  <c:v>1.8990720000000005</c:v>
                </c:pt>
                <c:pt idx="6">
                  <c:v>2.2155840000000002</c:v>
                </c:pt>
                <c:pt idx="7">
                  <c:v>2.5320960000000006</c:v>
                </c:pt>
                <c:pt idx="8">
                  <c:v>2.8486080000000009</c:v>
                </c:pt>
                <c:pt idx="9">
                  <c:v>3.1651200000000004</c:v>
                </c:pt>
                <c:pt idx="10">
                  <c:v>3.4816320000000003</c:v>
                </c:pt>
                <c:pt idx="11">
                  <c:v>3.7981440000000011</c:v>
                </c:pt>
                <c:pt idx="12">
                  <c:v>4.114656000000001</c:v>
                </c:pt>
                <c:pt idx="13">
                  <c:v>4.4311680000000004</c:v>
                </c:pt>
                <c:pt idx="14">
                  <c:v>4.7476800000000008</c:v>
                </c:pt>
                <c:pt idx="15">
                  <c:v>5.0641920000000011</c:v>
                </c:pt>
                <c:pt idx="16">
                  <c:v>5.3807040000000015</c:v>
                </c:pt>
                <c:pt idx="17">
                  <c:v>5.6972160000000018</c:v>
                </c:pt>
                <c:pt idx="18">
                  <c:v>6.0137280000000013</c:v>
                </c:pt>
                <c:pt idx="19">
                  <c:v>6.3302400000000008</c:v>
                </c:pt>
              </c:numCache>
            </c:numRef>
          </c:xVal>
          <c:yVal>
            <c:numRef>
              <c:f>ECW!$G$15:$G$34</c:f>
              <c:numCache>
                <c:formatCode>0.00</c:formatCode>
                <c:ptCount val="20"/>
                <c:pt idx="0">
                  <c:v>0.48124557678697805</c:v>
                </c:pt>
                <c:pt idx="1">
                  <c:v>0.96249115357395609</c:v>
                </c:pt>
                <c:pt idx="2">
                  <c:v>1.4437367303609343</c:v>
                </c:pt>
                <c:pt idx="3">
                  <c:v>1.9249823071479122</c:v>
                </c:pt>
                <c:pt idx="4">
                  <c:v>2.4062278839348905</c:v>
                </c:pt>
                <c:pt idx="5">
                  <c:v>2.8874734607218686</c:v>
                </c:pt>
                <c:pt idx="6">
                  <c:v>3.3687190375088463</c:v>
                </c:pt>
                <c:pt idx="7">
                  <c:v>3.8499646142958244</c:v>
                </c:pt>
                <c:pt idx="8">
                  <c:v>4.3312101910828034</c:v>
                </c:pt>
                <c:pt idx="9">
                  <c:v>4.812455767869781</c:v>
                </c:pt>
                <c:pt idx="10">
                  <c:v>5.2937013446567587</c:v>
                </c:pt>
                <c:pt idx="11">
                  <c:v>5.7749469214437372</c:v>
                </c:pt>
                <c:pt idx="12">
                  <c:v>6.2561924982307149</c:v>
                </c:pt>
                <c:pt idx="13">
                  <c:v>6.7374380750176925</c:v>
                </c:pt>
                <c:pt idx="14">
                  <c:v>7.2186836518046702</c:v>
                </c:pt>
                <c:pt idx="15">
                  <c:v>7.6999292285916487</c:v>
                </c:pt>
                <c:pt idx="16">
                  <c:v>8.1811748053786282</c:v>
                </c:pt>
                <c:pt idx="17">
                  <c:v>8.6624203821656067</c:v>
                </c:pt>
                <c:pt idx="18">
                  <c:v>9.1436659589525835</c:v>
                </c:pt>
                <c:pt idx="19">
                  <c:v>9.624911535739562</c:v>
                </c:pt>
              </c:numCache>
            </c:numRef>
          </c:yVal>
          <c:smooth val="1"/>
        </c:ser>
        <c:axId val="60903808"/>
        <c:axId val="60905728"/>
      </c:scatterChart>
      <c:valAx>
        <c:axId val="609038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>
                    <a:latin typeface="Tw Cen MT" pitchFamily="34" charset="0"/>
                  </a:rPr>
                  <a:t>Mass [g]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baseline="0">
                <a:latin typeface="Tw Cen MT" pitchFamily="34" charset="0"/>
              </a:defRPr>
            </a:pPr>
            <a:endParaRPr lang="en-US"/>
          </a:p>
        </c:txPr>
        <c:crossAx val="60905728"/>
        <c:crosses val="autoZero"/>
        <c:crossBetween val="midCat"/>
      </c:valAx>
      <c:valAx>
        <c:axId val="60905728"/>
        <c:scaling>
          <c:orientation val="minMax"/>
        </c:scaling>
        <c:axPos val="l"/>
        <c:majorGridlines/>
        <c:minorGridlines/>
        <c:numFmt formatCode="General" sourceLinked="1"/>
        <c:tickLblPos val="nextTo"/>
        <c:txPr>
          <a:bodyPr/>
          <a:lstStyle/>
          <a:p>
            <a:pPr>
              <a:defRPr baseline="0">
                <a:latin typeface="Tw Cen MT" pitchFamily="34" charset="0"/>
              </a:defRPr>
            </a:pPr>
            <a:endParaRPr lang="en-US"/>
          </a:p>
        </c:txPr>
        <c:crossAx val="60903808"/>
        <c:crosses val="autoZero"/>
        <c:crossBetween val="midCat"/>
      </c:valAx>
    </c:plotArea>
    <c:legend>
      <c:legendPos val="r"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DCR Single</c:v>
          </c:tx>
          <c:marker>
            <c:symbol val="none"/>
          </c:marker>
          <c:xVal>
            <c:numRef>
              <c:f>ECW!$C$15:$C$34</c:f>
              <c:numCache>
                <c:formatCode>General</c:formatCode>
                <c:ptCount val="2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</c:numCache>
            </c:numRef>
          </c:xVal>
          <c:yVal>
            <c:numRef>
              <c:f>ECW!$D$15:$D$34</c:f>
              <c:numCache>
                <c:formatCode>0.00</c:formatCode>
                <c:ptCount val="20"/>
                <c:pt idx="0">
                  <c:v>0.96249115357395609</c:v>
                </c:pt>
                <c:pt idx="1">
                  <c:v>1.9249823071479122</c:v>
                </c:pt>
                <c:pt idx="2">
                  <c:v>2.8874734607218686</c:v>
                </c:pt>
                <c:pt idx="3">
                  <c:v>3.8499646142958244</c:v>
                </c:pt>
                <c:pt idx="4">
                  <c:v>4.812455767869781</c:v>
                </c:pt>
                <c:pt idx="5">
                  <c:v>5.7749469214437372</c:v>
                </c:pt>
                <c:pt idx="6">
                  <c:v>6.7374380750176925</c:v>
                </c:pt>
                <c:pt idx="7">
                  <c:v>7.6999292285916487</c:v>
                </c:pt>
                <c:pt idx="8">
                  <c:v>8.6624203821656067</c:v>
                </c:pt>
                <c:pt idx="9">
                  <c:v>9.624911535739562</c:v>
                </c:pt>
                <c:pt idx="10">
                  <c:v>10.587402689313517</c:v>
                </c:pt>
                <c:pt idx="11">
                  <c:v>11.549893842887474</c:v>
                </c:pt>
                <c:pt idx="12">
                  <c:v>12.51238499646143</c:v>
                </c:pt>
                <c:pt idx="13">
                  <c:v>13.474876150035385</c:v>
                </c:pt>
                <c:pt idx="14">
                  <c:v>14.43736730360934</c:v>
                </c:pt>
                <c:pt idx="15">
                  <c:v>15.399858457183297</c:v>
                </c:pt>
                <c:pt idx="16">
                  <c:v>16.362349610757256</c:v>
                </c:pt>
                <c:pt idx="17">
                  <c:v>17.324840764331213</c:v>
                </c:pt>
                <c:pt idx="18">
                  <c:v>18.287331917905167</c:v>
                </c:pt>
                <c:pt idx="19">
                  <c:v>19.249823071479124</c:v>
                </c:pt>
              </c:numCache>
            </c:numRef>
          </c:yVal>
          <c:smooth val="1"/>
        </c:ser>
        <c:ser>
          <c:idx val="1"/>
          <c:order val="1"/>
          <c:tx>
            <c:v>DCR multi</c:v>
          </c:tx>
          <c:marker>
            <c:symbol val="none"/>
          </c:marker>
          <c:xVal>
            <c:numRef>
              <c:f>ECW!$C$15:$C$34</c:f>
              <c:numCache>
                <c:formatCode>General</c:formatCode>
                <c:ptCount val="2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</c:numCache>
            </c:numRef>
          </c:xVal>
          <c:yVal>
            <c:numRef>
              <c:f>ECW!$G$15:$G$34</c:f>
              <c:numCache>
                <c:formatCode>0.00</c:formatCode>
                <c:ptCount val="20"/>
                <c:pt idx="0">
                  <c:v>0.48124557678697805</c:v>
                </c:pt>
                <c:pt idx="1">
                  <c:v>0.96249115357395609</c:v>
                </c:pt>
                <c:pt idx="2">
                  <c:v>1.4437367303609343</c:v>
                </c:pt>
                <c:pt idx="3">
                  <c:v>1.9249823071479122</c:v>
                </c:pt>
                <c:pt idx="4">
                  <c:v>2.4062278839348905</c:v>
                </c:pt>
                <c:pt idx="5">
                  <c:v>2.8874734607218686</c:v>
                </c:pt>
                <c:pt idx="6">
                  <c:v>3.3687190375088463</c:v>
                </c:pt>
                <c:pt idx="7">
                  <c:v>3.8499646142958244</c:v>
                </c:pt>
                <c:pt idx="8">
                  <c:v>4.3312101910828034</c:v>
                </c:pt>
                <c:pt idx="9">
                  <c:v>4.812455767869781</c:v>
                </c:pt>
                <c:pt idx="10">
                  <c:v>5.2937013446567587</c:v>
                </c:pt>
                <c:pt idx="11">
                  <c:v>5.7749469214437372</c:v>
                </c:pt>
                <c:pt idx="12">
                  <c:v>6.2561924982307149</c:v>
                </c:pt>
                <c:pt idx="13">
                  <c:v>6.7374380750176925</c:v>
                </c:pt>
                <c:pt idx="14">
                  <c:v>7.2186836518046702</c:v>
                </c:pt>
                <c:pt idx="15">
                  <c:v>7.6999292285916487</c:v>
                </c:pt>
                <c:pt idx="16">
                  <c:v>8.1811748053786282</c:v>
                </c:pt>
                <c:pt idx="17">
                  <c:v>8.6624203821656067</c:v>
                </c:pt>
                <c:pt idx="18">
                  <c:v>9.1436659589525835</c:v>
                </c:pt>
                <c:pt idx="19">
                  <c:v>9.624911535739562</c:v>
                </c:pt>
              </c:numCache>
            </c:numRef>
          </c:yVal>
          <c:smooth val="1"/>
        </c:ser>
        <c:axId val="60938112"/>
        <c:axId val="60939648"/>
      </c:scatterChart>
      <c:valAx>
        <c:axId val="60938112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60939648"/>
        <c:crosses val="autoZero"/>
        <c:crossBetween val="midCat"/>
      </c:valAx>
      <c:valAx>
        <c:axId val="60939648"/>
        <c:scaling>
          <c:orientation val="minMax"/>
        </c:scaling>
        <c:axPos val="l"/>
        <c:majorGridlines/>
        <c:minorGridlines/>
        <c:numFmt formatCode="0.00" sourceLinked="1"/>
        <c:tickLblPos val="nextTo"/>
        <c:crossAx val="60938112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91</xdr:row>
      <xdr:rowOff>123825</xdr:rowOff>
    </xdr:from>
    <xdr:to>
      <xdr:col>13</xdr:col>
      <xdr:colOff>285750</xdr:colOff>
      <xdr:row>106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91</xdr:row>
      <xdr:rowOff>123825</xdr:rowOff>
    </xdr:from>
    <xdr:to>
      <xdr:col>13</xdr:col>
      <xdr:colOff>285750</xdr:colOff>
      <xdr:row>106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152758" y="71887"/>
    <xdr:ext cx="8392783" cy="60654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88703" y="62901"/>
    <xdr:ext cx="8383798" cy="61373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ice%20Coil%20Desig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- mech"/>
      <sheetName val="Input - Inductance"/>
      <sheetName val="Sheet1"/>
      <sheetName val="Length to Mass"/>
      <sheetName val="BL vs Mass"/>
      <sheetName val="Multilayer"/>
      <sheetName val="DCR vs Bl"/>
      <sheetName val="No comp"/>
    </sheetNames>
    <sheetDataSet>
      <sheetData sheetId="0">
        <row r="15">
          <cell r="A15">
            <v>1</v>
          </cell>
          <cell r="B15">
            <v>4.9086050000000013E-2</v>
          </cell>
        </row>
        <row r="16">
          <cell r="A16">
            <v>2</v>
          </cell>
          <cell r="B16">
            <v>9.8172100000000026E-2</v>
          </cell>
        </row>
        <row r="17">
          <cell r="A17">
            <v>3</v>
          </cell>
          <cell r="B17">
            <v>0.14725815000000003</v>
          </cell>
        </row>
        <row r="18">
          <cell r="A18">
            <v>4</v>
          </cell>
          <cell r="B18">
            <v>0.19634420000000005</v>
          </cell>
        </row>
        <row r="19">
          <cell r="A19">
            <v>5</v>
          </cell>
          <cell r="B19">
            <v>0.24543025000000004</v>
          </cell>
        </row>
        <row r="20">
          <cell r="A20">
            <v>6</v>
          </cell>
          <cell r="B20">
            <v>0.29451630000000006</v>
          </cell>
        </row>
        <row r="21">
          <cell r="A21">
            <v>7</v>
          </cell>
          <cell r="B21">
            <v>0.34360235000000006</v>
          </cell>
        </row>
        <row r="22">
          <cell r="A22">
            <v>8</v>
          </cell>
          <cell r="B22">
            <v>0.3926884000000001</v>
          </cell>
        </row>
        <row r="23">
          <cell r="A23">
            <v>9</v>
          </cell>
          <cell r="B23">
            <v>0.4417744500000001</v>
          </cell>
        </row>
        <row r="24">
          <cell r="A24">
            <v>10</v>
          </cell>
          <cell r="B24">
            <v>0.49086050000000009</v>
          </cell>
        </row>
        <row r="25">
          <cell r="A25">
            <v>11</v>
          </cell>
          <cell r="B25">
            <v>0.53994655000000003</v>
          </cell>
        </row>
        <row r="26">
          <cell r="A26">
            <v>12</v>
          </cell>
          <cell r="B26">
            <v>0.58903260000000013</v>
          </cell>
        </row>
        <row r="27">
          <cell r="A27">
            <v>13</v>
          </cell>
          <cell r="B27">
            <v>0.63811865000000023</v>
          </cell>
        </row>
        <row r="28">
          <cell r="A28">
            <v>14</v>
          </cell>
          <cell r="B28">
            <v>0.68720470000000011</v>
          </cell>
        </row>
        <row r="29">
          <cell r="A29">
            <v>15</v>
          </cell>
          <cell r="B29">
            <v>0.7362907500000001</v>
          </cell>
        </row>
        <row r="30">
          <cell r="A30">
            <v>16</v>
          </cell>
          <cell r="B30">
            <v>0.78537680000000021</v>
          </cell>
        </row>
        <row r="31">
          <cell r="A31">
            <v>17</v>
          </cell>
          <cell r="B31">
            <v>0.83446285000000009</v>
          </cell>
        </row>
        <row r="32">
          <cell r="A32">
            <v>18</v>
          </cell>
          <cell r="B32">
            <v>0.88354890000000019</v>
          </cell>
        </row>
        <row r="33">
          <cell r="A33">
            <v>19</v>
          </cell>
          <cell r="B33">
            <v>0.93263495000000007</v>
          </cell>
        </row>
        <row r="34">
          <cell r="A34">
            <v>20</v>
          </cell>
          <cell r="B34">
            <v>0.98172100000000018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X114"/>
  <sheetViews>
    <sheetView tabSelected="1" workbookViewId="0">
      <selection activeCell="E19" sqref="E19"/>
    </sheetView>
  </sheetViews>
  <sheetFormatPr defaultRowHeight="15"/>
  <cols>
    <col min="2" max="2" width="10.5703125" bestFit="1" customWidth="1"/>
    <col min="21" max="21" width="20.85546875" customWidth="1"/>
  </cols>
  <sheetData>
    <row r="6" spans="1:24">
      <c r="A6" s="37" t="s">
        <v>0</v>
      </c>
      <c r="B6" s="37"/>
      <c r="C6" s="37"/>
      <c r="D6" s="1">
        <v>0.13</v>
      </c>
      <c r="E6" t="s">
        <v>2</v>
      </c>
      <c r="I6" t="s">
        <v>17</v>
      </c>
      <c r="K6">
        <v>1</v>
      </c>
    </row>
    <row r="7" spans="1:24">
      <c r="A7" s="37" t="s">
        <v>4</v>
      </c>
      <c r="B7" s="37"/>
      <c r="C7" s="37"/>
      <c r="D7" s="1">
        <v>3.7</v>
      </c>
      <c r="E7" t="s">
        <v>5</v>
      </c>
    </row>
    <row r="8" spans="1:24">
      <c r="A8" s="37" t="s">
        <v>6</v>
      </c>
      <c r="B8" s="37"/>
      <c r="C8" s="37"/>
      <c r="D8" s="1">
        <v>2.5499999999999998E-2</v>
      </c>
      <c r="E8" s="37" t="s">
        <v>7</v>
      </c>
      <c r="F8" s="37"/>
      <c r="I8" t="s">
        <v>67</v>
      </c>
      <c r="J8">
        <v>25</v>
      </c>
      <c r="K8" t="s">
        <v>2</v>
      </c>
    </row>
    <row r="9" spans="1:24">
      <c r="A9" s="38" t="s">
        <v>8</v>
      </c>
      <c r="B9" s="38"/>
      <c r="C9" s="38"/>
      <c r="D9" s="1">
        <v>1.5</v>
      </c>
      <c r="E9" t="s">
        <v>9</v>
      </c>
      <c r="I9" t="s">
        <v>68</v>
      </c>
      <c r="J9">
        <f>2*PI()*J8</f>
        <v>157.07963267948966</v>
      </c>
      <c r="K9" t="s">
        <v>2</v>
      </c>
    </row>
    <row r="12" spans="1:24">
      <c r="A12" s="37" t="s">
        <v>1</v>
      </c>
      <c r="B12" s="37"/>
      <c r="C12" s="37"/>
      <c r="D12" s="2">
        <f>(POWER((D6/2),2)*3.14)/100</f>
        <v>1.3266500000000002E-4</v>
      </c>
      <c r="E12" t="s">
        <v>3</v>
      </c>
    </row>
    <row r="13" spans="1:24">
      <c r="U13" t="s">
        <v>25</v>
      </c>
    </row>
    <row r="14" spans="1:24">
      <c r="A14" t="s">
        <v>10</v>
      </c>
      <c r="B14" t="s">
        <v>11</v>
      </c>
      <c r="C14" t="s">
        <v>12</v>
      </c>
      <c r="D14" t="s">
        <v>13</v>
      </c>
      <c r="E14" t="s">
        <v>69</v>
      </c>
      <c r="F14" t="s">
        <v>70</v>
      </c>
      <c r="G14" t="s">
        <v>14</v>
      </c>
      <c r="H14" t="s">
        <v>15</v>
      </c>
      <c r="I14" t="s">
        <v>16</v>
      </c>
      <c r="R14" t="s">
        <v>18</v>
      </c>
      <c r="S14" t="s">
        <v>22</v>
      </c>
      <c r="T14" t="s">
        <v>19</v>
      </c>
      <c r="U14" t="s">
        <v>20</v>
      </c>
      <c r="V14" t="s">
        <v>12</v>
      </c>
      <c r="W14" t="s">
        <v>21</v>
      </c>
      <c r="X14" t="s">
        <v>27</v>
      </c>
    </row>
    <row r="15" spans="1:24">
      <c r="A15">
        <v>1</v>
      </c>
      <c r="B15" s="4">
        <f>$D$12*A15*$D$7*100</f>
        <v>4.9086050000000013E-2</v>
      </c>
      <c r="C15">
        <f>$D$9*A15</f>
        <v>1.5</v>
      </c>
      <c r="D15" s="4">
        <f>$D$8*A15/($D$12*100)</f>
        <v>1.9221347001846751</v>
      </c>
      <c r="E15">
        <f>(A15*1000/$J$9)*$D$6</f>
        <v>0.82760570407785572</v>
      </c>
      <c r="F15">
        <f>(A15*1000/$J$9)</f>
        <v>6.3661977236758132</v>
      </c>
      <c r="G15" s="4">
        <f>D15/2</f>
        <v>0.96106735009233757</v>
      </c>
      <c r="H15" s="4">
        <f>B15*2</f>
        <v>9.8172100000000026E-2</v>
      </c>
      <c r="I15">
        <f>((1/($K$6+B15))*(1/D15))/((1/($K$6+H15))*(1/G15))</f>
        <v>0.52339467291553432</v>
      </c>
      <c r="K15">
        <f>((1/(1+B15))*(1/D15))/((1/(1+H15))*(1/G15))</f>
        <v>0.52339467291553432</v>
      </c>
      <c r="L15">
        <f>((1/(3+B15))*(1/D15))/((1/(3+H15))*(1/G15))</f>
        <v>0.5080493054631896</v>
      </c>
      <c r="M15">
        <f>((1/(6+B15))*(1/D15))/((1/(6+H15))*(1/G15))</f>
        <v>0.50405731126936115</v>
      </c>
      <c r="N15">
        <f>((1/(9+B15))*(1/D15))/((1/(9+H15))*(1/G15))</f>
        <v>0.50271221036736635</v>
      </c>
      <c r="O15">
        <f>((1/(12+B15))*(1/D15))/((1/(12+H15))*(1/G15))</f>
        <v>0.50203692005336786</v>
      </c>
      <c r="P15">
        <f>((1/(15+B15))*(1/D15))/((1/(15+H15))*(1/G15))</f>
        <v>0.50163086481919628</v>
      </c>
      <c r="R15">
        <v>16</v>
      </c>
      <c r="S15">
        <v>7.33</v>
      </c>
      <c r="T15" s="4">
        <f>$D$8*S15/($D$12*100)</f>
        <v>14.08924735235367</v>
      </c>
      <c r="U15" t="s">
        <v>24</v>
      </c>
      <c r="V15">
        <f>$D$9*S15</f>
        <v>10.995000000000001</v>
      </c>
      <c r="W15" s="4">
        <f>$D$12*S15*$D$7*100</f>
        <v>0.35980074650000005</v>
      </c>
      <c r="X15">
        <f>POWER(V15,2)/T15</f>
        <v>8.580303970588238</v>
      </c>
    </row>
    <row r="16" spans="1:24">
      <c r="A16">
        <v>2</v>
      </c>
      <c r="B16" s="4">
        <f t="shared" ref="B16:B34" si="0">$D$12*A16*$D$7*100</f>
        <v>9.8172100000000026E-2</v>
      </c>
      <c r="C16">
        <f t="shared" ref="C16:C34" si="1">$D$9*A16</f>
        <v>3</v>
      </c>
      <c r="D16" s="4">
        <f t="shared" ref="D16:D34" si="2">$D$8*A16/($D$12*100)</f>
        <v>3.8442694003693503</v>
      </c>
      <c r="E16">
        <f t="shared" ref="E16:E34" si="3">(A16*1000/$J$9)*$D$6</f>
        <v>1.6552114081557114</v>
      </c>
      <c r="F16">
        <f t="shared" ref="F16:F34" si="4">(A16*1000/$J$9)</f>
        <v>12.732395447351626</v>
      </c>
      <c r="G16" s="4">
        <f>D16/2</f>
        <v>1.9221347001846751</v>
      </c>
      <c r="H16" s="4">
        <f>B16*2</f>
        <v>0.19634420000000005</v>
      </c>
      <c r="I16">
        <f>((1/($K$6+B16))*(1/D16))/((1/($K$6+H16))*(1/G16))</f>
        <v>0.54469795763341655</v>
      </c>
      <c r="K16">
        <f>((1/(1+B16))*(1/D16))/((1/(1+H16))*(1/G16))</f>
        <v>0.54469795763341655</v>
      </c>
      <c r="L16">
        <f>((1/(3+B16))*(1/D16))/((1/(3+H16))*(1/G16))</f>
        <v>0.51584355175104701</v>
      </c>
      <c r="M16">
        <f>((1/(6+B16))*(1/D16))/((1/(6+H16))*(1/G16))</f>
        <v>0.5080493054631896</v>
      </c>
      <c r="N16">
        <f>((1/(9+B16))*(1/D16))/((1/(9+H16))*(1/G16))</f>
        <v>0.50539515514330624</v>
      </c>
      <c r="O16">
        <f>((1/(12+B16))*(1/D16))/((1/(12+H16))*(1/G16))</f>
        <v>0.50405731126936115</v>
      </c>
      <c r="P16">
        <f>((1/(15+B16))*(1/D16))/((1/(15+H16))*(1/G16))</f>
        <v>0.5032511253464913</v>
      </c>
      <c r="R16">
        <v>8</v>
      </c>
      <c r="S16">
        <v>7.33</v>
      </c>
      <c r="T16" s="4">
        <f>$D$8*S16/($D$12*200)</f>
        <v>7.044623676176835</v>
      </c>
      <c r="U16" t="s">
        <v>23</v>
      </c>
      <c r="V16">
        <f>$D$9*S16</f>
        <v>10.995000000000001</v>
      </c>
      <c r="W16" s="4">
        <f>$D$12*S16*$D$7*200</f>
        <v>0.71960149300000009</v>
      </c>
      <c r="X16">
        <f>POWER(V16,2)/T16</f>
        <v>17.160607941176476</v>
      </c>
    </row>
    <row r="17" spans="1:24">
      <c r="A17">
        <v>3</v>
      </c>
      <c r="B17" s="4">
        <f t="shared" si="0"/>
        <v>0.14725815000000003</v>
      </c>
      <c r="C17">
        <f t="shared" si="1"/>
        <v>4.5</v>
      </c>
      <c r="D17" s="4">
        <f t="shared" si="2"/>
        <v>5.7664041005540261</v>
      </c>
      <c r="E17">
        <f t="shared" si="3"/>
        <v>2.4828171122335672</v>
      </c>
      <c r="F17">
        <f t="shared" si="4"/>
        <v>19.098593171027439</v>
      </c>
      <c r="G17" s="4">
        <f>D17/2</f>
        <v>2.883202050277013</v>
      </c>
      <c r="H17" s="4">
        <f>B17*2</f>
        <v>0.29451630000000006</v>
      </c>
      <c r="I17">
        <f>((1/($K$6+B17))*(1/D17))/((1/($K$6+H17))*(1/G17))</f>
        <v>0.56417829762203053</v>
      </c>
      <c r="K17">
        <f>((1/(1+B17))*(1/D17))/((1/(1+H17))*(1/G17))</f>
        <v>0.56417829762203053</v>
      </c>
      <c r="L17">
        <f>((1/(3+B17))*(1/D17))/((1/(3+H17))*(1/G17))</f>
        <v>0.52339467291553454</v>
      </c>
      <c r="M17">
        <f>((1/(6+B17))*(1/D17))/((1/(6+H17))*(1/G17))</f>
        <v>0.51197754725820321</v>
      </c>
      <c r="N17">
        <f>((1/(9+B17))*(1/D17))/((1/(9+H17))*(1/G17))</f>
        <v>0.5080493054631896</v>
      </c>
      <c r="O17">
        <f>((1/(12+B17))*(1/D17))/((1/(12+H17))*(1/G17))</f>
        <v>0.50606137402291063</v>
      </c>
      <c r="P17">
        <f>((1/(15+B17))*(1/D17))/((1/(15+H17))*(1/G17))</f>
        <v>0.50486088467436585</v>
      </c>
      <c r="R17">
        <v>16</v>
      </c>
      <c r="S17">
        <v>14.66</v>
      </c>
      <c r="T17" s="4">
        <f>$D$8*S17/($D$12*200)</f>
        <v>14.08924735235367</v>
      </c>
      <c r="U17" t="s">
        <v>26</v>
      </c>
      <c r="V17">
        <f>$D$9*S17</f>
        <v>21.990000000000002</v>
      </c>
      <c r="W17" s="4">
        <f>$D$12*S17*$D$7*200</f>
        <v>1.4392029860000002</v>
      </c>
      <c r="X17">
        <f>POWER(V17,2)/T17</f>
        <v>34.321215882352952</v>
      </c>
    </row>
    <row r="18" spans="1:24">
      <c r="A18">
        <v>4</v>
      </c>
      <c r="B18" s="4">
        <f t="shared" si="0"/>
        <v>0.19634420000000005</v>
      </c>
      <c r="C18">
        <f t="shared" si="1"/>
        <v>6</v>
      </c>
      <c r="D18" s="4">
        <f t="shared" si="2"/>
        <v>7.6885388007387006</v>
      </c>
      <c r="E18">
        <f t="shared" si="3"/>
        <v>3.3104228163114229</v>
      </c>
      <c r="F18">
        <f t="shared" si="4"/>
        <v>25.464790894703253</v>
      </c>
      <c r="G18" s="4">
        <f>D18/2</f>
        <v>3.8442694003693503</v>
      </c>
      <c r="H18" s="4">
        <f>B18*2</f>
        <v>0.3926884000000001</v>
      </c>
      <c r="I18">
        <f>((1/($K$6+B18))*(1/D18))/((1/($K$6+H18))*(1/G18))</f>
        <v>0.58206007936511928</v>
      </c>
      <c r="K18">
        <f>((1/(1+B18))*(1/D18))/((1/(1+H18))*(1/G18))</f>
        <v>0.58206007936511928</v>
      </c>
      <c r="L18">
        <f>((1/(3+B18))*(1/D18))/((1/(3+H18))*(1/G18))</f>
        <v>0.53071386992677438</v>
      </c>
      <c r="M18">
        <f>((1/(6+B18))*(1/D18))/((1/(6+H18))*(1/G18))</f>
        <v>0.51584355175104701</v>
      </c>
      <c r="N18">
        <f>((1/(9+B18))*(1/D18))/((1/(9+H18))*(1/G18))</f>
        <v>0.51067512240353075</v>
      </c>
      <c r="O18">
        <f>((1/(12+B18))*(1/D18))/((1/(12+H18))*(1/G18))</f>
        <v>0.5080493054631896</v>
      </c>
      <c r="P18">
        <f>((1/(15+B18))*(1/D18))/((1/(15+H18))*(1/G18))</f>
        <v>0.50646024456329441</v>
      </c>
    </row>
    <row r="19" spans="1:24">
      <c r="A19">
        <v>5</v>
      </c>
      <c r="B19" s="4">
        <f t="shared" si="0"/>
        <v>0.24543025000000004</v>
      </c>
      <c r="C19">
        <f t="shared" si="1"/>
        <v>7.5</v>
      </c>
      <c r="D19" s="4">
        <f t="shared" si="2"/>
        <v>9.6106735009233777</v>
      </c>
      <c r="E19">
        <f t="shared" si="3"/>
        <v>4.1380285203892786</v>
      </c>
      <c r="F19">
        <f t="shared" si="4"/>
        <v>31.830988618379067</v>
      </c>
      <c r="G19" s="4">
        <f>D19/2</f>
        <v>4.8053367504616888</v>
      </c>
      <c r="H19" s="4">
        <f>B19*2</f>
        <v>0.49086050000000009</v>
      </c>
      <c r="I19">
        <f>((1/($K$6+B19))*(1/D19))/((1/($K$6+H19))*(1/G19))</f>
        <v>0.5985323144351119</v>
      </c>
      <c r="K19">
        <f>((1/(1+B19))*(1/D19))/((1/(1+H19))*(1/G19))</f>
        <v>0.5985323144351119</v>
      </c>
      <c r="L19">
        <f>((1/(3+B19))*(1/D19))/((1/(3+H19))*(1/G19))</f>
        <v>0.53781166611114206</v>
      </c>
      <c r="M19">
        <f>((1/(6+B19))*(1/D19))/((1/(6+H19))*(1/G19))</f>
        <v>0.51964878640666901</v>
      </c>
      <c r="N19">
        <f>((1/(9+B19))*(1/D19))/((1/(9+H19))*(1/G19))</f>
        <v>0.51327305724901229</v>
      </c>
      <c r="O19">
        <f>((1/(12+B19))*(1/D19))/((1/(12+H19))*(1/G19))</f>
        <v>0.51002129957826514</v>
      </c>
      <c r="P19">
        <f>((1/(15+B19))*(1/D19))/((1/(15+H19))*(1/G19))</f>
        <v>0.5080493054631896</v>
      </c>
    </row>
    <row r="20" spans="1:24">
      <c r="A20">
        <v>6</v>
      </c>
      <c r="B20" s="4">
        <f t="shared" si="0"/>
        <v>0.29451630000000006</v>
      </c>
      <c r="C20">
        <f t="shared" si="1"/>
        <v>9</v>
      </c>
      <c r="D20" s="4">
        <f t="shared" si="2"/>
        <v>11.532808201108052</v>
      </c>
      <c r="E20">
        <f t="shared" si="3"/>
        <v>4.9656342244671343</v>
      </c>
      <c r="F20">
        <f t="shared" si="4"/>
        <v>38.197186342054877</v>
      </c>
      <c r="G20" s="4">
        <f>D20/2</f>
        <v>5.7664041005540261</v>
      </c>
      <c r="H20" s="4">
        <f>B20*2</f>
        <v>0.58903260000000013</v>
      </c>
      <c r="I20">
        <f>((1/($K$6+B20))*(1/D20))/((1/($K$6+H20))*(1/G20))</f>
        <v>0.61375534630193529</v>
      </c>
      <c r="K20">
        <f>((1/(1+B20))*(1/D20))/((1/(1+H20))*(1/G20))</f>
        <v>0.61375534630193529</v>
      </c>
      <c r="L20">
        <f>((1/(3+B20))*(1/D20))/((1/(3+H20))*(1/G20))</f>
        <v>0.54469795763341644</v>
      </c>
      <c r="M20">
        <f>((1/(6+B20))*(1/D20))/((1/(6+H20))*(1/G20))</f>
        <v>0.52339467291553454</v>
      </c>
      <c r="N20">
        <f>((1/(9+B20))*(1/D20))/((1/(9+H20))*(1/G20))</f>
        <v>0.5158435517510469</v>
      </c>
      <c r="O20">
        <f>((1/(12+B20))*(1/D20))/((1/(12+H20))*(1/G20))</f>
        <v>0.51197754725820321</v>
      </c>
      <c r="P20">
        <f>((1/(15+B20))*(1/D20))/((1/(15+H20))*(1/G20))</f>
        <v>0.50962816653443299</v>
      </c>
    </row>
    <row r="21" spans="1:24">
      <c r="A21">
        <v>7</v>
      </c>
      <c r="B21" s="4">
        <f t="shared" si="0"/>
        <v>0.34360235000000006</v>
      </c>
      <c r="C21">
        <f t="shared" si="1"/>
        <v>10.5</v>
      </c>
      <c r="D21" s="4">
        <f t="shared" si="2"/>
        <v>13.454942901292727</v>
      </c>
      <c r="E21">
        <f t="shared" si="3"/>
        <v>5.7932399285449909</v>
      </c>
      <c r="F21">
        <f t="shared" si="4"/>
        <v>44.563384065730695</v>
      </c>
      <c r="G21" s="4">
        <f>D21/2</f>
        <v>6.7274714506463633</v>
      </c>
      <c r="H21" s="4">
        <f>B21*2</f>
        <v>0.68720470000000011</v>
      </c>
      <c r="I21">
        <f>((1/($K$6+B21))*(1/D21))/((1/($K$6+H21))*(1/G21))</f>
        <v>0.62786608701599855</v>
      </c>
      <c r="K21">
        <f>((1/(1+B21))*(1/D21))/((1/(1+H21))*(1/G21))</f>
        <v>0.62786608701599855</v>
      </c>
      <c r="L21">
        <f>((1/(3+B21))*(1/D21))/((1/(3+H21))*(1/G21))</f>
        <v>0.55138205953228847</v>
      </c>
      <c r="M21">
        <f>((1/(6+B21))*(1/D21))/((1/(6+H21))*(1/G21))</f>
        <v>0.52708258896461258</v>
      </c>
      <c r="N21">
        <f>((1/(9+B21))*(1/D21))/((1/(9+H21))*(1/G21))</f>
        <v>0.51838703837819045</v>
      </c>
      <c r="O21">
        <f>((1/(12+B21))*(1/D21))/((1/(12+H21))*(1/G21))</f>
        <v>0.51391823635666622</v>
      </c>
      <c r="P21">
        <f>((1/(15+B21))*(1/D21))/((1/(15+H21))*(1/G21))</f>
        <v>0.51119692566850183</v>
      </c>
    </row>
    <row r="22" spans="1:24">
      <c r="A22">
        <v>8</v>
      </c>
      <c r="B22" s="4">
        <f t="shared" si="0"/>
        <v>0.3926884000000001</v>
      </c>
      <c r="C22">
        <f t="shared" si="1"/>
        <v>12</v>
      </c>
      <c r="D22" s="4">
        <f t="shared" si="2"/>
        <v>15.377077601477401</v>
      </c>
      <c r="E22">
        <f t="shared" si="3"/>
        <v>6.6208456326228458</v>
      </c>
      <c r="F22">
        <f t="shared" si="4"/>
        <v>50.929581789406505</v>
      </c>
      <c r="G22" s="4">
        <f>D22/2</f>
        <v>7.6885388007387006</v>
      </c>
      <c r="H22" s="4">
        <f>B22*2</f>
        <v>0.78537680000000021</v>
      </c>
      <c r="I22">
        <f>((1/($K$6+B22))*(1/D22))/((1/($K$6+H22))*(1/G22))</f>
        <v>0.64098214647296547</v>
      </c>
      <c r="K22">
        <f>((1/(1+B22))*(1/D22))/((1/(1+H22))*(1/G22))</f>
        <v>0.64098214647296547</v>
      </c>
      <c r="L22">
        <f>((1/(3+B22))*(1/D22))/((1/(3+H22))*(1/G22))</f>
        <v>0.55787274775956441</v>
      </c>
      <c r="M22">
        <f>((1/(6+B22))*(1/D22))/((1/(6+H22))*(1/G22))</f>
        <v>0.53071386992677438</v>
      </c>
      <c r="N22">
        <f>((1/(9+B22))*(1/D22))/((1/(9+H22))*(1/G22))</f>
        <v>0.52090394055870093</v>
      </c>
      <c r="O22">
        <f>((1/(12+B22))*(1/D22))/((1/(12+H22))*(1/G22))</f>
        <v>0.51584355175104701</v>
      </c>
      <c r="P22">
        <f>((1/(15+B22))*(1/D22))/((1/(15+H22))*(1/G22))</f>
        <v>0.51275567950820078</v>
      </c>
    </row>
    <row r="23" spans="1:24">
      <c r="A23">
        <v>9</v>
      </c>
      <c r="B23" s="4">
        <f t="shared" si="0"/>
        <v>0.4417744500000001</v>
      </c>
      <c r="C23">
        <f t="shared" si="1"/>
        <v>13.5</v>
      </c>
      <c r="D23" s="4">
        <f t="shared" si="2"/>
        <v>17.299212301662077</v>
      </c>
      <c r="E23">
        <f t="shared" si="3"/>
        <v>7.4484513367007024</v>
      </c>
      <c r="F23">
        <f t="shared" si="4"/>
        <v>57.295779513082323</v>
      </c>
      <c r="G23" s="4">
        <f>D23/2</f>
        <v>8.6496061508310387</v>
      </c>
      <c r="H23" s="4">
        <f>B23*2</f>
        <v>0.88354890000000019</v>
      </c>
      <c r="I23">
        <f>((1/($K$6+B23))*(1/D23))/((1/($K$6+H23))*(1/G23))</f>
        <v>0.65320511817919935</v>
      </c>
      <c r="K23">
        <f>((1/(1+B23))*(1/D23))/((1/(1+H23))*(1/G23))</f>
        <v>0.65320511817919935</v>
      </c>
      <c r="L23">
        <f>((1/(3+B23))*(1/D23))/((1/(3+H23))*(1/G23))</f>
        <v>0.56417829762203042</v>
      </c>
      <c r="M23">
        <f>((1/(6+B23))*(1/D23))/((1/(6+H23))*(1/G23))</f>
        <v>0.53428981047295121</v>
      </c>
      <c r="N23">
        <f>((1/(9+B23))*(1/D23))/((1/(9+H23))*(1/G23))</f>
        <v>0.52339467291553443</v>
      </c>
      <c r="O23">
        <f>((1/(12+B23))*(1/D23))/((1/(12+H23))*(1/G23))</f>
        <v>0.51775367540118034</v>
      </c>
      <c r="P23">
        <f>((1/(15+B23))*(1/D23))/((1/(15+H23))*(1/G23))</f>
        <v>0.51430452346750866</v>
      </c>
    </row>
    <row r="24" spans="1:24">
      <c r="A24">
        <v>10</v>
      </c>
      <c r="B24" s="4">
        <f t="shared" si="0"/>
        <v>0.49086050000000009</v>
      </c>
      <c r="C24">
        <f t="shared" si="1"/>
        <v>15</v>
      </c>
      <c r="D24" s="4">
        <f t="shared" si="2"/>
        <v>19.221347001846755</v>
      </c>
      <c r="E24">
        <f t="shared" si="3"/>
        <v>8.2760570407785572</v>
      </c>
      <c r="F24">
        <f t="shared" si="4"/>
        <v>63.661977236758133</v>
      </c>
      <c r="G24" s="4">
        <f>D24/2</f>
        <v>9.6106735009233777</v>
      </c>
      <c r="H24" s="4">
        <f>B24*2</f>
        <v>0.98172100000000018</v>
      </c>
      <c r="I24">
        <f>((1/($K$6+B24))*(1/D24))/((1/($K$6+H24))*(1/G24))</f>
        <v>0.66462321592127493</v>
      </c>
      <c r="K24">
        <f>((1/(1+B24))*(1/D24))/((1/(1+H24))*(1/G24))</f>
        <v>0.66462321592127493</v>
      </c>
      <c r="L24">
        <f>((1/(3+B24))*(1/D24))/((1/(3+H24))*(1/G24))</f>
        <v>0.57030651898006235</v>
      </c>
      <c r="M24">
        <f>((1/(6+B24))*(1/D24))/((1/(6+H24))*(1/G24))</f>
        <v>0.53781166611114206</v>
      </c>
      <c r="N24">
        <f>((1/(9+B24))*(1/D24))/((1/(9+H24))*(1/G24))</f>
        <v>0.52585964149404585</v>
      </c>
      <c r="O24">
        <f>((1/(12+B24))*(1/D24))/((1/(12+H24))*(1/G24))</f>
        <v>0.51964878640666901</v>
      </c>
      <c r="P24">
        <f>((1/(15+B24))*(1/D24))/((1/(15+H24))*(1/G24))</f>
        <v>0.51584355175104701</v>
      </c>
    </row>
    <row r="25" spans="1:24">
      <c r="A25">
        <v>11</v>
      </c>
      <c r="B25" s="4">
        <f t="shared" si="0"/>
        <v>0.53994655000000003</v>
      </c>
      <c r="C25">
        <f t="shared" si="1"/>
        <v>16.5</v>
      </c>
      <c r="D25" s="4">
        <f t="shared" si="2"/>
        <v>21.143481702031426</v>
      </c>
      <c r="E25">
        <f t="shared" si="3"/>
        <v>9.1036627448564129</v>
      </c>
      <c r="F25">
        <f t="shared" si="4"/>
        <v>70.028174960433944</v>
      </c>
      <c r="G25" s="4">
        <f>D25/2</f>
        <v>10.571740851015713</v>
      </c>
      <c r="H25" s="4">
        <f>B25*2</f>
        <v>1.0798931000000001</v>
      </c>
      <c r="I25">
        <f>((1/($K$6+B25))*(1/D25))/((1/($K$6+H25))*(1/G25))</f>
        <v>0.67531340616984414</v>
      </c>
      <c r="K25">
        <f>((1/(1+B25))*(1/D25))/((1/(1+H25))*(1/G25))</f>
        <v>0.67531340616984414</v>
      </c>
      <c r="L25">
        <f>((1/(3+B25))*(1/D25))/((1/(3+H25))*(1/G25))</f>
        <v>0.5762647885177814</v>
      </c>
      <c r="M25">
        <f>((1/(6+B25))*(1/D25))/((1/(6+H25))*(1/G25))</f>
        <v>0.54128065465611486</v>
      </c>
      <c r="N25">
        <f>((1/(9+B25))*(1/D25))/((1/(9+H25))*(1/G25))</f>
        <v>0.52829924398266148</v>
      </c>
      <c r="O25">
        <f>((1/(12+B25))*(1/D25))/((1/(12+H25))*(1/G25))</f>
        <v>0.52152906106286401</v>
      </c>
      <c r="P25">
        <f>((1/(15+B25))*(1/D25))/((1/(15+H25))*(1/G25))</f>
        <v>0.51737285737318062</v>
      </c>
    </row>
    <row r="26" spans="1:24">
      <c r="A26">
        <v>12</v>
      </c>
      <c r="B26" s="4">
        <f t="shared" si="0"/>
        <v>0.58903260000000013</v>
      </c>
      <c r="C26">
        <f t="shared" si="1"/>
        <v>18</v>
      </c>
      <c r="D26" s="4">
        <f t="shared" si="2"/>
        <v>23.065616402216104</v>
      </c>
      <c r="E26">
        <f t="shared" si="3"/>
        <v>9.9312684489342686</v>
      </c>
      <c r="F26">
        <f t="shared" si="4"/>
        <v>76.394372684109754</v>
      </c>
      <c r="G26" s="4">
        <f>D26/2</f>
        <v>11.532808201108052</v>
      </c>
      <c r="H26" s="4">
        <f>B26*2</f>
        <v>1.1780652000000003</v>
      </c>
      <c r="I26">
        <f>((1/($K$6+B26))*(1/D26))/((1/($K$6+H26))*(1/G26))</f>
        <v>0.68534314525705753</v>
      </c>
      <c r="K26">
        <f>((1/(1+B26))*(1/D26))/((1/(1+H26))*(1/G26))</f>
        <v>0.68534314525705753</v>
      </c>
      <c r="L26">
        <f>((1/(3+B26))*(1/D26))/((1/(3+H26))*(1/G26))</f>
        <v>0.58206007936511928</v>
      </c>
      <c r="M26">
        <f>((1/(6+B26))*(1/D26))/((1/(6+H26))*(1/G26))</f>
        <v>0.54469795763341644</v>
      </c>
      <c r="N26">
        <f>((1/(9+B26))*(1/D26))/((1/(9+H26))*(1/G26))</f>
        <v>0.53071386992677461</v>
      </c>
      <c r="O26">
        <f>((1/(12+B26))*(1/D26))/((1/(12+H26))*(1/G26))</f>
        <v>0.52339467291553454</v>
      </c>
      <c r="P26">
        <f>((1/(15+B26))*(1/D26))/((1/(15+H26))*(1/G26))</f>
        <v>0.51889253217675602</v>
      </c>
    </row>
    <row r="27" spans="1:24">
      <c r="A27">
        <v>13</v>
      </c>
      <c r="B27" s="4">
        <f t="shared" si="0"/>
        <v>0.63811865000000023</v>
      </c>
      <c r="C27">
        <f t="shared" si="1"/>
        <v>19.5</v>
      </c>
      <c r="D27" s="4">
        <f t="shared" si="2"/>
        <v>24.987751102400775</v>
      </c>
      <c r="E27">
        <f t="shared" si="3"/>
        <v>10.758874153012126</v>
      </c>
      <c r="F27">
        <f t="shared" si="4"/>
        <v>82.760570407785579</v>
      </c>
      <c r="G27" s="4">
        <f>D27/2</f>
        <v>12.493875551200388</v>
      </c>
      <c r="H27" s="4">
        <f>B27*2</f>
        <v>1.2762373000000005</v>
      </c>
      <c r="I27">
        <f>((1/($K$6+B27))*(1/D27))/((1/($K$6+H27))*(1/G27))</f>
        <v>0.69477180422797824</v>
      </c>
      <c r="K27">
        <f>((1/(1+B27))*(1/D27))/((1/(1+H27))*(1/G27))</f>
        <v>0.69477180422797824</v>
      </c>
      <c r="L27">
        <f>((1/(3+B27))*(1/D27))/((1/(3+H27))*(1/G27))</f>
        <v>0.58769898832189005</v>
      </c>
      <c r="M27">
        <f>((1/(6+B27))*(1/D27))/((1/(6+H27))*(1/G27))</f>
        <v>0.54806472162108755</v>
      </c>
      <c r="N27">
        <f>((1/(9+B27))*(1/D27))/((1/(9+H27))*(1/G27))</f>
        <v>0.53310390093610227</v>
      </c>
      <c r="O27">
        <f>((1/(12+B27))*(1/D27))/((1/(12+H27))*(1/G27))</f>
        <v>0.5252457928142652</v>
      </c>
      <c r="P27">
        <f>((1/(15+B27))*(1/D27))/((1/(15+H27))*(1/G27))</f>
        <v>0.5204026668514885</v>
      </c>
    </row>
    <row r="28" spans="1:24">
      <c r="A28">
        <v>14</v>
      </c>
      <c r="B28" s="4">
        <f t="shared" si="0"/>
        <v>0.68720470000000011</v>
      </c>
      <c r="C28">
        <f t="shared" si="1"/>
        <v>21</v>
      </c>
      <c r="D28" s="4">
        <f t="shared" si="2"/>
        <v>26.909885802585453</v>
      </c>
      <c r="E28">
        <f t="shared" si="3"/>
        <v>11.586479857089982</v>
      </c>
      <c r="F28">
        <f t="shared" si="4"/>
        <v>89.12676813146139</v>
      </c>
      <c r="G28" s="4">
        <f>D28/2</f>
        <v>13.454942901292727</v>
      </c>
      <c r="H28" s="4">
        <f>B28*2</f>
        <v>1.3744094000000002</v>
      </c>
      <c r="I28">
        <f>((1/($K$6+B28))*(1/D28))/((1/($K$6+H28))*(1/G28))</f>
        <v>0.70365184497174527</v>
      </c>
      <c r="K28">
        <f>((1/(1+B28))*(1/D28))/((1/(1+H28))*(1/G28))</f>
        <v>0.70365184497174527</v>
      </c>
      <c r="L28">
        <f>((1/(3+B28))*(1/D28))/((1/(3+H28))*(1/G28))</f>
        <v>0.59318776090733449</v>
      </c>
      <c r="M28">
        <f>((1/(6+B28))*(1/D28))/((1/(6+H28))*(1/G28))</f>
        <v>0.55138205953228847</v>
      </c>
      <c r="N28">
        <f>((1/(9+B28))*(1/D28))/((1/(9+H28))*(1/G28))</f>
        <v>0.53546971088574191</v>
      </c>
      <c r="O28">
        <f>((1/(12+B28))*(1/D28))/((1/(12+H28))*(1/G28))</f>
        <v>0.52708258896461258</v>
      </c>
      <c r="P28">
        <f>((1/(15+B28))*(1/D28))/((1/(15+H28))*(1/G28))</f>
        <v>0.52190335095200246</v>
      </c>
    </row>
    <row r="29" spans="1:24">
      <c r="A29">
        <v>15</v>
      </c>
      <c r="B29" s="4">
        <f t="shared" si="0"/>
        <v>0.7362907500000001</v>
      </c>
      <c r="C29">
        <f t="shared" si="1"/>
        <v>22.5</v>
      </c>
      <c r="D29" s="4">
        <f t="shared" si="2"/>
        <v>28.832020502770128</v>
      </c>
      <c r="E29">
        <f t="shared" si="3"/>
        <v>12.414085561167836</v>
      </c>
      <c r="F29">
        <f t="shared" si="4"/>
        <v>95.4929658551372</v>
      </c>
      <c r="G29" s="4">
        <f>D29/2</f>
        <v>14.416010251385064</v>
      </c>
      <c r="H29" s="4">
        <f>B29*2</f>
        <v>1.4725815000000002</v>
      </c>
      <c r="I29">
        <f>((1/($K$6+B29))*(1/D29))/((1/($K$6+H29))*(1/G29))</f>
        <v>0.71202979685286016</v>
      </c>
      <c r="K29">
        <f>((1/(1+B29))*(1/D29))/((1/(1+H29))*(1/G29))</f>
        <v>0.71202979685286016</v>
      </c>
      <c r="L29">
        <f>((1/(3+B29))*(1/D29))/((1/(3+H29))*(1/G29))</f>
        <v>0.5985323144351119</v>
      </c>
      <c r="M29">
        <f>((1/(6+B29))*(1/D29))/((1/(6+H29))*(1/G29))</f>
        <v>0.55465105184184638</v>
      </c>
      <c r="N29">
        <f>((1/(9+B29))*(1/D29))/((1/(9+H29))*(1/G29))</f>
        <v>0.53781166611114195</v>
      </c>
      <c r="O29">
        <f>((1/(12+B29))*(1/D29))/((1/(12+H29))*(1/G29))</f>
        <v>0.52890522697905595</v>
      </c>
      <c r="P29">
        <f>((1/(15+B29))*(1/D29))/((1/(15+H29))*(1/G29))</f>
        <v>0.52339467291553443</v>
      </c>
    </row>
    <row r="30" spans="1:24">
      <c r="A30">
        <v>16</v>
      </c>
      <c r="B30" s="4">
        <f t="shared" si="0"/>
        <v>0.78537680000000021</v>
      </c>
      <c r="C30">
        <f t="shared" si="1"/>
        <v>24</v>
      </c>
      <c r="D30" s="4">
        <f t="shared" si="2"/>
        <v>30.754155202954802</v>
      </c>
      <c r="E30">
        <f t="shared" si="3"/>
        <v>13.241691265245692</v>
      </c>
      <c r="F30">
        <f t="shared" si="4"/>
        <v>101.85916357881301</v>
      </c>
      <c r="G30" s="4">
        <f>D30/2</f>
        <v>15.377077601477401</v>
      </c>
      <c r="H30" s="4">
        <f>B30*2</f>
        <v>1.5707536000000004</v>
      </c>
      <c r="I30">
        <f>((1/($K$6+B30))*(1/D30))/((1/($K$6+H30))*(1/G30))</f>
        <v>0.71994707223707632</v>
      </c>
      <c r="K30">
        <f>((1/(1+B30))*(1/D30))/((1/(1+H30))*(1/G30))</f>
        <v>0.71994707223707632</v>
      </c>
      <c r="L30">
        <f>((1/(3+B30))*(1/D30))/((1/(3+H30))*(1/G30))</f>
        <v>0.60373825929297198</v>
      </c>
      <c r="M30">
        <f>((1/(6+B30))*(1/D30))/((1/(6+H30))*(1/G30))</f>
        <v>0.55787274775956441</v>
      </c>
      <c r="N30">
        <f>((1/(9+B30))*(1/D30))/((1/(9+H30))*(1/G30))</f>
        <v>0.54013012559720752</v>
      </c>
      <c r="O30">
        <f>((1/(12+B30))*(1/D30))/((1/(12+H30))*(1/G30))</f>
        <v>0.53071386992677438</v>
      </c>
      <c r="P30">
        <f>((1/(15+B30))*(1/D30))/((1/(15+H30))*(1/G30))</f>
        <v>0.52487672007930797</v>
      </c>
    </row>
    <row r="31" spans="1:24">
      <c r="A31">
        <v>17</v>
      </c>
      <c r="B31" s="4">
        <f t="shared" si="0"/>
        <v>0.83446285000000009</v>
      </c>
      <c r="C31">
        <f t="shared" si="1"/>
        <v>25.5</v>
      </c>
      <c r="D31" s="4">
        <f t="shared" si="2"/>
        <v>32.676289903139484</v>
      </c>
      <c r="E31">
        <f t="shared" si="3"/>
        <v>14.069296969323547</v>
      </c>
      <c r="F31">
        <f t="shared" si="4"/>
        <v>108.22536130248882</v>
      </c>
      <c r="G31" s="4">
        <f>D31/2</f>
        <v>16.338144951569742</v>
      </c>
      <c r="H31" s="4">
        <f>B31*2</f>
        <v>1.6689257000000002</v>
      </c>
      <c r="I31">
        <f>((1/($K$6+B31))*(1/D31))/((1/($K$6+H31))*(1/G31))</f>
        <v>0.72744065108759215</v>
      </c>
      <c r="K31">
        <f>((1/(1+B31))*(1/D31))/((1/(1+H31))*(1/G31))</f>
        <v>0.72744065108759215</v>
      </c>
      <c r="L31">
        <f>((1/(3+B31))*(1/D31))/((1/(3+H31))*(1/G31))</f>
        <v>0.60881091858798431</v>
      </c>
      <c r="M31">
        <f>((1/(6+B31))*(1/D31))/((1/(6+H31))*(1/G31))</f>
        <v>0.56104816635297083</v>
      </c>
      <c r="N31">
        <f>((1/(9+B31))*(1/D31))/((1/(9+H31))*(1/G31))</f>
        <v>0.54242544116174074</v>
      </c>
      <c r="O31">
        <f>((1/(12+B31))*(1/D31))/((1/(12+H31))*(1/G31))</f>
        <v>0.53250867838228233</v>
      </c>
      <c r="P31">
        <f>((1/(15+B31))*(1/D31))/((1/(15+H31))*(1/G31))</f>
        <v>0.52634957869758114</v>
      </c>
    </row>
    <row r="32" spans="1:24">
      <c r="A32">
        <v>18</v>
      </c>
      <c r="B32" s="4">
        <f t="shared" si="0"/>
        <v>0.88354890000000019</v>
      </c>
      <c r="C32">
        <f t="shared" si="1"/>
        <v>27</v>
      </c>
      <c r="D32" s="4">
        <f t="shared" si="2"/>
        <v>34.598424603324155</v>
      </c>
      <c r="E32">
        <f t="shared" si="3"/>
        <v>14.896902673401405</v>
      </c>
      <c r="F32">
        <f t="shared" si="4"/>
        <v>114.59155902616465</v>
      </c>
      <c r="G32" s="4">
        <f>D32/2</f>
        <v>17.299212301662077</v>
      </c>
      <c r="H32" s="4">
        <f>B32*2</f>
        <v>1.7670978000000004</v>
      </c>
      <c r="I32">
        <f>((1/($K$6+B32))*(1/D32))/((1/($K$6+H32))*(1/G32))</f>
        <v>0.73454365851611281</v>
      </c>
      <c r="K32">
        <f>((1/(1+B32))*(1/D32))/((1/(1+H32))*(1/G32))</f>
        <v>0.73454365851611281</v>
      </c>
      <c r="L32">
        <f>((1/(3+B32))*(1/D32))/((1/(3+H32))*(1/G32))</f>
        <v>0.6137553463019354</v>
      </c>
      <c r="M32">
        <f>((1/(6+B32))*(1/D32))/((1/(6+H32))*(1/G32))</f>
        <v>0.56417829762203042</v>
      </c>
      <c r="N32">
        <f>((1/(9+B32))*(1/D32))/((1/(9+H32))*(1/G32))</f>
        <v>0.54469795763341644</v>
      </c>
      <c r="O32">
        <f>((1/(12+B32))*(1/D32))/((1/(12+H32))*(1/G32))</f>
        <v>0.53428981047295121</v>
      </c>
      <c r="P32">
        <f>((1/(15+B32))*(1/D32))/((1/(15+H32))*(1/G32))</f>
        <v>0.52781333395838259</v>
      </c>
    </row>
    <row r="33" spans="1:16">
      <c r="A33">
        <v>19</v>
      </c>
      <c r="B33" s="4">
        <f t="shared" si="0"/>
        <v>0.93263495000000007</v>
      </c>
      <c r="C33">
        <f t="shared" si="1"/>
        <v>28.5</v>
      </c>
      <c r="D33" s="4">
        <f t="shared" si="2"/>
        <v>36.520559303508833</v>
      </c>
      <c r="E33">
        <f t="shared" si="3"/>
        <v>15.72450837747926</v>
      </c>
      <c r="F33">
        <f t="shared" si="4"/>
        <v>120.95775674984046</v>
      </c>
      <c r="G33" s="4">
        <f>D33/2</f>
        <v>18.260279651754416</v>
      </c>
      <c r="H33" s="4">
        <f>B33*2</f>
        <v>1.8652699000000001</v>
      </c>
      <c r="I33">
        <f>((1/($K$6+B33))*(1/D33))/((1/($K$6+H33))*(1/G33))</f>
        <v>0.74128585432028959</v>
      </c>
      <c r="K33">
        <f>((1/(1+B33))*(1/D33))/((1/(1+H33))*(1/G33))</f>
        <v>0.74128585432028959</v>
      </c>
      <c r="L33">
        <f>((1/(3+B33))*(1/D33))/((1/(3+H33))*(1/G33))</f>
        <v>0.61857634408706041</v>
      </c>
      <c r="M33">
        <f>((1/(6+B33))*(1/D33))/((1/(6+H33))*(1/G33))</f>
        <v>0.56726410352819756</v>
      </c>
      <c r="N33">
        <f>((1/(9+B33))*(1/D33))/((1/(9+H33))*(1/G33))</f>
        <v>0.54694801302447948</v>
      </c>
      <c r="O33">
        <f>((1/(12+B33))*(1/D33))/((1/(12+H33))*(1/G33))</f>
        <v>0.53605742192545225</v>
      </c>
      <c r="P33">
        <f>((1/(15+B33))*(1/D33))/((1/(15+H33))*(1/G33))</f>
        <v>0.52926806999993437</v>
      </c>
    </row>
    <row r="34" spans="1:16">
      <c r="A34">
        <v>20</v>
      </c>
      <c r="B34" s="4">
        <f t="shared" si="0"/>
        <v>0.98172100000000018</v>
      </c>
      <c r="C34">
        <f t="shared" si="1"/>
        <v>30</v>
      </c>
      <c r="D34" s="4">
        <f t="shared" si="2"/>
        <v>38.442694003693511</v>
      </c>
      <c r="E34">
        <f t="shared" si="3"/>
        <v>16.552114081557114</v>
      </c>
      <c r="F34">
        <f t="shared" si="4"/>
        <v>127.32395447351627</v>
      </c>
      <c r="G34" s="4">
        <f>D34/2</f>
        <v>19.221347001846755</v>
      </c>
      <c r="H34" s="4">
        <f>B34*2</f>
        <v>1.9634420000000004</v>
      </c>
      <c r="I34">
        <f>((1/($K$6+B34))*(1/D34))/((1/($K$6+H34))*(1/G34))</f>
        <v>0.74769404976785359</v>
      </c>
      <c r="K34">
        <f>((1/(1+B34))*(1/D34))/((1/(1+H34))*(1/G34))</f>
        <v>0.74769404976785359</v>
      </c>
      <c r="L34">
        <f>((1/(3+B34))*(1/D34))/((1/(3+H34))*(1/G34))</f>
        <v>0.6232784768194457</v>
      </c>
      <c r="M34">
        <f>((1/(6+B34))*(1/D34))/((1/(6+H34))*(1/G34))</f>
        <v>0.57030651898006235</v>
      </c>
      <c r="N34">
        <f>((1/(9+B34))*(1/D34))/((1/(9+H34))*(1/G34))</f>
        <v>0.54917593869834669</v>
      </c>
      <c r="O34">
        <f>((1/(12+B34))*(1/D34))/((1/(12+H34))*(1/G34))</f>
        <v>0.53781166611114206</v>
      </c>
      <c r="P34">
        <f>((1/(15+B34))*(1/D34))/((1/(15+H34))*(1/G34))</f>
        <v>0.5307138699267745</v>
      </c>
    </row>
    <row r="35" spans="1:16">
      <c r="B35" s="3"/>
    </row>
    <row r="36" spans="1:16">
      <c r="B36" s="3"/>
    </row>
    <row r="37" spans="1:16">
      <c r="B37" s="3"/>
    </row>
    <row r="38" spans="1:16">
      <c r="B38" s="3"/>
    </row>
    <row r="39" spans="1:16">
      <c r="B39" s="3"/>
    </row>
    <row r="40" spans="1:16">
      <c r="B40" s="3"/>
    </row>
    <row r="41" spans="1:16">
      <c r="B41" s="3"/>
    </row>
    <row r="42" spans="1:16">
      <c r="B42" s="3"/>
    </row>
    <row r="43" spans="1:16">
      <c r="B43" s="3"/>
    </row>
    <row r="44" spans="1:16">
      <c r="B44" s="3"/>
    </row>
    <row r="45" spans="1:16">
      <c r="B45" s="3"/>
    </row>
    <row r="46" spans="1:16">
      <c r="B46" s="3"/>
    </row>
    <row r="47" spans="1:16">
      <c r="B47" s="3"/>
    </row>
    <row r="48" spans="1:16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mergeCells count="6">
    <mergeCell ref="A6:C6"/>
    <mergeCell ref="A7:C7"/>
    <mergeCell ref="A8:C8"/>
    <mergeCell ref="E8:F8"/>
    <mergeCell ref="A9:C9"/>
    <mergeCell ref="A12:C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X114"/>
  <sheetViews>
    <sheetView workbookViewId="0">
      <selection activeCell="E14" sqref="E14:F34"/>
    </sheetView>
  </sheetViews>
  <sheetFormatPr defaultRowHeight="15"/>
  <cols>
    <col min="2" max="2" width="10.5703125" bestFit="1" customWidth="1"/>
    <col min="21" max="21" width="20.85546875" customWidth="1"/>
  </cols>
  <sheetData>
    <row r="6" spans="1:24">
      <c r="A6" s="37" t="s">
        <v>0</v>
      </c>
      <c r="B6" s="37"/>
      <c r="C6" s="37"/>
      <c r="D6" s="1">
        <v>0.15</v>
      </c>
      <c r="E6" t="s">
        <v>2</v>
      </c>
      <c r="I6" t="s">
        <v>17</v>
      </c>
      <c r="K6">
        <v>1</v>
      </c>
    </row>
    <row r="7" spans="1:24">
      <c r="A7" s="37" t="s">
        <v>4</v>
      </c>
      <c r="B7" s="37"/>
      <c r="C7" s="37"/>
      <c r="D7" s="1">
        <v>8.9600000000000009</v>
      </c>
      <c r="E7" t="s">
        <v>5</v>
      </c>
    </row>
    <row r="8" spans="1:24">
      <c r="A8" s="37" t="s">
        <v>6</v>
      </c>
      <c r="B8" s="37"/>
      <c r="C8" s="37"/>
      <c r="D8" s="1">
        <v>1.7000000000000001E-2</v>
      </c>
      <c r="E8" s="37" t="s">
        <v>7</v>
      </c>
      <c r="F8" s="37"/>
      <c r="I8" t="s">
        <v>67</v>
      </c>
      <c r="J8">
        <v>25</v>
      </c>
      <c r="K8" t="s">
        <v>2</v>
      </c>
    </row>
    <row r="9" spans="1:24">
      <c r="A9" s="38" t="s">
        <v>8</v>
      </c>
      <c r="B9" s="38"/>
      <c r="C9" s="38"/>
      <c r="D9" s="1">
        <v>1.5</v>
      </c>
      <c r="E9" t="s">
        <v>9</v>
      </c>
      <c r="I9" t="s">
        <v>68</v>
      </c>
      <c r="J9">
        <f>2*PI()*J8</f>
        <v>157.07963267948966</v>
      </c>
      <c r="K9" t="s">
        <v>2</v>
      </c>
    </row>
    <row r="12" spans="1:24">
      <c r="A12" s="37" t="s">
        <v>1</v>
      </c>
      <c r="B12" s="37"/>
      <c r="C12" s="37"/>
      <c r="D12" s="2">
        <f>(POWER((D6/2),2)*3.14)/100</f>
        <v>1.7662500000000002E-4</v>
      </c>
      <c r="E12" t="s">
        <v>3</v>
      </c>
    </row>
    <row r="13" spans="1:24">
      <c r="U13" t="s">
        <v>25</v>
      </c>
    </row>
    <row r="14" spans="1:24">
      <c r="A14" t="s">
        <v>10</v>
      </c>
      <c r="B14" t="s">
        <v>11</v>
      </c>
      <c r="C14" t="s">
        <v>12</v>
      </c>
      <c r="D14" t="s">
        <v>13</v>
      </c>
      <c r="E14" t="s">
        <v>69</v>
      </c>
      <c r="F14" t="s">
        <v>70</v>
      </c>
      <c r="G14" t="s">
        <v>14</v>
      </c>
      <c r="H14" t="s">
        <v>15</v>
      </c>
      <c r="I14" t="s">
        <v>16</v>
      </c>
      <c r="R14" t="s">
        <v>18</v>
      </c>
      <c r="S14" t="s">
        <v>22</v>
      </c>
      <c r="T14" t="s">
        <v>19</v>
      </c>
      <c r="U14" t="s">
        <v>20</v>
      </c>
      <c r="V14" t="s">
        <v>12</v>
      </c>
      <c r="W14" t="s">
        <v>21</v>
      </c>
      <c r="X14" t="s">
        <v>27</v>
      </c>
    </row>
    <row r="15" spans="1:24">
      <c r="A15">
        <v>1</v>
      </c>
      <c r="B15" s="4">
        <f>$D$12*A15*$D$7*100</f>
        <v>0.15825600000000004</v>
      </c>
      <c r="C15">
        <f>$D$9*A15</f>
        <v>1.5</v>
      </c>
      <c r="D15" s="4">
        <f>$D$8*A15/($D$12*100)</f>
        <v>0.96249115357395609</v>
      </c>
      <c r="E15">
        <f>(A15*1000/$J$9)*$D$6</f>
        <v>0.95492965855137191</v>
      </c>
      <c r="F15">
        <f>(A15*1000/$J$9)</f>
        <v>6.3661977236758132</v>
      </c>
      <c r="G15" s="4">
        <f t="shared" ref="G15:G34" si="0">D15/2</f>
        <v>0.48124557678697805</v>
      </c>
      <c r="H15" s="4">
        <f t="shared" ref="H15:H34" si="1">B15*2</f>
        <v>0.31651200000000007</v>
      </c>
      <c r="I15">
        <f t="shared" ref="I15:I34" si="2">((1/($K$6+B15))*(1/D15))/((1/($K$6+H15))*(1/G15))</f>
        <v>0.56831650343274731</v>
      </c>
      <c r="K15">
        <f t="shared" ref="K15:K34" si="3">((1/(1+B15))*(1/D15))/((1/(1+H15))*(1/G15))</f>
        <v>0.56831650343274731</v>
      </c>
      <c r="L15">
        <f t="shared" ref="L15:L34" si="4">((1/(3+B15))*(1/D15))/((1/(3+H15))*(1/G15))</f>
        <v>0.52505433378421507</v>
      </c>
      <c r="M15">
        <f t="shared" ref="M15:M34" si="5">((1/(6+B15))*(1/D15))/((1/(6+H15))*(1/G15))</f>
        <v>0.51284909234042886</v>
      </c>
      <c r="N15">
        <f t="shared" ref="N15:N34" si="6">((1/(9+B15))*(1/D15))/((1/(9+H15))*(1/G15))</f>
        <v>0.50864007295712199</v>
      </c>
      <c r="O15">
        <f t="shared" ref="O15:O34" si="7">((1/(12+B15))*(1/D15))/((1/(12+H15))*(1/G15))</f>
        <v>0.50650817025073325</v>
      </c>
      <c r="P15">
        <f t="shared" ref="P15:P34" si="8">((1/(15+B15))*(1/D15))/((1/(15+H15))*(1/G15))</f>
        <v>0.5052201255870068</v>
      </c>
      <c r="R15">
        <v>16</v>
      </c>
      <c r="S15">
        <v>10</v>
      </c>
      <c r="T15" s="4">
        <f>$D$8*S15/($D$12*100)</f>
        <v>9.624911535739562</v>
      </c>
      <c r="U15" t="s">
        <v>24</v>
      </c>
      <c r="V15">
        <f>$D$9*S15</f>
        <v>15</v>
      </c>
      <c r="W15" s="4">
        <f>$D$12*S15*$D$7*100</f>
        <v>1.5825600000000002</v>
      </c>
      <c r="X15">
        <f>POWER(V15,2)/T15</f>
        <v>23.376838235294116</v>
      </c>
    </row>
    <row r="16" spans="1:24">
      <c r="A16">
        <v>2</v>
      </c>
      <c r="B16" s="4">
        <f t="shared" ref="B16:B34" si="9">$D$12*A16*$D$7*100</f>
        <v>0.31651200000000007</v>
      </c>
      <c r="C16">
        <f t="shared" ref="C16:C34" si="10">$D$9*A16</f>
        <v>3</v>
      </c>
      <c r="D16" s="4">
        <f t="shared" ref="D16:D34" si="11">$D$8*A16/($D$12*100)</f>
        <v>1.9249823071479122</v>
      </c>
      <c r="E16">
        <f t="shared" ref="E16:E34" si="12">(A16*1000/$J$9)*$D$6</f>
        <v>1.9098593171027438</v>
      </c>
      <c r="F16">
        <f t="shared" ref="F16:F34" si="13">(A16*1000/$J$9)</f>
        <v>12.732395447351626</v>
      </c>
      <c r="G16" s="4">
        <f t="shared" si="0"/>
        <v>0.96249115357395609</v>
      </c>
      <c r="H16" s="4">
        <f t="shared" si="1"/>
        <v>0.63302400000000014</v>
      </c>
      <c r="I16">
        <f t="shared" si="2"/>
        <v>0.62020855108043071</v>
      </c>
      <c r="K16">
        <f t="shared" si="3"/>
        <v>0.62020855108043071</v>
      </c>
      <c r="L16">
        <f t="shared" si="4"/>
        <v>0.54771760210727427</v>
      </c>
      <c r="M16">
        <f t="shared" si="5"/>
        <v>0.52505433378421507</v>
      </c>
      <c r="N16">
        <f t="shared" si="6"/>
        <v>0.51698661473306762</v>
      </c>
      <c r="O16">
        <f t="shared" si="7"/>
        <v>0.51284909234042886</v>
      </c>
      <c r="P16">
        <f t="shared" si="8"/>
        <v>0.51033237854676061</v>
      </c>
      <c r="R16">
        <v>8</v>
      </c>
      <c r="S16">
        <v>7.33</v>
      </c>
      <c r="T16" s="4">
        <f>$D$8*S16/($D$12*200)</f>
        <v>3.5275300778485494</v>
      </c>
      <c r="U16" t="s">
        <v>23</v>
      </c>
      <c r="V16">
        <f>$D$9*S16</f>
        <v>10.995000000000001</v>
      </c>
      <c r="W16" s="4">
        <f>$D$12*S16*$D$7*200</f>
        <v>2.3200329600000007</v>
      </c>
      <c r="X16">
        <f>POWER(V16,2)/T16</f>
        <v>34.270444852941182</v>
      </c>
    </row>
    <row r="17" spans="1:24">
      <c r="A17">
        <v>3</v>
      </c>
      <c r="B17" s="4">
        <f t="shared" si="9"/>
        <v>0.47476800000000013</v>
      </c>
      <c r="C17">
        <f t="shared" si="10"/>
        <v>4.5</v>
      </c>
      <c r="D17" s="4">
        <f t="shared" si="11"/>
        <v>2.8874734607218686</v>
      </c>
      <c r="E17">
        <f t="shared" si="12"/>
        <v>2.8647889756541156</v>
      </c>
      <c r="F17">
        <f t="shared" si="13"/>
        <v>19.098593171027439</v>
      </c>
      <c r="G17" s="4">
        <f t="shared" si="0"/>
        <v>1.4437367303609343</v>
      </c>
      <c r="H17" s="4">
        <f t="shared" si="1"/>
        <v>0.94953600000000027</v>
      </c>
      <c r="I17">
        <f t="shared" si="2"/>
        <v>0.66096362275286691</v>
      </c>
      <c r="K17">
        <f t="shared" si="3"/>
        <v>0.66096362275286691</v>
      </c>
      <c r="L17">
        <f t="shared" si="4"/>
        <v>0.5683165034327472</v>
      </c>
      <c r="M17">
        <f t="shared" si="5"/>
        <v>0.53666293525883857</v>
      </c>
      <c r="N17">
        <f t="shared" si="6"/>
        <v>0.52505433378421507</v>
      </c>
      <c r="O17">
        <f t="shared" si="7"/>
        <v>0.51902913144356666</v>
      </c>
      <c r="P17">
        <f t="shared" si="8"/>
        <v>0.51534006842622782</v>
      </c>
      <c r="R17">
        <v>16</v>
      </c>
      <c r="S17">
        <v>14.66</v>
      </c>
      <c r="T17" s="4">
        <f>$D$8*S17/($D$12*200)</f>
        <v>7.0550601556970989</v>
      </c>
      <c r="U17" t="s">
        <v>26</v>
      </c>
      <c r="V17">
        <f>$D$9*S17</f>
        <v>21.990000000000002</v>
      </c>
      <c r="W17" s="4">
        <f>$D$12*S17*$D$7*200</f>
        <v>4.6400659200000014</v>
      </c>
      <c r="X17">
        <f>POWER(V17,2)/T17</f>
        <v>68.540889705882364</v>
      </c>
    </row>
    <row r="18" spans="1:24">
      <c r="A18">
        <v>4</v>
      </c>
      <c r="B18" s="4">
        <f t="shared" si="9"/>
        <v>0.63302400000000014</v>
      </c>
      <c r="C18">
        <f t="shared" si="10"/>
        <v>6</v>
      </c>
      <c r="D18" s="4">
        <f t="shared" si="11"/>
        <v>3.8499646142958244</v>
      </c>
      <c r="E18">
        <f t="shared" si="12"/>
        <v>3.8197186342054876</v>
      </c>
      <c r="F18">
        <f t="shared" si="13"/>
        <v>25.464790894703253</v>
      </c>
      <c r="G18" s="4">
        <f t="shared" si="0"/>
        <v>1.9249823071479122</v>
      </c>
      <c r="H18" s="4">
        <f t="shared" si="1"/>
        <v>1.2660480000000003</v>
      </c>
      <c r="I18">
        <f t="shared" si="2"/>
        <v>0.69381956419501489</v>
      </c>
      <c r="K18">
        <f t="shared" si="3"/>
        <v>0.69381956419501489</v>
      </c>
      <c r="L18">
        <f t="shared" si="4"/>
        <v>0.58712081175351438</v>
      </c>
      <c r="M18">
        <f t="shared" si="5"/>
        <v>0.54771760210727427</v>
      </c>
      <c r="N18">
        <f t="shared" si="6"/>
        <v>0.53285697201626403</v>
      </c>
      <c r="O18">
        <f t="shared" si="7"/>
        <v>0.52505433378421507</v>
      </c>
      <c r="P18">
        <f t="shared" si="8"/>
        <v>0.52024637075974556</v>
      </c>
    </row>
    <row r="19" spans="1:24">
      <c r="A19">
        <v>5</v>
      </c>
      <c r="B19" s="4">
        <f t="shared" si="9"/>
        <v>0.79128000000000009</v>
      </c>
      <c r="C19">
        <f t="shared" si="10"/>
        <v>7.5</v>
      </c>
      <c r="D19" s="4">
        <f t="shared" si="11"/>
        <v>4.812455767869781</v>
      </c>
      <c r="E19">
        <f t="shared" si="12"/>
        <v>4.7746482927568596</v>
      </c>
      <c r="F19">
        <f t="shared" si="13"/>
        <v>31.830988618379067</v>
      </c>
      <c r="G19" s="4">
        <f t="shared" si="0"/>
        <v>2.4062278839348905</v>
      </c>
      <c r="H19" s="4">
        <f t="shared" si="1"/>
        <v>1.5825600000000002</v>
      </c>
      <c r="I19">
        <f t="shared" si="2"/>
        <v>0.72086999240766381</v>
      </c>
      <c r="K19">
        <f t="shared" si="3"/>
        <v>0.72086999240766381</v>
      </c>
      <c r="L19">
        <f t="shared" si="4"/>
        <v>0.60435525732734052</v>
      </c>
      <c r="M19">
        <f t="shared" si="5"/>
        <v>0.55825705905219636</v>
      </c>
      <c r="N19">
        <f t="shared" si="6"/>
        <v>0.54040738289580126</v>
      </c>
      <c r="O19">
        <f t="shared" si="7"/>
        <v>0.53093044636658726</v>
      </c>
      <c r="P19">
        <f t="shared" si="8"/>
        <v>0.52505433378421507</v>
      </c>
    </row>
    <row r="20" spans="1:24">
      <c r="A20">
        <v>6</v>
      </c>
      <c r="B20" s="4">
        <f t="shared" si="9"/>
        <v>0.94953600000000027</v>
      </c>
      <c r="C20">
        <f t="shared" si="10"/>
        <v>9</v>
      </c>
      <c r="D20" s="4">
        <f t="shared" si="11"/>
        <v>5.7749469214437372</v>
      </c>
      <c r="E20">
        <f t="shared" si="12"/>
        <v>5.7295779513082312</v>
      </c>
      <c r="F20">
        <f t="shared" si="13"/>
        <v>38.197186342054877</v>
      </c>
      <c r="G20" s="4">
        <f t="shared" si="0"/>
        <v>2.8874734607218686</v>
      </c>
      <c r="H20" s="4">
        <f t="shared" si="1"/>
        <v>1.8990720000000005</v>
      </c>
      <c r="I20">
        <f t="shared" si="2"/>
        <v>0.74352871657666231</v>
      </c>
      <c r="K20">
        <f t="shared" si="3"/>
        <v>0.74352871657666231</v>
      </c>
      <c r="L20">
        <f t="shared" si="4"/>
        <v>0.6202085510804306</v>
      </c>
      <c r="M20">
        <f t="shared" si="5"/>
        <v>0.5683165034327472</v>
      </c>
      <c r="N20">
        <f t="shared" si="6"/>
        <v>0.54771760210727416</v>
      </c>
      <c r="O20">
        <f t="shared" si="7"/>
        <v>0.53666293525883857</v>
      </c>
      <c r="P20">
        <f t="shared" si="8"/>
        <v>0.52976688475451572</v>
      </c>
    </row>
    <row r="21" spans="1:24">
      <c r="A21">
        <v>7</v>
      </c>
      <c r="B21" s="4">
        <f t="shared" si="9"/>
        <v>1.1077920000000001</v>
      </c>
      <c r="C21">
        <f t="shared" si="10"/>
        <v>10.5</v>
      </c>
      <c r="D21" s="4">
        <f t="shared" si="11"/>
        <v>6.7374380750176925</v>
      </c>
      <c r="E21">
        <f t="shared" si="12"/>
        <v>6.6845076098596037</v>
      </c>
      <c r="F21">
        <f t="shared" si="13"/>
        <v>44.563384065730695</v>
      </c>
      <c r="G21" s="4">
        <f t="shared" si="0"/>
        <v>3.3687190375088463</v>
      </c>
      <c r="H21" s="4">
        <f t="shared" si="1"/>
        <v>2.2155840000000002</v>
      </c>
      <c r="I21">
        <f t="shared" si="2"/>
        <v>0.76278494272679653</v>
      </c>
      <c r="K21">
        <f t="shared" si="3"/>
        <v>0.76278494272679653</v>
      </c>
      <c r="L21">
        <f t="shared" si="4"/>
        <v>0.63484032297643112</v>
      </c>
      <c r="M21">
        <f t="shared" si="5"/>
        <v>0.57792799789301663</v>
      </c>
      <c r="N21">
        <f t="shared" si="6"/>
        <v>0.55479891157237904</v>
      </c>
      <c r="O21">
        <f t="shared" si="7"/>
        <v>0.54225700255237497</v>
      </c>
      <c r="P21">
        <f t="shared" si="8"/>
        <v>0.53438683588663172</v>
      </c>
    </row>
    <row r="22" spans="1:24">
      <c r="A22">
        <v>8</v>
      </c>
      <c r="B22" s="4">
        <f t="shared" si="9"/>
        <v>1.2660480000000003</v>
      </c>
      <c r="C22">
        <f t="shared" si="10"/>
        <v>12</v>
      </c>
      <c r="D22" s="4">
        <f t="shared" si="11"/>
        <v>7.6999292285916487</v>
      </c>
      <c r="E22">
        <f t="shared" si="12"/>
        <v>7.6394372684109753</v>
      </c>
      <c r="F22">
        <f t="shared" si="13"/>
        <v>50.929581789406505</v>
      </c>
      <c r="G22" s="4">
        <f t="shared" si="0"/>
        <v>3.8499646142958244</v>
      </c>
      <c r="H22" s="4">
        <f t="shared" si="1"/>
        <v>2.5320960000000006</v>
      </c>
      <c r="I22">
        <f t="shared" si="2"/>
        <v>0.77935154065580248</v>
      </c>
      <c r="K22">
        <f t="shared" si="3"/>
        <v>0.77935154065580248</v>
      </c>
      <c r="L22">
        <f t="shared" si="4"/>
        <v>0.64838651604482656</v>
      </c>
      <c r="M22">
        <f t="shared" si="5"/>
        <v>0.58712081175351438</v>
      </c>
      <c r="N22">
        <f t="shared" si="6"/>
        <v>0.56166189754811202</v>
      </c>
      <c r="O22">
        <f t="shared" si="7"/>
        <v>0.54771760210727427</v>
      </c>
      <c r="P22">
        <f t="shared" si="8"/>
        <v>0.53891688995384734</v>
      </c>
    </row>
    <row r="23" spans="1:24">
      <c r="A23">
        <v>9</v>
      </c>
      <c r="B23" s="4">
        <f t="shared" si="9"/>
        <v>1.4243040000000005</v>
      </c>
      <c r="C23">
        <f t="shared" si="10"/>
        <v>13.5</v>
      </c>
      <c r="D23" s="4">
        <f t="shared" si="11"/>
        <v>8.6624203821656067</v>
      </c>
      <c r="E23">
        <f t="shared" si="12"/>
        <v>8.5943669269623477</v>
      </c>
      <c r="F23">
        <f t="shared" si="13"/>
        <v>57.295779513082323</v>
      </c>
      <c r="G23" s="4">
        <f t="shared" si="0"/>
        <v>4.3312101910828034</v>
      </c>
      <c r="H23" s="4">
        <f t="shared" si="1"/>
        <v>2.8486080000000009</v>
      </c>
      <c r="I23">
        <f t="shared" si="2"/>
        <v>0.79375523861693942</v>
      </c>
      <c r="K23">
        <f t="shared" si="3"/>
        <v>0.79375523861693942</v>
      </c>
      <c r="L23">
        <f t="shared" si="4"/>
        <v>0.6609636227528668</v>
      </c>
      <c r="M23">
        <f t="shared" si="5"/>
        <v>0.5959217187227247</v>
      </c>
      <c r="N23">
        <f t="shared" si="6"/>
        <v>0.56831650343274709</v>
      </c>
      <c r="O23">
        <f t="shared" si="7"/>
        <v>0.55304945418399354</v>
      </c>
      <c r="P23">
        <f t="shared" si="8"/>
        <v>0.54335964555941008</v>
      </c>
    </row>
    <row r="24" spans="1:24">
      <c r="A24">
        <v>10</v>
      </c>
      <c r="B24" s="4">
        <f t="shared" si="9"/>
        <v>1.5825600000000002</v>
      </c>
      <c r="C24">
        <f t="shared" si="10"/>
        <v>15</v>
      </c>
      <c r="D24" s="4">
        <f t="shared" si="11"/>
        <v>9.624911535739562</v>
      </c>
      <c r="E24">
        <f t="shared" si="12"/>
        <v>9.5492965855137193</v>
      </c>
      <c r="F24">
        <f t="shared" si="13"/>
        <v>63.661977236758133</v>
      </c>
      <c r="G24" s="4">
        <f t="shared" si="0"/>
        <v>4.812455767869781</v>
      </c>
      <c r="H24" s="4">
        <f t="shared" si="1"/>
        <v>3.1651200000000004</v>
      </c>
      <c r="I24">
        <f t="shared" si="2"/>
        <v>0.80639365590731682</v>
      </c>
      <c r="K24">
        <f t="shared" si="3"/>
        <v>0.80639365590731682</v>
      </c>
      <c r="L24">
        <f t="shared" si="4"/>
        <v>0.67267204357389765</v>
      </c>
      <c r="M24">
        <f t="shared" si="5"/>
        <v>0.60435525732734052</v>
      </c>
      <c r="N24">
        <f t="shared" si="6"/>
        <v>0.57477207783371875</v>
      </c>
      <c r="O24">
        <f t="shared" si="7"/>
        <v>0.55825705905219636</v>
      </c>
      <c r="P24">
        <f t="shared" si="8"/>
        <v>0.54771760210727416</v>
      </c>
    </row>
    <row r="25" spans="1:24">
      <c r="A25">
        <v>11</v>
      </c>
      <c r="B25" s="4">
        <f t="shared" si="9"/>
        <v>1.7408160000000001</v>
      </c>
      <c r="C25">
        <f t="shared" si="10"/>
        <v>16.5</v>
      </c>
      <c r="D25" s="4">
        <f t="shared" si="11"/>
        <v>10.587402689313517</v>
      </c>
      <c r="E25">
        <f t="shared" si="12"/>
        <v>10.504226244065091</v>
      </c>
      <c r="F25">
        <f t="shared" si="13"/>
        <v>70.028174960433944</v>
      </c>
      <c r="G25" s="4">
        <f t="shared" si="0"/>
        <v>5.2937013446567587</v>
      </c>
      <c r="H25" s="4">
        <f t="shared" si="1"/>
        <v>3.4816320000000003</v>
      </c>
      <c r="I25">
        <f t="shared" si="2"/>
        <v>0.81757257692599583</v>
      </c>
      <c r="K25">
        <f t="shared" si="3"/>
        <v>0.81757257692599583</v>
      </c>
      <c r="L25">
        <f t="shared" si="4"/>
        <v>0.68359877286948068</v>
      </c>
      <c r="M25">
        <f t="shared" si="5"/>
        <v>0.61244395939652874</v>
      </c>
      <c r="N25">
        <f t="shared" si="6"/>
        <v>0.58103741838608902</v>
      </c>
      <c r="O25">
        <f t="shared" si="7"/>
        <v>0.56334470965916439</v>
      </c>
      <c r="P25">
        <f t="shared" si="8"/>
        <v>0.55199316449090663</v>
      </c>
    </row>
    <row r="26" spans="1:24">
      <c r="A26">
        <v>12</v>
      </c>
      <c r="B26" s="4">
        <f t="shared" si="9"/>
        <v>1.8990720000000005</v>
      </c>
      <c r="C26">
        <f t="shared" si="10"/>
        <v>18</v>
      </c>
      <c r="D26" s="4">
        <f t="shared" si="11"/>
        <v>11.549893842887474</v>
      </c>
      <c r="E26">
        <f t="shared" si="12"/>
        <v>11.459155902616462</v>
      </c>
      <c r="F26">
        <f t="shared" si="13"/>
        <v>76.394372684109754</v>
      </c>
      <c r="G26" s="4">
        <f t="shared" si="0"/>
        <v>5.7749469214437372</v>
      </c>
      <c r="H26" s="4">
        <f t="shared" si="1"/>
        <v>3.7981440000000011</v>
      </c>
      <c r="I26">
        <f t="shared" si="2"/>
        <v>0.82753101682193486</v>
      </c>
      <c r="K26">
        <f t="shared" si="3"/>
        <v>0.82753101682193486</v>
      </c>
      <c r="L26">
        <f t="shared" si="4"/>
        <v>0.69381956419501489</v>
      </c>
      <c r="M26">
        <f t="shared" si="5"/>
        <v>0.6202085510804306</v>
      </c>
      <c r="N26">
        <f t="shared" si="6"/>
        <v>0.58712081175351438</v>
      </c>
      <c r="O26">
        <f t="shared" si="7"/>
        <v>0.5683165034327472</v>
      </c>
      <c r="P26">
        <f t="shared" si="8"/>
        <v>0.55618864751863306</v>
      </c>
    </row>
    <row r="27" spans="1:24">
      <c r="A27">
        <v>13</v>
      </c>
      <c r="B27" s="4">
        <f t="shared" si="9"/>
        <v>2.0573280000000005</v>
      </c>
      <c r="C27">
        <f t="shared" si="10"/>
        <v>19.5</v>
      </c>
      <c r="D27" s="4">
        <f t="shared" si="11"/>
        <v>12.51238499646143</v>
      </c>
      <c r="E27">
        <f t="shared" si="12"/>
        <v>12.414085561167836</v>
      </c>
      <c r="F27">
        <f t="shared" si="13"/>
        <v>82.760570407785579</v>
      </c>
      <c r="G27" s="4">
        <f t="shared" si="0"/>
        <v>6.2561924982307149</v>
      </c>
      <c r="H27" s="4">
        <f t="shared" si="1"/>
        <v>4.114656000000001</v>
      </c>
      <c r="I27">
        <f t="shared" si="2"/>
        <v>0.83645850232621421</v>
      </c>
      <c r="K27">
        <f t="shared" si="3"/>
        <v>0.83645850232621421</v>
      </c>
      <c r="L27">
        <f t="shared" si="4"/>
        <v>0.70340068905951936</v>
      </c>
      <c r="M27">
        <f t="shared" si="5"/>
        <v>0.62766813017913625</v>
      </c>
      <c r="N27">
        <f t="shared" si="6"/>
        <v>0.59303007019417353</v>
      </c>
      <c r="O27">
        <f t="shared" si="7"/>
        <v>0.57317635328705419</v>
      </c>
      <c r="P27">
        <f t="shared" si="8"/>
        <v>0.56030628009263816</v>
      </c>
    </row>
    <row r="28" spans="1:24">
      <c r="A28">
        <v>14</v>
      </c>
      <c r="B28" s="4">
        <f t="shared" si="9"/>
        <v>2.2155840000000002</v>
      </c>
      <c r="C28">
        <f t="shared" si="10"/>
        <v>21</v>
      </c>
      <c r="D28" s="4">
        <f t="shared" si="11"/>
        <v>13.474876150035385</v>
      </c>
      <c r="E28">
        <f t="shared" si="12"/>
        <v>13.369015219719207</v>
      </c>
      <c r="F28">
        <f t="shared" si="13"/>
        <v>89.12676813146139</v>
      </c>
      <c r="G28" s="4">
        <f t="shared" si="0"/>
        <v>6.7374380750176925</v>
      </c>
      <c r="H28" s="4">
        <f t="shared" si="1"/>
        <v>4.4311680000000004</v>
      </c>
      <c r="I28">
        <f t="shared" si="2"/>
        <v>0.84450724969399038</v>
      </c>
      <c r="K28">
        <f t="shared" si="3"/>
        <v>0.84450724969399038</v>
      </c>
      <c r="L28">
        <f t="shared" si="4"/>
        <v>0.71240037549006996</v>
      </c>
      <c r="M28">
        <f t="shared" si="5"/>
        <v>0.63484032297643112</v>
      </c>
      <c r="N28">
        <f t="shared" si="6"/>
        <v>0.59877256503094267</v>
      </c>
      <c r="O28">
        <f t="shared" si="7"/>
        <v>0.57792799789301663</v>
      </c>
      <c r="P28">
        <f t="shared" si="8"/>
        <v>0.5643482091574703</v>
      </c>
    </row>
    <row r="29" spans="1:24">
      <c r="A29">
        <v>15</v>
      </c>
      <c r="B29" s="4">
        <f t="shared" si="9"/>
        <v>2.3738400000000004</v>
      </c>
      <c r="C29">
        <f t="shared" si="10"/>
        <v>22.5</v>
      </c>
      <c r="D29" s="4">
        <f t="shared" si="11"/>
        <v>14.43736730360934</v>
      </c>
      <c r="E29">
        <f t="shared" si="12"/>
        <v>14.323944878270579</v>
      </c>
      <c r="F29">
        <f t="shared" si="13"/>
        <v>95.4929658551372</v>
      </c>
      <c r="G29" s="4">
        <f t="shared" si="0"/>
        <v>7.2186836518046702</v>
      </c>
      <c r="H29" s="4">
        <f t="shared" si="1"/>
        <v>4.7476800000000008</v>
      </c>
      <c r="I29">
        <f t="shared" si="2"/>
        <v>0.8518009152775472</v>
      </c>
      <c r="K29">
        <f t="shared" si="3"/>
        <v>0.8518009152775472</v>
      </c>
      <c r="L29">
        <f t="shared" si="4"/>
        <v>0.72086999240766381</v>
      </c>
      <c r="M29">
        <f t="shared" si="5"/>
        <v>0.64174142328967354</v>
      </c>
      <c r="N29">
        <f t="shared" si="6"/>
        <v>0.60435525732734063</v>
      </c>
      <c r="O29">
        <f t="shared" si="7"/>
        <v>0.58257501127047473</v>
      </c>
      <c r="P29">
        <f t="shared" si="8"/>
        <v>0.5683165034327472</v>
      </c>
    </row>
    <row r="30" spans="1:24">
      <c r="A30">
        <v>16</v>
      </c>
      <c r="B30" s="4">
        <f t="shared" si="9"/>
        <v>2.5320960000000006</v>
      </c>
      <c r="C30">
        <f t="shared" si="10"/>
        <v>24</v>
      </c>
      <c r="D30" s="4">
        <f t="shared" si="11"/>
        <v>15.399858457183297</v>
      </c>
      <c r="E30">
        <f t="shared" si="12"/>
        <v>15.278874536821951</v>
      </c>
      <c r="F30">
        <f t="shared" si="13"/>
        <v>101.85916357881301</v>
      </c>
      <c r="G30" s="4">
        <f t="shared" si="0"/>
        <v>7.6999292285916487</v>
      </c>
      <c r="H30" s="4">
        <f t="shared" si="1"/>
        <v>5.0641920000000011</v>
      </c>
      <c r="I30">
        <f t="shared" si="2"/>
        <v>0.85844099367627613</v>
      </c>
      <c r="K30">
        <f t="shared" si="3"/>
        <v>0.85844099367627613</v>
      </c>
      <c r="L30">
        <f t="shared" si="4"/>
        <v>0.72885503071530211</v>
      </c>
      <c r="M30">
        <f t="shared" si="5"/>
        <v>0.64838651604482656</v>
      </c>
      <c r="N30">
        <f t="shared" si="6"/>
        <v>0.60978472603766054</v>
      </c>
      <c r="O30">
        <f t="shared" si="7"/>
        <v>0.58712081175351438</v>
      </c>
      <c r="P30">
        <f t="shared" si="8"/>
        <v>0.57221315694369923</v>
      </c>
    </row>
    <row r="31" spans="1:24">
      <c r="A31">
        <v>17</v>
      </c>
      <c r="B31" s="4">
        <f t="shared" si="9"/>
        <v>2.6903520000000007</v>
      </c>
      <c r="C31">
        <f t="shared" si="10"/>
        <v>25.5</v>
      </c>
      <c r="D31" s="4">
        <f t="shared" si="11"/>
        <v>16.362349610757256</v>
      </c>
      <c r="E31">
        <f t="shared" si="12"/>
        <v>16.233804195373324</v>
      </c>
      <c r="F31">
        <f t="shared" si="13"/>
        <v>108.22536130248882</v>
      </c>
      <c r="G31" s="4">
        <f t="shared" si="0"/>
        <v>8.1811748053786282</v>
      </c>
      <c r="H31" s="4">
        <f t="shared" si="1"/>
        <v>5.3807040000000015</v>
      </c>
      <c r="I31">
        <f t="shared" si="2"/>
        <v>0.86451156962804632</v>
      </c>
      <c r="K31">
        <f t="shared" si="3"/>
        <v>0.86451156962804632</v>
      </c>
      <c r="L31">
        <f t="shared" si="4"/>
        <v>0.73639592067415172</v>
      </c>
      <c r="M31">
        <f t="shared" si="5"/>
        <v>0.65478958734928117</v>
      </c>
      <c r="N31">
        <f t="shared" si="6"/>
        <v>0.61506719387063791</v>
      </c>
      <c r="O31">
        <f t="shared" si="7"/>
        <v>0.59156867037631233</v>
      </c>
      <c r="P31">
        <f t="shared" si="8"/>
        <v>0.57604009236220965</v>
      </c>
    </row>
    <row r="32" spans="1:24">
      <c r="A32">
        <v>18</v>
      </c>
      <c r="B32" s="4">
        <f t="shared" si="9"/>
        <v>2.8486080000000009</v>
      </c>
      <c r="C32">
        <f t="shared" si="10"/>
        <v>27</v>
      </c>
      <c r="D32" s="4">
        <f t="shared" si="11"/>
        <v>17.324840764331213</v>
      </c>
      <c r="E32">
        <f t="shared" si="12"/>
        <v>17.188733853924695</v>
      </c>
      <c r="F32">
        <f t="shared" si="13"/>
        <v>114.59155902616465</v>
      </c>
      <c r="G32" s="4">
        <f t="shared" si="0"/>
        <v>8.6624203821656067</v>
      </c>
      <c r="H32" s="4">
        <f t="shared" si="1"/>
        <v>5.6972160000000018</v>
      </c>
      <c r="I32">
        <f t="shared" si="2"/>
        <v>0.8700828975047602</v>
      </c>
      <c r="K32">
        <f t="shared" si="3"/>
        <v>0.8700828975047602</v>
      </c>
      <c r="L32">
        <f t="shared" si="4"/>
        <v>0.74352871657666231</v>
      </c>
      <c r="M32">
        <f t="shared" si="5"/>
        <v>0.6609636227528668</v>
      </c>
      <c r="N32">
        <f t="shared" si="6"/>
        <v>0.6202085510804306</v>
      </c>
      <c r="O32">
        <f t="shared" si="7"/>
        <v>0.5959217187227247</v>
      </c>
      <c r="P32">
        <f t="shared" si="8"/>
        <v>0.57979916417011346</v>
      </c>
    </row>
    <row r="33" spans="1:16">
      <c r="A33">
        <v>19</v>
      </c>
      <c r="B33" s="4">
        <f t="shared" si="9"/>
        <v>3.0068640000000006</v>
      </c>
      <c r="C33">
        <f t="shared" si="10"/>
        <v>28.5</v>
      </c>
      <c r="D33" s="4">
        <f t="shared" si="11"/>
        <v>18.287331917905167</v>
      </c>
      <c r="E33">
        <f t="shared" si="12"/>
        <v>18.143663512476067</v>
      </c>
      <c r="F33">
        <f t="shared" si="13"/>
        <v>120.95775674984046</v>
      </c>
      <c r="G33" s="4">
        <f t="shared" si="0"/>
        <v>9.1436659589525835</v>
      </c>
      <c r="H33" s="4">
        <f t="shared" si="1"/>
        <v>6.0137280000000013</v>
      </c>
      <c r="I33">
        <f t="shared" si="2"/>
        <v>0.87521413254854674</v>
      </c>
      <c r="K33">
        <f t="shared" si="3"/>
        <v>0.87521413254854674</v>
      </c>
      <c r="L33">
        <f t="shared" si="4"/>
        <v>0.75028567318987072</v>
      </c>
      <c r="M33">
        <f t="shared" si="5"/>
        <v>0.66692069514983243</v>
      </c>
      <c r="N33">
        <f t="shared" si="6"/>
        <v>0.62521437737614094</v>
      </c>
      <c r="O33">
        <f t="shared" si="7"/>
        <v>0.6001829562792067</v>
      </c>
      <c r="P33">
        <f t="shared" si="8"/>
        <v>0.58349216165568862</v>
      </c>
    </row>
    <row r="34" spans="1:16">
      <c r="A34">
        <v>20</v>
      </c>
      <c r="B34" s="4">
        <f t="shared" si="9"/>
        <v>3.1651200000000004</v>
      </c>
      <c r="C34">
        <f t="shared" si="10"/>
        <v>30</v>
      </c>
      <c r="D34" s="4">
        <f t="shared" si="11"/>
        <v>19.249823071479124</v>
      </c>
      <c r="E34">
        <f t="shared" si="12"/>
        <v>19.098593171027439</v>
      </c>
      <c r="F34">
        <f t="shared" si="13"/>
        <v>127.32395447351627</v>
      </c>
      <c r="G34" s="4">
        <f t="shared" si="0"/>
        <v>9.624911535739562</v>
      </c>
      <c r="H34" s="4">
        <f t="shared" si="1"/>
        <v>6.3302400000000008</v>
      </c>
      <c r="I34">
        <f t="shared" si="2"/>
        <v>0.87995543945912724</v>
      </c>
      <c r="K34">
        <f t="shared" si="3"/>
        <v>0.87995543945912724</v>
      </c>
      <c r="L34">
        <f t="shared" si="4"/>
        <v>0.75669573341638108</v>
      </c>
      <c r="M34">
        <f t="shared" si="5"/>
        <v>0.67267204357389765</v>
      </c>
      <c r="N34">
        <f t="shared" si="6"/>
        <v>0.63008996212121215</v>
      </c>
      <c r="O34">
        <f t="shared" si="7"/>
        <v>0.60435525732734052</v>
      </c>
      <c r="P34">
        <f t="shared" si="8"/>
        <v>0.58712081175351438</v>
      </c>
    </row>
    <row r="35" spans="1:16">
      <c r="B35" s="3"/>
    </row>
    <row r="36" spans="1:16">
      <c r="B36" s="3"/>
    </row>
    <row r="37" spans="1:16">
      <c r="B37" s="3"/>
    </row>
    <row r="38" spans="1:16">
      <c r="B38" s="3"/>
    </row>
    <row r="39" spans="1:16">
      <c r="B39" s="3"/>
    </row>
    <row r="40" spans="1:16">
      <c r="B40" s="3"/>
    </row>
    <row r="41" spans="1:16">
      <c r="B41" s="3"/>
    </row>
    <row r="42" spans="1:16">
      <c r="B42" s="3"/>
    </row>
    <row r="43" spans="1:16">
      <c r="B43" s="3"/>
    </row>
    <row r="44" spans="1:16">
      <c r="B44" s="3"/>
    </row>
    <row r="45" spans="1:16">
      <c r="B45" s="3"/>
    </row>
    <row r="46" spans="1:16">
      <c r="B46" s="3"/>
    </row>
    <row r="47" spans="1:16">
      <c r="B47" s="3"/>
    </row>
    <row r="48" spans="1:16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</sheetData>
  <mergeCells count="6">
    <mergeCell ref="E8:F8"/>
    <mergeCell ref="A9:C9"/>
    <mergeCell ref="A6:C6"/>
    <mergeCell ref="A12:C12"/>
    <mergeCell ref="A7:C7"/>
    <mergeCell ref="A8:C8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5:L24"/>
  <sheetViews>
    <sheetView workbookViewId="0">
      <selection activeCell="C24" sqref="C24"/>
    </sheetView>
  </sheetViews>
  <sheetFormatPr defaultRowHeight="15"/>
  <cols>
    <col min="5" max="5" width="12" bestFit="1" customWidth="1"/>
    <col min="12" max="12" width="12" bestFit="1" customWidth="1"/>
  </cols>
  <sheetData>
    <row r="5" spans="2:12">
      <c r="L5">
        <v>1</v>
      </c>
    </row>
    <row r="7" spans="2:12">
      <c r="B7" s="39" t="s">
        <v>28</v>
      </c>
      <c r="C7" s="39"/>
      <c r="D7" s="39"/>
      <c r="E7">
        <v>46</v>
      </c>
      <c r="I7" s="37" t="s">
        <v>33</v>
      </c>
      <c r="J7" s="37"/>
      <c r="K7" s="37"/>
      <c r="L7">
        <v>1.79</v>
      </c>
    </row>
    <row r="8" spans="2:12">
      <c r="B8" s="37" t="s">
        <v>29</v>
      </c>
      <c r="C8" s="37"/>
      <c r="D8" s="37"/>
      <c r="E8">
        <v>6.0000000000000001E-3</v>
      </c>
      <c r="I8" s="37" t="s">
        <v>34</v>
      </c>
      <c r="J8" s="37"/>
      <c r="K8" s="37"/>
      <c r="L8">
        <v>3852.8</v>
      </c>
    </row>
    <row r="9" spans="2:12">
      <c r="B9" s="39" t="s">
        <v>30</v>
      </c>
      <c r="C9" s="39"/>
      <c r="D9" s="39"/>
      <c r="E9">
        <v>2.5000000000000001E-2</v>
      </c>
    </row>
    <row r="10" spans="2:12">
      <c r="I10" s="37" t="s">
        <v>31</v>
      </c>
      <c r="J10" s="37"/>
      <c r="K10" s="37"/>
      <c r="L10">
        <f>L7/L8</f>
        <v>4.6459717607973421E-4</v>
      </c>
    </row>
    <row r="11" spans="2:12">
      <c r="B11" s="37" t="s">
        <v>32</v>
      </c>
      <c r="C11" s="37"/>
      <c r="D11" s="37"/>
      <c r="E11">
        <f>L10*POWER(E7,2)*(PI()*POWER(E9,2))*L5/E8</f>
        <v>0.32171467283649891</v>
      </c>
      <c r="F11" t="s">
        <v>36</v>
      </c>
    </row>
    <row r="12" spans="2:12">
      <c r="E12">
        <f>PI()*POWER(E9,2)*L12*POWER(E7,2)/E8</f>
        <v>8.701652316051694E-4</v>
      </c>
      <c r="F12" t="s">
        <v>36</v>
      </c>
      <c r="I12" s="39" t="s">
        <v>35</v>
      </c>
      <c r="J12" s="39"/>
      <c r="K12" s="39"/>
      <c r="L12">
        <f>12.5663*POWER(10,-7)</f>
        <v>1.2566299999999999E-6</v>
      </c>
    </row>
    <row r="13" spans="2:12">
      <c r="E13">
        <f>E12*1000</f>
        <v>0.87016523160516934</v>
      </c>
      <c r="F13" t="s">
        <v>37</v>
      </c>
    </row>
    <row r="15" spans="2:12">
      <c r="E15">
        <f>PI()*POWER(E9,2)*L12*1000/E8</f>
        <v>4.1123120586255641E-4</v>
      </c>
    </row>
    <row r="17" spans="1:5">
      <c r="B17" t="s">
        <v>39</v>
      </c>
      <c r="C17" t="s">
        <v>40</v>
      </c>
      <c r="D17" t="s">
        <v>41</v>
      </c>
      <c r="E17" t="s">
        <v>42</v>
      </c>
    </row>
    <row r="18" spans="1:5">
      <c r="A18" t="s">
        <v>38</v>
      </c>
      <c r="B18" t="s">
        <v>43</v>
      </c>
      <c r="C18" t="s">
        <v>44</v>
      </c>
      <c r="D18" t="s">
        <v>50</v>
      </c>
      <c r="E18" t="s">
        <v>45</v>
      </c>
    </row>
    <row r="19" spans="1:5">
      <c r="A19" t="s">
        <v>46</v>
      </c>
      <c r="B19" t="s">
        <v>49</v>
      </c>
      <c r="C19" t="s">
        <v>47</v>
      </c>
      <c r="D19" t="s">
        <v>48</v>
      </c>
    </row>
    <row r="23" spans="1:5">
      <c r="B23" t="s">
        <v>52</v>
      </c>
      <c r="C23" t="s">
        <v>53</v>
      </c>
    </row>
    <row r="24" spans="1:5">
      <c r="A24" t="s">
        <v>51</v>
      </c>
      <c r="B24">
        <v>0.65</v>
      </c>
    </row>
  </sheetData>
  <mergeCells count="8">
    <mergeCell ref="I12:K12"/>
    <mergeCell ref="B7:D7"/>
    <mergeCell ref="B8:D8"/>
    <mergeCell ref="B9:D9"/>
    <mergeCell ref="I10:K10"/>
    <mergeCell ref="B11:D11"/>
    <mergeCell ref="I7:K7"/>
    <mergeCell ref="I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Q63"/>
  <sheetViews>
    <sheetView topLeftCell="A37" workbookViewId="0">
      <selection activeCell="B64" sqref="B64"/>
    </sheetView>
  </sheetViews>
  <sheetFormatPr defaultRowHeight="15"/>
  <sheetData>
    <row r="4" spans="1:17">
      <c r="B4" s="8" t="s">
        <v>54</v>
      </c>
      <c r="C4" s="8" t="s">
        <v>55</v>
      </c>
      <c r="D4" s="8" t="s">
        <v>19</v>
      </c>
      <c r="E4" s="8" t="s">
        <v>56</v>
      </c>
      <c r="F4" s="8" t="s">
        <v>57</v>
      </c>
      <c r="G4" s="8" t="s">
        <v>58</v>
      </c>
      <c r="H4" s="8" t="s">
        <v>59</v>
      </c>
      <c r="I4" s="8" t="s">
        <v>12</v>
      </c>
      <c r="J4" s="6" t="s">
        <v>60</v>
      </c>
      <c r="K4" s="9" t="s">
        <v>61</v>
      </c>
    </row>
    <row r="5" spans="1:17">
      <c r="B5" s="8">
        <v>2.38</v>
      </c>
      <c r="C5" s="8">
        <v>17.98</v>
      </c>
      <c r="D5" s="8">
        <v>13.47</v>
      </c>
      <c r="E5" s="8">
        <v>33.65</v>
      </c>
      <c r="F5" s="8">
        <v>0.25</v>
      </c>
      <c r="G5" s="8">
        <v>96.47</v>
      </c>
      <c r="H5" s="8">
        <v>38.94</v>
      </c>
      <c r="I5" s="8">
        <v>20.72</v>
      </c>
      <c r="J5" s="7">
        <f>I5/14</f>
        <v>1.48</v>
      </c>
      <c r="K5" s="8"/>
    </row>
    <row r="6" spans="1:17">
      <c r="B6" s="8">
        <v>2.52</v>
      </c>
      <c r="C6" s="8">
        <v>19.34</v>
      </c>
      <c r="D6" s="8">
        <v>13.57</v>
      </c>
      <c r="E6" s="8">
        <v>33.65</v>
      </c>
      <c r="F6" s="8">
        <v>0.255</v>
      </c>
      <c r="G6" s="8">
        <v>96.52</v>
      </c>
      <c r="H6" s="8">
        <v>38.94</v>
      </c>
      <c r="I6" s="8">
        <v>20.93</v>
      </c>
      <c r="J6" s="7">
        <f>I6/14</f>
        <v>1.4949999999999999</v>
      </c>
      <c r="K6" s="8"/>
    </row>
    <row r="7" spans="1:17">
      <c r="B7" s="8">
        <v>2.65</v>
      </c>
      <c r="C7" s="8">
        <v>20.3</v>
      </c>
      <c r="D7" s="8">
        <v>13.59</v>
      </c>
      <c r="E7" s="8">
        <v>33.65</v>
      </c>
      <c r="F7" s="8">
        <v>0.24959999999999999</v>
      </c>
      <c r="G7" s="8">
        <v>96.62</v>
      </c>
      <c r="H7" s="8">
        <v>38.94</v>
      </c>
      <c r="I7" s="8">
        <v>21.17</v>
      </c>
      <c r="J7" s="7">
        <f>I7/14</f>
        <v>1.5121428571428572</v>
      </c>
      <c r="K7" s="8"/>
    </row>
    <row r="8" spans="1:17">
      <c r="B8" s="8">
        <v>4.33</v>
      </c>
      <c r="C8" s="8">
        <v>33.6</v>
      </c>
      <c r="D8" s="8">
        <v>13.74</v>
      </c>
      <c r="E8" s="8">
        <v>33.65</v>
      </c>
      <c r="F8" s="8">
        <v>0.21</v>
      </c>
      <c r="G8" s="8">
        <v>97.34</v>
      </c>
      <c r="H8" s="8">
        <v>38.94</v>
      </c>
      <c r="I8" s="8">
        <v>23.13</v>
      </c>
      <c r="J8" s="7">
        <f>I8/14</f>
        <v>1.6521428571428571</v>
      </c>
      <c r="K8" s="8"/>
    </row>
    <row r="9" spans="1:17">
      <c r="B9" s="8"/>
      <c r="C9" s="8"/>
      <c r="D9" s="8"/>
      <c r="E9" s="8"/>
      <c r="F9" s="8"/>
      <c r="G9" s="8"/>
      <c r="H9" s="8"/>
      <c r="I9" s="8"/>
      <c r="J9" s="6"/>
      <c r="K9" s="8"/>
    </row>
    <row r="10" spans="1:17">
      <c r="B10" s="8"/>
      <c r="C10" s="8"/>
      <c r="D10" s="8"/>
      <c r="E10" s="8"/>
      <c r="F10" s="8"/>
      <c r="G10" s="8"/>
      <c r="H10" s="8"/>
      <c r="I10" s="8"/>
      <c r="J10" s="6"/>
      <c r="K10" s="8"/>
    </row>
    <row r="11" spans="1:17">
      <c r="A11" s="10">
        <v>22.07</v>
      </c>
      <c r="B11" s="11"/>
      <c r="C11" s="11"/>
      <c r="D11" s="11"/>
      <c r="E11" s="11"/>
      <c r="F11" s="11"/>
      <c r="G11" s="11"/>
      <c r="H11" s="11"/>
      <c r="I11" s="11"/>
      <c r="J11" s="12"/>
      <c r="K11" s="11">
        <v>26</v>
      </c>
      <c r="L11" t="s">
        <v>62</v>
      </c>
    </row>
    <row r="12" spans="1:17">
      <c r="B12" s="8">
        <v>1.95</v>
      </c>
      <c r="C12" s="8">
        <v>14.3</v>
      </c>
      <c r="D12" s="8">
        <v>12.96</v>
      </c>
      <c r="E12" s="8">
        <v>33.65</v>
      </c>
      <c r="F12" s="8">
        <v>0.27410000000000001</v>
      </c>
      <c r="G12" s="8">
        <v>97.58</v>
      </c>
      <c r="H12" s="8">
        <v>28.39</v>
      </c>
      <c r="I12" s="8">
        <v>16.89</v>
      </c>
      <c r="J12" s="6">
        <f>I12/12.2</f>
        <v>1.3844262295081968</v>
      </c>
      <c r="K12" s="8">
        <v>28</v>
      </c>
      <c r="L12" s="9">
        <v>1</v>
      </c>
      <c r="M12" s="13">
        <v>0.61458333333333337</v>
      </c>
      <c r="N12" s="13">
        <v>0.61458333333333337</v>
      </c>
      <c r="Q12" s="13">
        <v>0.13194444444444445</v>
      </c>
    </row>
    <row r="13" spans="1:17">
      <c r="B13" s="8">
        <v>2.37</v>
      </c>
      <c r="C13" s="8">
        <v>17.14</v>
      </c>
      <c r="D13" s="8">
        <v>13.04</v>
      </c>
      <c r="E13" s="8">
        <v>33.65</v>
      </c>
      <c r="F13" s="8">
        <v>0.2417</v>
      </c>
      <c r="G13" s="8">
        <v>98.13</v>
      </c>
      <c r="H13" s="8">
        <v>28.39</v>
      </c>
      <c r="I13" s="8">
        <v>18</v>
      </c>
      <c r="J13" s="6">
        <f t="shared" ref="J13:J39" si="0">I13/12.2</f>
        <v>1.4754098360655739</v>
      </c>
      <c r="K13" s="8">
        <v>28</v>
      </c>
      <c r="L13" s="9">
        <v>2</v>
      </c>
      <c r="M13">
        <v>14.48</v>
      </c>
    </row>
    <row r="14" spans="1:17">
      <c r="B14" s="8">
        <v>2.44</v>
      </c>
      <c r="C14" s="8">
        <v>17.899999999999999</v>
      </c>
      <c r="D14" s="8">
        <v>13.11</v>
      </c>
      <c r="E14" s="8">
        <v>33.65</v>
      </c>
      <c r="F14" s="8">
        <v>0.23400000000000001</v>
      </c>
      <c r="G14" s="8">
        <v>98.27</v>
      </c>
      <c r="H14" s="8">
        <v>28.39</v>
      </c>
      <c r="I14" s="8">
        <v>18.329999999999998</v>
      </c>
      <c r="J14" s="6">
        <f t="shared" si="0"/>
        <v>1.5024590163934426</v>
      </c>
      <c r="K14" s="8">
        <v>29.5</v>
      </c>
      <c r="L14" s="9">
        <v>3</v>
      </c>
    </row>
    <row r="15" spans="1:17">
      <c r="B15" s="8">
        <v>2.6</v>
      </c>
      <c r="C15" s="8">
        <v>19.25</v>
      </c>
      <c r="D15" s="8">
        <v>13.16</v>
      </c>
      <c r="E15" s="8">
        <v>33.65</v>
      </c>
      <c r="F15" s="8">
        <v>0.22570000000000001</v>
      </c>
      <c r="G15" s="8">
        <v>98.43</v>
      </c>
      <c r="H15" s="8">
        <v>28.39</v>
      </c>
      <c r="I15" s="8">
        <v>18.71</v>
      </c>
      <c r="J15" s="6">
        <f t="shared" si="0"/>
        <v>1.5336065573770494</v>
      </c>
      <c r="K15" s="8">
        <v>30.3</v>
      </c>
      <c r="L15" s="14">
        <v>4</v>
      </c>
    </row>
    <row r="16" spans="1:17">
      <c r="B16" s="8">
        <v>4.0999999999999996</v>
      </c>
      <c r="C16" s="8">
        <v>30.7</v>
      </c>
      <c r="D16" s="8">
        <v>13.33</v>
      </c>
      <c r="E16" s="8">
        <v>33.65</v>
      </c>
      <c r="F16" s="8">
        <v>0.19550000000000001</v>
      </c>
      <c r="G16" s="8">
        <v>99.6</v>
      </c>
      <c r="H16" s="8">
        <v>25.01</v>
      </c>
      <c r="I16" s="8">
        <v>18.989999999999998</v>
      </c>
      <c r="J16" s="6">
        <f t="shared" si="0"/>
        <v>1.5565573770491803</v>
      </c>
      <c r="K16" s="8">
        <v>32.5</v>
      </c>
      <c r="L16" s="14">
        <v>5</v>
      </c>
    </row>
    <row r="17" spans="2:17">
      <c r="B17" s="8">
        <v>4.17</v>
      </c>
      <c r="C17" s="8">
        <v>32.1</v>
      </c>
      <c r="D17" s="8">
        <v>13.39</v>
      </c>
      <c r="E17" s="8"/>
      <c r="F17" s="8">
        <v>0.19342000000000001</v>
      </c>
      <c r="G17" s="8"/>
      <c r="H17" s="8"/>
      <c r="I17" s="8"/>
      <c r="J17" s="6">
        <f t="shared" si="0"/>
        <v>0</v>
      </c>
      <c r="K17" s="8">
        <v>34</v>
      </c>
      <c r="Q17" s="13">
        <v>0.13680555555555554</v>
      </c>
    </row>
    <row r="18" spans="2:17">
      <c r="B18" s="8">
        <v>4.17</v>
      </c>
      <c r="C18" s="8">
        <v>32.799999999999997</v>
      </c>
      <c r="D18" s="8">
        <v>13.48</v>
      </c>
      <c r="E18" s="8"/>
      <c r="F18" s="8">
        <v>0.19600000000000001</v>
      </c>
      <c r="G18" s="8">
        <v>99.6</v>
      </c>
      <c r="H18" s="8">
        <v>25.01</v>
      </c>
      <c r="I18" s="8">
        <v>19</v>
      </c>
      <c r="J18" s="6">
        <f t="shared" si="0"/>
        <v>1.557377049180328</v>
      </c>
      <c r="K18" s="8">
        <v>35</v>
      </c>
      <c r="L18" s="9">
        <v>6</v>
      </c>
      <c r="M18" s="13">
        <v>0.1388888888888889</v>
      </c>
    </row>
    <row r="19" spans="2:17">
      <c r="B19" s="8"/>
      <c r="C19" s="8"/>
      <c r="D19" s="8"/>
      <c r="E19" s="8"/>
      <c r="F19" s="8"/>
      <c r="G19" s="8"/>
      <c r="H19" s="8"/>
      <c r="I19" s="8"/>
      <c r="J19" s="6">
        <f t="shared" si="0"/>
        <v>0</v>
      </c>
      <c r="K19" s="8">
        <v>36.5</v>
      </c>
      <c r="M19" s="13">
        <v>0.14027777777777778</v>
      </c>
    </row>
    <row r="20" spans="2:17">
      <c r="B20" s="8"/>
      <c r="C20" s="8"/>
      <c r="D20" s="8"/>
      <c r="E20" s="8"/>
      <c r="F20" s="8"/>
      <c r="G20" s="8"/>
      <c r="H20" s="8"/>
      <c r="I20" s="8"/>
      <c r="J20" s="6">
        <f t="shared" si="0"/>
        <v>0</v>
      </c>
      <c r="K20" s="8">
        <v>37.5</v>
      </c>
      <c r="M20" s="13">
        <v>0.1423611111111111</v>
      </c>
    </row>
    <row r="21" spans="2:17">
      <c r="B21" s="8"/>
      <c r="C21" s="8"/>
      <c r="D21" s="8"/>
      <c r="E21" s="8"/>
      <c r="F21" s="8"/>
      <c r="G21" s="8"/>
      <c r="H21" s="8"/>
      <c r="I21" s="8"/>
      <c r="J21" s="6">
        <f t="shared" si="0"/>
        <v>0</v>
      </c>
      <c r="K21" s="8">
        <v>38</v>
      </c>
      <c r="M21" s="13">
        <v>0.14305555555555557</v>
      </c>
    </row>
    <row r="22" spans="2:17">
      <c r="B22" s="8"/>
      <c r="C22" s="8"/>
      <c r="D22" s="8"/>
      <c r="E22" s="8"/>
      <c r="F22" s="8"/>
      <c r="G22" s="8"/>
      <c r="H22" s="8"/>
      <c r="I22" s="8"/>
      <c r="J22" s="6">
        <f t="shared" si="0"/>
        <v>0</v>
      </c>
      <c r="K22" s="8">
        <v>43</v>
      </c>
      <c r="M22" s="13">
        <v>0.14722222222222223</v>
      </c>
    </row>
    <row r="23" spans="2:17">
      <c r="B23" s="8"/>
      <c r="C23" s="8"/>
      <c r="D23" s="8"/>
      <c r="E23" s="8"/>
      <c r="F23" s="8"/>
      <c r="G23" s="8"/>
      <c r="H23" s="8"/>
      <c r="I23" s="8"/>
      <c r="J23" s="6">
        <f t="shared" si="0"/>
        <v>0</v>
      </c>
      <c r="K23" s="8">
        <v>45.5</v>
      </c>
      <c r="M23" s="13">
        <v>0.15069444444444444</v>
      </c>
    </row>
    <row r="24" spans="2:17">
      <c r="B24" s="8"/>
      <c r="C24" s="8"/>
      <c r="D24" s="8"/>
      <c r="E24" s="8"/>
      <c r="F24" s="8"/>
      <c r="G24" s="8"/>
      <c r="H24" s="8"/>
      <c r="I24" s="8"/>
      <c r="J24" s="6">
        <f t="shared" si="0"/>
        <v>0</v>
      </c>
      <c r="K24" s="8">
        <v>49</v>
      </c>
      <c r="M24" s="13">
        <v>0.15486111111111112</v>
      </c>
    </row>
    <row r="25" spans="2:17">
      <c r="B25" s="8"/>
      <c r="C25" s="8"/>
      <c r="D25" s="8"/>
      <c r="E25" s="8"/>
      <c r="F25" s="8"/>
      <c r="G25" s="8"/>
      <c r="H25" s="8"/>
      <c r="I25" s="8"/>
      <c r="J25" s="6">
        <f t="shared" si="0"/>
        <v>0</v>
      </c>
      <c r="K25" s="8">
        <v>53</v>
      </c>
      <c r="M25" s="13">
        <v>0.15833333333333333</v>
      </c>
    </row>
    <row r="26" spans="2:17">
      <c r="B26" s="8"/>
      <c r="C26" s="8"/>
      <c r="D26" s="8"/>
      <c r="E26" s="8"/>
      <c r="F26" s="8"/>
      <c r="G26" s="8"/>
      <c r="H26" s="8"/>
      <c r="I26" s="8"/>
      <c r="J26" s="6">
        <f t="shared" si="0"/>
        <v>0</v>
      </c>
      <c r="K26" s="8">
        <v>55.5</v>
      </c>
      <c r="M26" s="13">
        <v>0.16180555555555556</v>
      </c>
    </row>
    <row r="27" spans="2:17">
      <c r="B27" s="8"/>
      <c r="C27" s="8"/>
      <c r="D27" s="8"/>
      <c r="E27" s="8"/>
      <c r="F27" s="8"/>
      <c r="G27" s="8"/>
      <c r="H27" s="8"/>
      <c r="I27" s="8"/>
      <c r="J27" s="6">
        <f t="shared" si="0"/>
        <v>0</v>
      </c>
      <c r="K27" s="8">
        <v>56</v>
      </c>
      <c r="M27" s="13">
        <v>0.16319444444444445</v>
      </c>
      <c r="N27">
        <v>3.65</v>
      </c>
    </row>
    <row r="28" spans="2:17">
      <c r="B28" s="8"/>
      <c r="C28" s="8"/>
      <c r="D28" s="8"/>
      <c r="E28" s="8"/>
      <c r="F28" s="8"/>
      <c r="G28" s="8"/>
      <c r="H28" s="8"/>
      <c r="I28" s="8"/>
      <c r="J28" s="6">
        <f t="shared" si="0"/>
        <v>0</v>
      </c>
      <c r="K28" s="8">
        <v>57</v>
      </c>
      <c r="M28" s="13">
        <v>0.16458333333333333</v>
      </c>
    </row>
    <row r="29" spans="2:17">
      <c r="B29" s="8"/>
      <c r="C29" s="8"/>
      <c r="D29" s="8"/>
      <c r="E29" s="8"/>
      <c r="F29" s="8"/>
      <c r="G29" s="8"/>
      <c r="H29" s="8"/>
      <c r="I29" s="8"/>
      <c r="J29" s="6">
        <f t="shared" si="0"/>
        <v>0</v>
      </c>
      <c r="K29" s="8">
        <v>61</v>
      </c>
      <c r="M29" s="13">
        <v>0.17013888888888887</v>
      </c>
    </row>
    <row r="30" spans="2:17">
      <c r="B30" s="8"/>
      <c r="C30" s="8"/>
      <c r="D30" s="8"/>
      <c r="E30" s="8"/>
      <c r="F30" s="8"/>
      <c r="G30" s="8"/>
      <c r="H30" s="8"/>
      <c r="I30" s="8"/>
      <c r="J30" s="6">
        <f t="shared" si="0"/>
        <v>0</v>
      </c>
      <c r="K30" s="8">
        <v>62</v>
      </c>
      <c r="M30" s="13">
        <v>0.17291666666666669</v>
      </c>
    </row>
    <row r="31" spans="2:17">
      <c r="B31" s="8"/>
      <c r="C31" s="8"/>
      <c r="D31" s="8"/>
      <c r="E31" s="8"/>
      <c r="F31" s="8"/>
      <c r="G31" s="8"/>
      <c r="H31" s="8"/>
      <c r="I31" s="8"/>
      <c r="J31" s="6">
        <f t="shared" si="0"/>
        <v>0</v>
      </c>
      <c r="K31" s="15"/>
      <c r="L31" s="16"/>
      <c r="M31" s="16"/>
    </row>
    <row r="32" spans="2:17">
      <c r="B32" s="8"/>
      <c r="C32" s="8"/>
      <c r="D32" s="8"/>
      <c r="E32" s="8"/>
      <c r="F32" s="8"/>
      <c r="G32" s="8"/>
      <c r="H32" s="8"/>
      <c r="I32" s="8"/>
      <c r="J32" s="6">
        <f t="shared" si="0"/>
        <v>0</v>
      </c>
      <c r="K32" s="8">
        <v>60</v>
      </c>
      <c r="M32" s="13">
        <v>0.18055555555555555</v>
      </c>
    </row>
    <row r="33" spans="2:13">
      <c r="B33" s="8"/>
      <c r="C33" s="8"/>
      <c r="D33" s="8"/>
      <c r="E33" s="8"/>
      <c r="F33" s="8"/>
      <c r="G33" s="8"/>
      <c r="H33" s="8"/>
      <c r="I33" s="8"/>
      <c r="J33" s="6">
        <f t="shared" si="0"/>
        <v>0</v>
      </c>
      <c r="K33" s="8">
        <v>57</v>
      </c>
      <c r="M33" s="13">
        <v>0.19166666666666665</v>
      </c>
    </row>
    <row r="34" spans="2:13">
      <c r="B34" s="8"/>
      <c r="C34" s="8"/>
      <c r="D34" s="8"/>
      <c r="E34" s="8"/>
      <c r="F34" s="8"/>
      <c r="G34" s="8"/>
      <c r="H34" s="8"/>
      <c r="I34" s="8"/>
      <c r="J34" s="6">
        <f t="shared" si="0"/>
        <v>0</v>
      </c>
      <c r="K34" s="8">
        <v>56</v>
      </c>
      <c r="M34" s="13">
        <v>0.19583333333333333</v>
      </c>
    </row>
    <row r="35" spans="2:13">
      <c r="J35" s="6">
        <f t="shared" si="0"/>
        <v>0</v>
      </c>
      <c r="K35" s="9">
        <v>54</v>
      </c>
      <c r="M35" s="13">
        <v>0.20486111111111113</v>
      </c>
    </row>
    <row r="36" spans="2:13">
      <c r="J36" s="6">
        <f t="shared" si="0"/>
        <v>0</v>
      </c>
      <c r="K36" s="9">
        <v>50</v>
      </c>
      <c r="M36" s="13">
        <v>0.21944444444444444</v>
      </c>
    </row>
    <row r="37" spans="2:13">
      <c r="B37" s="17">
        <v>0.43</v>
      </c>
      <c r="C37" s="20">
        <v>3.3</v>
      </c>
      <c r="D37" s="20">
        <v>13.34</v>
      </c>
      <c r="E37" s="19"/>
      <c r="F37" s="29">
        <v>3.51</v>
      </c>
      <c r="G37" s="20">
        <v>87.65</v>
      </c>
      <c r="H37" s="20"/>
      <c r="I37" s="29">
        <v>4.34</v>
      </c>
      <c r="J37" s="6">
        <f t="shared" si="0"/>
        <v>0.3557377049180328</v>
      </c>
      <c r="K37" s="20">
        <v>34.5</v>
      </c>
      <c r="L37" s="20"/>
      <c r="M37" s="21"/>
    </row>
    <row r="38" spans="2:13">
      <c r="B38" s="22">
        <v>0.67</v>
      </c>
      <c r="C38" s="24">
        <v>5.0999999999999996</v>
      </c>
      <c r="D38" s="24">
        <v>13.29</v>
      </c>
      <c r="E38" s="24"/>
      <c r="F38" s="30">
        <v>1.38</v>
      </c>
      <c r="G38" s="24">
        <v>87.65</v>
      </c>
      <c r="H38" s="24"/>
      <c r="I38" s="30">
        <v>6.59</v>
      </c>
      <c r="J38" s="6">
        <f t="shared" si="0"/>
        <v>0.54016393442622956</v>
      </c>
      <c r="K38" s="24"/>
      <c r="L38" s="24"/>
      <c r="M38" s="25"/>
    </row>
    <row r="39" spans="2:13">
      <c r="B39" s="22">
        <v>1.6</v>
      </c>
      <c r="C39" s="24">
        <v>12</v>
      </c>
      <c r="D39" s="24">
        <v>13.42</v>
      </c>
      <c r="E39" s="24"/>
      <c r="F39" s="30">
        <v>0.33</v>
      </c>
      <c r="G39" s="24">
        <v>96.9</v>
      </c>
      <c r="H39" s="24"/>
      <c r="I39" s="30">
        <v>13.7</v>
      </c>
      <c r="J39" s="6">
        <f t="shared" si="0"/>
        <v>1.1229508196721312</v>
      </c>
      <c r="K39" s="24"/>
      <c r="L39" s="24"/>
      <c r="M39" s="25"/>
    </row>
    <row r="40" spans="2:13">
      <c r="B40" s="22"/>
      <c r="C40" s="24"/>
      <c r="D40" s="24"/>
      <c r="E40" s="24"/>
      <c r="F40" s="30"/>
      <c r="G40" s="24"/>
      <c r="H40" s="24"/>
      <c r="I40" s="30"/>
      <c r="J40" s="24"/>
      <c r="K40" s="24"/>
      <c r="L40" s="24"/>
      <c r="M40" s="25"/>
    </row>
    <row r="41" spans="2:13">
      <c r="B41" s="22"/>
      <c r="C41" s="24"/>
      <c r="D41" s="24"/>
      <c r="E41" s="24"/>
      <c r="F41" s="30"/>
      <c r="G41" s="24"/>
      <c r="H41" s="24"/>
      <c r="I41" s="30"/>
      <c r="J41" s="24"/>
      <c r="K41" s="24"/>
      <c r="L41" s="24"/>
      <c r="M41" s="25"/>
    </row>
    <row r="42" spans="2:13">
      <c r="B42" s="26"/>
      <c r="C42" s="27"/>
      <c r="D42" s="27"/>
      <c r="E42" s="27"/>
      <c r="F42" s="31"/>
      <c r="G42" s="27"/>
      <c r="H42" s="27"/>
      <c r="I42" s="31"/>
      <c r="J42" s="27"/>
      <c r="K42" s="27"/>
      <c r="L42" s="27"/>
      <c r="M42" s="28"/>
    </row>
    <row r="43" spans="2:13">
      <c r="C43" s="8">
        <v>35</v>
      </c>
      <c r="D43" s="9">
        <v>6</v>
      </c>
      <c r="E43" s="13">
        <v>0</v>
      </c>
      <c r="G43">
        <v>0</v>
      </c>
      <c r="H43">
        <f>G43+10</f>
        <v>10</v>
      </c>
    </row>
    <row r="44" spans="2:13">
      <c r="C44" s="8">
        <v>36.5</v>
      </c>
      <c r="E44" s="13">
        <v>2</v>
      </c>
      <c r="G44">
        <v>2</v>
      </c>
      <c r="H44">
        <f t="shared" ref="H44:H55" si="1">G44+10</f>
        <v>12</v>
      </c>
    </row>
    <row r="45" spans="2:13">
      <c r="C45" s="8">
        <v>37.5</v>
      </c>
      <c r="E45" s="13">
        <v>0.1423611111111111</v>
      </c>
      <c r="G45">
        <v>5</v>
      </c>
      <c r="H45">
        <f t="shared" si="1"/>
        <v>15</v>
      </c>
    </row>
    <row r="46" spans="2:13">
      <c r="C46" s="8">
        <v>38</v>
      </c>
      <c r="E46" s="13">
        <v>0.14305555555555557</v>
      </c>
      <c r="G46">
        <v>6</v>
      </c>
      <c r="H46">
        <f t="shared" si="1"/>
        <v>16</v>
      </c>
    </row>
    <row r="47" spans="2:13">
      <c r="C47" s="8">
        <v>43</v>
      </c>
      <c r="E47" s="13">
        <v>0.14722222222222223</v>
      </c>
      <c r="G47">
        <v>12</v>
      </c>
      <c r="H47">
        <f t="shared" si="1"/>
        <v>22</v>
      </c>
    </row>
    <row r="48" spans="2:13">
      <c r="C48" s="8">
        <v>45.5</v>
      </c>
      <c r="E48" s="13">
        <v>0.15069444444444444</v>
      </c>
      <c r="G48">
        <v>17</v>
      </c>
      <c r="H48">
        <f t="shared" si="1"/>
        <v>27</v>
      </c>
    </row>
    <row r="49" spans="3:8">
      <c r="C49" s="8">
        <v>49</v>
      </c>
      <c r="E49" s="13">
        <v>0.15486111111111112</v>
      </c>
      <c r="G49">
        <v>23</v>
      </c>
      <c r="H49">
        <f t="shared" si="1"/>
        <v>33</v>
      </c>
    </row>
    <row r="50" spans="3:8">
      <c r="C50" s="8">
        <v>53</v>
      </c>
      <c r="E50" s="13">
        <v>0.15833333333333333</v>
      </c>
      <c r="G50">
        <v>28</v>
      </c>
      <c r="H50">
        <f t="shared" si="1"/>
        <v>38</v>
      </c>
    </row>
    <row r="51" spans="3:8">
      <c r="C51" s="8">
        <v>55.5</v>
      </c>
      <c r="E51" s="13">
        <v>0.16180555555555556</v>
      </c>
      <c r="G51">
        <v>33</v>
      </c>
      <c r="H51">
        <f t="shared" si="1"/>
        <v>43</v>
      </c>
    </row>
    <row r="52" spans="3:8">
      <c r="C52" s="8">
        <v>56</v>
      </c>
      <c r="E52" s="13">
        <v>0.16319444444444445</v>
      </c>
      <c r="F52">
        <v>3.65</v>
      </c>
      <c r="G52">
        <v>35</v>
      </c>
      <c r="H52">
        <f t="shared" si="1"/>
        <v>45</v>
      </c>
    </row>
    <row r="53" spans="3:8">
      <c r="C53" s="8">
        <v>57</v>
      </c>
      <c r="E53" s="13">
        <v>0.16458333333333333</v>
      </c>
      <c r="G53">
        <v>37</v>
      </c>
      <c r="H53">
        <f t="shared" si="1"/>
        <v>47</v>
      </c>
    </row>
    <row r="54" spans="3:8">
      <c r="C54" s="8">
        <v>61</v>
      </c>
      <c r="E54" s="13">
        <v>0.17013888888888887</v>
      </c>
      <c r="G54">
        <v>45</v>
      </c>
      <c r="H54">
        <f t="shared" si="1"/>
        <v>55</v>
      </c>
    </row>
    <row r="55" spans="3:8">
      <c r="C55" s="8">
        <v>62</v>
      </c>
      <c r="E55" s="13">
        <v>0.17291666666666669</v>
      </c>
      <c r="G55">
        <v>49</v>
      </c>
      <c r="H55">
        <f t="shared" si="1"/>
        <v>59</v>
      </c>
    </row>
    <row r="56" spans="3:8">
      <c r="C56" s="15"/>
      <c r="D56" s="16"/>
      <c r="E56" s="16"/>
    </row>
    <row r="57" spans="3:8">
      <c r="C57" s="8">
        <v>60</v>
      </c>
      <c r="E57" s="13">
        <v>0.18055555555555555</v>
      </c>
    </row>
    <row r="58" spans="3:8">
      <c r="C58" s="8">
        <v>57</v>
      </c>
      <c r="E58" s="13">
        <v>0.19166666666666665</v>
      </c>
    </row>
    <row r="59" spans="3:8">
      <c r="C59" s="8">
        <v>56</v>
      </c>
      <c r="E59" s="13">
        <v>0.19583333333333333</v>
      </c>
    </row>
    <row r="63" spans="3:8">
      <c r="C63" t="s">
        <v>64</v>
      </c>
      <c r="D63" t="s">
        <v>65</v>
      </c>
      <c r="E63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O31"/>
  <sheetViews>
    <sheetView workbookViewId="0">
      <selection activeCell="H7" sqref="H7:H12"/>
    </sheetView>
  </sheetViews>
  <sheetFormatPr defaultRowHeight="15"/>
  <sheetData>
    <row r="3" spans="1:15">
      <c r="B3" s="32" t="s">
        <v>63</v>
      </c>
      <c r="C3" s="33" t="s">
        <v>60</v>
      </c>
      <c r="D3" s="33" t="s">
        <v>57</v>
      </c>
      <c r="E3" s="33" t="s">
        <v>58</v>
      </c>
      <c r="F3" s="33" t="s">
        <v>19</v>
      </c>
      <c r="G3" s="33" t="s">
        <v>61</v>
      </c>
      <c r="H3" s="33"/>
      <c r="I3" s="33"/>
      <c r="J3" s="33"/>
      <c r="K3" s="33"/>
      <c r="L3" s="33"/>
      <c r="M3" s="33"/>
      <c r="N3" s="33"/>
      <c r="O3" s="34"/>
    </row>
    <row r="4" spans="1:15">
      <c r="A4">
        <v>1</v>
      </c>
      <c r="B4" s="18">
        <v>0.43</v>
      </c>
      <c r="C4" s="6">
        <v>0.35499999999999998</v>
      </c>
      <c r="D4" s="35">
        <v>3.51</v>
      </c>
      <c r="E4" s="18">
        <v>87.65</v>
      </c>
    </row>
    <row r="5" spans="1:15">
      <c r="A5">
        <v>2</v>
      </c>
      <c r="B5" s="23">
        <v>0.67</v>
      </c>
      <c r="C5" s="6">
        <v>0.54</v>
      </c>
      <c r="D5" s="36">
        <v>1.38</v>
      </c>
      <c r="E5" s="23">
        <v>87.65</v>
      </c>
    </row>
    <row r="6" spans="1:15">
      <c r="A6">
        <v>3</v>
      </c>
      <c r="B6" s="23">
        <v>1.6</v>
      </c>
      <c r="C6" s="6">
        <v>1.1220000000000001</v>
      </c>
      <c r="D6" s="36">
        <v>0.33</v>
      </c>
      <c r="E6" s="23">
        <v>96.9</v>
      </c>
    </row>
    <row r="7" spans="1:15">
      <c r="A7">
        <v>4</v>
      </c>
      <c r="B7" s="8">
        <v>1.95</v>
      </c>
      <c r="C7" s="6">
        <v>1.38</v>
      </c>
      <c r="D7" s="8">
        <v>0.27410000000000001</v>
      </c>
      <c r="E7" s="8">
        <v>97.58</v>
      </c>
      <c r="F7" s="8">
        <v>12.96</v>
      </c>
      <c r="G7" s="8">
        <v>28</v>
      </c>
      <c r="H7">
        <f>POWER(C7*14,2)/F7</f>
        <v>28.801111111111112</v>
      </c>
    </row>
    <row r="8" spans="1:15">
      <c r="A8">
        <v>5</v>
      </c>
      <c r="B8" s="8">
        <v>2.37</v>
      </c>
      <c r="C8" s="6">
        <v>1.47</v>
      </c>
      <c r="D8" s="8">
        <v>0.2417</v>
      </c>
      <c r="E8" s="8">
        <v>98.13</v>
      </c>
      <c r="F8" s="8">
        <v>13.04</v>
      </c>
      <c r="G8" s="8">
        <v>28</v>
      </c>
      <c r="H8">
        <f t="shared" ref="H8:H13" si="0">POWER(C8*14,2)/F8</f>
        <v>32.479785276073621</v>
      </c>
    </row>
    <row r="9" spans="1:15">
      <c r="A9">
        <v>6</v>
      </c>
      <c r="B9" s="8">
        <v>2.44</v>
      </c>
      <c r="C9" s="6">
        <v>1.5</v>
      </c>
      <c r="D9" s="8">
        <v>0.23400000000000001</v>
      </c>
      <c r="E9" s="8">
        <v>98.27</v>
      </c>
      <c r="F9" s="8">
        <v>13.11</v>
      </c>
      <c r="G9" s="8">
        <v>29.5</v>
      </c>
      <c r="H9">
        <f t="shared" si="0"/>
        <v>33.638443935926773</v>
      </c>
    </row>
    <row r="10" spans="1:15">
      <c r="A10">
        <v>7</v>
      </c>
      <c r="B10" s="8">
        <v>2.6</v>
      </c>
      <c r="C10" s="6">
        <v>1.53</v>
      </c>
      <c r="D10" s="8">
        <v>0.22570000000000001</v>
      </c>
      <c r="E10" s="8">
        <v>98.43</v>
      </c>
      <c r="F10" s="8">
        <v>13.16</v>
      </c>
      <c r="G10" s="8">
        <v>30.3</v>
      </c>
      <c r="H10">
        <f t="shared" si="0"/>
        <v>34.864468085106388</v>
      </c>
    </row>
    <row r="11" spans="1:15">
      <c r="A11">
        <v>8</v>
      </c>
      <c r="B11" s="8">
        <v>4.0999999999999996</v>
      </c>
      <c r="C11" s="6">
        <v>1.556</v>
      </c>
      <c r="D11" s="8">
        <v>0.19550000000000001</v>
      </c>
      <c r="E11" s="8">
        <v>99.6</v>
      </c>
      <c r="F11" s="8">
        <v>13.33</v>
      </c>
      <c r="G11" s="8">
        <v>32.5</v>
      </c>
      <c r="H11">
        <f t="shared" si="0"/>
        <v>35.599599099774942</v>
      </c>
    </row>
    <row r="12" spans="1:15">
      <c r="A12">
        <v>9</v>
      </c>
      <c r="B12" s="8">
        <v>4.17</v>
      </c>
      <c r="C12" s="6">
        <v>1.5569999999999999</v>
      </c>
      <c r="D12" s="8">
        <v>0.19600000000000001</v>
      </c>
      <c r="E12" s="8">
        <v>99.6</v>
      </c>
      <c r="F12" s="8">
        <v>13.39</v>
      </c>
      <c r="G12" s="8">
        <v>34</v>
      </c>
      <c r="H12">
        <f t="shared" si="0"/>
        <v>35.485646303211347</v>
      </c>
    </row>
    <row r="13" spans="1:15">
      <c r="B13" s="8">
        <v>4.2</v>
      </c>
      <c r="C13" s="6"/>
      <c r="D13" s="8"/>
      <c r="E13" s="8"/>
      <c r="F13" s="8">
        <v>13.48</v>
      </c>
      <c r="G13" s="8">
        <v>35</v>
      </c>
      <c r="H13">
        <f t="shared" si="0"/>
        <v>0</v>
      </c>
    </row>
    <row r="14" spans="1:15">
      <c r="C14" s="5"/>
    </row>
    <row r="15" spans="1:15">
      <c r="C15" s="5"/>
    </row>
    <row r="16" spans="1:15">
      <c r="C16" s="5"/>
    </row>
    <row r="17" spans="3:3">
      <c r="C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</vt:vector>
  </HeadingPairs>
  <TitlesOfParts>
    <vt:vector size="13" baseType="lpstr">
      <vt:lpstr>ECCAW</vt:lpstr>
      <vt:lpstr>ECW</vt:lpstr>
      <vt:lpstr>Input - Inductance</vt:lpstr>
      <vt:lpstr>Data Collection</vt:lpstr>
      <vt:lpstr>Data Processing</vt:lpstr>
      <vt:lpstr>Rdc vs Temp</vt:lpstr>
      <vt:lpstr>B&amp;Qes vs I</vt:lpstr>
      <vt:lpstr>Temp Rising 4A</vt:lpstr>
      <vt:lpstr>Length to Mass</vt:lpstr>
      <vt:lpstr>BL vs Mass</vt:lpstr>
      <vt:lpstr>Multilayer</vt:lpstr>
      <vt:lpstr>DCR vs Bl</vt:lpstr>
      <vt:lpstr>No comp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aro</dc:creator>
  <cp:lastModifiedBy>Taro</cp:lastModifiedBy>
  <dcterms:created xsi:type="dcterms:W3CDTF">2012-05-17T14:28:45Z</dcterms:created>
  <dcterms:modified xsi:type="dcterms:W3CDTF">2013-02-04T00:17:24Z</dcterms:modified>
</cp:coreProperties>
</file>