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commandstrategyadvisory-my.sharepoint.com/personal/a_guedon_commandstrategy_com/Documents/"/>
    </mc:Choice>
  </mc:AlternateContent>
  <xr:revisionPtr revIDLastSave="303" documentId="8_{928969AB-9D26-4835-87C9-0174D010AEF0}" xr6:coauthVersionLast="47" xr6:coauthVersionMax="47" xr10:uidLastSave="{EA976156-3542-41A3-BCAF-1ECAC737BE83}"/>
  <bookViews>
    <workbookView xWindow="-120" yWindow="-120" windowWidth="29040" windowHeight="15720" firstSheet="2" activeTab="2" xr2:uid="{95AC1ECA-E09E-481F-91BF-00E0CA4C383F}"/>
  </bookViews>
  <sheets>
    <sheet name="Calcul de performance" sheetId="1" r:id="rId1"/>
    <sheet name="TWR" sheetId="4" r:id="rId2"/>
    <sheet name="Attribution de performance" sheetId="5" r:id="rId3"/>
  </sheets>
  <calcPr calcId="191028"/>
  <pivotCaches>
    <pivotCache cacheId="8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H13" i="4"/>
  <c r="L3" i="5"/>
  <c r="L5" i="5"/>
  <c r="L8" i="5"/>
  <c r="L9" i="5"/>
  <c r="L10" i="5"/>
  <c r="L11" i="5"/>
  <c r="M3" i="5"/>
  <c r="M5" i="5"/>
  <c r="M6" i="5"/>
  <c r="M8" i="5"/>
  <c r="M9" i="5"/>
  <c r="M10" i="5"/>
  <c r="M11" i="5"/>
  <c r="L4" i="5"/>
  <c r="L6" i="5"/>
  <c r="L7" i="5"/>
  <c r="L2" i="5"/>
  <c r="C7" i="5"/>
  <c r="C5" i="5"/>
  <c r="M4" i="5" s="1"/>
  <c r="C3" i="5"/>
  <c r="M2" i="5" s="1"/>
  <c r="C8" i="5"/>
  <c r="M7" i="5" s="1"/>
  <c r="K6" i="4"/>
  <c r="K7" i="4"/>
  <c r="K8" i="4"/>
  <c r="K5" i="4"/>
  <c r="J10" i="4"/>
  <c r="J6" i="4"/>
  <c r="J7" i="4"/>
  <c r="J8" i="4"/>
  <c r="J5" i="4"/>
  <c r="H12" i="1"/>
  <c r="J12" i="1" s="1"/>
  <c r="H13" i="1"/>
  <c r="G10" i="1"/>
  <c r="G11" i="1"/>
  <c r="G12" i="1"/>
  <c r="G13" i="1"/>
  <c r="D10" i="1"/>
  <c r="D11" i="1"/>
  <c r="D12" i="1"/>
  <c r="D13" i="1"/>
  <c r="H7" i="1"/>
  <c r="H11" i="1" s="1"/>
  <c r="J11" i="1" s="1"/>
  <c r="H8" i="1"/>
  <c r="J8" i="1" s="1"/>
  <c r="H9" i="1"/>
  <c r="H6" i="1"/>
  <c r="J6" i="1" s="1"/>
  <c r="G8" i="1"/>
  <c r="G6" i="1"/>
  <c r="D7" i="1"/>
  <c r="D8" i="1"/>
  <c r="D9" i="1"/>
  <c r="G5" i="1"/>
  <c r="J5" i="1"/>
  <c r="J2" i="1"/>
  <c r="D6" i="1" s="1"/>
  <c r="J3" i="1"/>
  <c r="J4" i="1"/>
  <c r="J7" i="1"/>
  <c r="J9" i="1"/>
  <c r="J13" i="1"/>
  <c r="G7" i="1"/>
  <c r="G9" i="1"/>
  <c r="G3" i="1"/>
  <c r="G4" i="1"/>
  <c r="G2" i="1"/>
  <c r="K2" i="1" s="1"/>
  <c r="I6" i="4"/>
  <c r="I8" i="4"/>
  <c r="I7" i="4"/>
  <c r="I5" i="4"/>
  <c r="L13" i="5" l="1"/>
  <c r="M13" i="5"/>
  <c r="K6" i="5"/>
  <c r="K4" i="5"/>
  <c r="K5" i="5"/>
  <c r="K3" i="5"/>
  <c r="K10" i="5"/>
  <c r="K2" i="5"/>
  <c r="K8" i="5"/>
  <c r="K11" i="5"/>
  <c r="K9" i="5"/>
  <c r="K7" i="5"/>
  <c r="I2" i="5"/>
  <c r="K4" i="1"/>
  <c r="K3" i="1"/>
  <c r="H10" i="1"/>
  <c r="J10" i="1" s="1"/>
  <c r="K13" i="1"/>
  <c r="K12" i="1"/>
  <c r="K11" i="1"/>
  <c r="K10" i="1"/>
  <c r="K9" i="1"/>
  <c r="K8" i="1"/>
  <c r="K7" i="1"/>
  <c r="K6" i="1"/>
  <c r="K5" i="1"/>
  <c r="K13" i="5" l="1"/>
  <c r="P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tc={0DDB57D9-2230-46D7-8962-253047E5D790}</author>
    <author>tc={F5CDB42E-30CA-4029-8402-86ADBFA624F6}</author>
    <author>tc={FACAE961-CC18-4556-9AAC-FE83B4F1FD06}</author>
    <author>tc={8EFC5B00-10AA-41EF-A25C-6C15DFB717AD}</author>
    <author>tc={63C9EAC8-66A7-4120-9071-E8C0AE723C91}</author>
  </authors>
  <commentList>
    <comment ref="I2" authorId="0" shapeId="0" xr:uid="{0DDB57D9-2230-46D7-8962-253047E5D7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Cours de clôture aléatoire </t>
      </text>
    </comment>
    <comment ref="K2" authorId="1" shapeId="0" xr:uid="{F5CDB42E-30CA-4029-8402-86ADBFA624F6}">
      <text>
        <t>[Threaded comment]
Your version of Excel allows you to read this threaded comment; however, any edits to it will get removed if the file is opened in a newer version of Excel. Learn more: https://go.microsoft.com/fwlink/?linkid=870924
Comment:
    Je calcule la perf entre deux clôtures du marché.
Formule :
(VM clôture - (VI + VCF)) / (VI + VCF)</t>
      </text>
    </comment>
    <comment ref="D6" authorId="2" shapeId="0" xr:uid="{FACAE961-CC18-4556-9AAC-FE83B4F1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Je considère la valeur initiale d'un jour comme étant la valeur de marché à la clôture de la veille.</t>
      </text>
    </comment>
    <comment ref="F6" authorId="3" shapeId="0" xr:uid="{8EFC5B00-10AA-41EF-A25C-6C15DFB717AD}">
      <text>
        <t>[Threaded comment]
Your version of Excel allows you to read this threaded comment; however, any edits to it will get removed if the file is opened in a newer version of Excel. Learn more: https://go.microsoft.com/fwlink/?linkid=870924
Comment:
    On achète/vend à un cours aléatoire.</t>
      </text>
    </comment>
    <comment ref="H6" authorId="4" shapeId="0" xr:uid="{63C9EAC8-66A7-4120-9071-E8C0AE723C91}">
      <text>
        <t>[Threaded comment]
Your version of Excel allows you to read this threaded comment; however, any edits to it will get removed if the file is opened in a newer version of Excel. Learn more: https://go.microsoft.com/fwlink/?linkid=870924
Comment:
    Quantité totale achetée du titre en question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tc={87FC14BA-272A-40B5-ADC7-7DD4B89E949B}</author>
    <author>tc={260AECF9-107A-4018-BC36-84AF8E454F6B}</author>
  </authors>
  <commentList>
    <comment ref="I5" authorId="0" shapeId="0" xr:uid="{87FC14BA-272A-40B5-ADC7-7DD4B89E949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Produit pour i allant de 1 au nombre de jours de :
(1 + taux de rendement jour i) 
Le tout moins 1</t>
      </text>
    </comment>
    <comment ref="H13" authorId="1" shapeId="0" xr:uid="{260AECF9-107A-4018-BC36-84AF8E454F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Moyenne pondérée par les VM finales des TWR des différents titres.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tc={6498374A-BEBC-418E-9E77-0C57D81BF592}</author>
    <author>tc={657221AD-A4EF-47E1-8F2A-61F139B7A682}</author>
    <author>tc={2657CE80-D110-4077-A438-2B857ECDC674}</author>
    <author>tc={D3B0E19D-5C48-4AA2-83D7-4D76DC034D07}</author>
    <author>tc={F37E0304-13B8-4F97-A365-49C513A9D3AE}</author>
  </authors>
  <commentList>
    <comment ref="K1" authorId="0" shapeId="0" xr:uid="{6498374A-BEBC-418E-9E77-0C57D81BF5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Dû à la surpondération (ou sous-pondération) d’un groupe d’actifs par rapport au benchmark. </t>
      </text>
    </comment>
    <comment ref="L1" authorId="1" shapeId="0" xr:uid="{657221AD-A4EF-47E1-8F2A-61F139B7A6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Dû à la contribution spécifique des titres à l’intérieur de chaque groupe d’actifs. Cet effet mesure la capacité du gérant à sélectionner à l’intérieur d’un groupe les titres dont la rentabilité est supérieure à celle des titres du groupe équivalent présent dans le benchmark. </t>
      </text>
    </comment>
    <comment ref="M1" authorId="2" shapeId="0" xr:uid="{2657CE80-D110-4077-A438-2B857ECDC6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Correspond à la différence de rentabilité expliquée par l’action combinée des deux effets précédents.  </t>
      </text>
    </comment>
    <comment ref="P13" authorId="3" shapeId="0" xr:uid="{D3B0E19D-5C48-4AA2-83D7-4D76DC034D07}">
      <text>
        <t>[Threaded comment]
Your version of Excel allows you to read this threaded comment; however, any edits to it will get removed if the file is opened in a newer version of Excel. Learn more: https://go.microsoft.com/fwlink/?linkid=870924
Comment:
    On a bien :
Surperformance = allocation + sélection + interaction</t>
      </text>
    </comment>
    <comment ref="F14" authorId="4" shapeId="0" xr:uid="{F37E0304-13B8-4F97-A365-49C513A9D3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Moyenne pondérée par les VM finales des TWR des différents secteurs. 
</t>
      </text>
    </comment>
  </commentList>
</comments>
</file>

<file path=xl/sharedStrings.xml><?xml version="1.0" encoding="utf-8"?>
<sst xmlns="http://schemas.openxmlformats.org/spreadsheetml/2006/main" count="97" uniqueCount="48">
  <si>
    <t>Date</t>
  </si>
  <si>
    <t>ISIN</t>
  </si>
  <si>
    <t>Nom</t>
  </si>
  <si>
    <t>Valeur Initiale</t>
  </si>
  <si>
    <t>Quantité ajoutée</t>
  </si>
  <si>
    <t>PU à l'achat</t>
  </si>
  <si>
    <t>Valeur du Cash Flow</t>
  </si>
  <si>
    <t>Quantité totale</t>
  </si>
  <si>
    <t>PU à la clôture</t>
  </si>
  <si>
    <t>VM clôture</t>
  </si>
  <si>
    <t>Perf journalière</t>
  </si>
  <si>
    <t>FR0000121329</t>
  </si>
  <si>
    <t xml:space="preserve">Thales SA                                                   </t>
  </si>
  <si>
    <t>FR0000120503</t>
  </si>
  <si>
    <t xml:space="preserve">Bouygues SA                                                 </t>
  </si>
  <si>
    <t>FR0000121014</t>
  </si>
  <si>
    <t xml:space="preserve">LVMH Moet Hennessy Louis Vuitton SE                         </t>
  </si>
  <si>
    <t>FR0000120321</t>
  </si>
  <si>
    <t xml:space="preserve">L'Oreal SA                                                  </t>
  </si>
  <si>
    <t>Somme de Perf journalière</t>
  </si>
  <si>
    <t>Étiquettes de colonnes</t>
  </si>
  <si>
    <t>Secteur</t>
  </si>
  <si>
    <t>TWR période 01/12 - 03/12</t>
  </si>
  <si>
    <t>VM finale</t>
  </si>
  <si>
    <t>Poids dans le prtf</t>
  </si>
  <si>
    <t>Étiquettes de lignes</t>
  </si>
  <si>
    <t>Immobilier et bâtiment</t>
  </si>
  <si>
    <t>Santé</t>
  </si>
  <si>
    <t>Luxe</t>
  </si>
  <si>
    <t>Aéronotique et féroviaire</t>
  </si>
  <si>
    <t>VM prtf :</t>
  </si>
  <si>
    <t xml:space="preserve">TWR du portefeuille : </t>
  </si>
  <si>
    <t>Portefeuille</t>
  </si>
  <si>
    <t>Benchmark (CAC 40)</t>
  </si>
  <si>
    <t>Surperformance du portefeuille</t>
  </si>
  <si>
    <t>Effet d'allocation</t>
  </si>
  <si>
    <t>Effet de sélection</t>
  </si>
  <si>
    <t>Terme d'interaction</t>
  </si>
  <si>
    <t>Poids</t>
  </si>
  <si>
    <t>Energie</t>
  </si>
  <si>
    <t>Banque et assurance</t>
  </si>
  <si>
    <t>Services aux entreprises</t>
  </si>
  <si>
    <t>Automobile</t>
  </si>
  <si>
    <t>Distribution et alimentaire</t>
  </si>
  <si>
    <t>Médias et télécoms</t>
  </si>
  <si>
    <t xml:space="preserve">Total : </t>
  </si>
  <si>
    <t>Somme des 3 termes :</t>
  </si>
  <si>
    <t>Rentabilité moyenne du benchmark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</si>
</sst>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2" borderId="0" xfId="0" applyFont="1" applyFill="1"/>
    <xf numFmtId="1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10" fontId="3" fillId="0" borderId="0" xfId="1" applyNumberFormat="1" applyFont="1"/>
    <xf numFmtId="9" fontId="3" fillId="0" borderId="0" xfId="1" applyFont="1"/>
    <xf numFmtId="9" fontId="3" fillId="0" borderId="0" xfId="0" applyNumberFormat="1" applyFont="1"/>
    <xf numFmtId="10" fontId="2" fillId="3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14"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xel Guedon" id="{4DC67849-A188-40EE-86B2-14892BC110BD}" userId="S::a.guedon@commandstrategy.com::76245736-c768-4a9e-8085-e54721583a3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Guedon" refreshedDate="45485.397214930555" createdVersion="8" refreshedVersion="8" minRefreshableVersion="3" recordCount="12" xr:uid="{3C761047-B452-48D1-9D83-DFCFA993D37F}">
  <cacheSource type="worksheet">
    <worksheetSource name="Tableau1"/>
  </cacheSource>
  <cacheFields count="11">
    <cacheField name="Date" numFmtId="14">
      <sharedItems containsSemiMixedTypes="0" containsNonDate="0" containsDate="1" containsString="0" minDate="2024-12-01T00:00:00" maxDate="2024-12-04T00:00:00" count="3">
        <d v="2024-12-01T00:00:00"/>
        <d v="2024-12-02T00:00:00"/>
        <d v="2024-12-03T00:00:00"/>
      </sharedItems>
    </cacheField>
    <cacheField name="ISIN" numFmtId="0">
      <sharedItems/>
    </cacheField>
    <cacheField name="Nom" numFmtId="0">
      <sharedItems count="4">
        <s v="Thales SA                                                   "/>
        <s v="Bouygues SA                                                 "/>
        <s v="LVMH Moet Hennessy Louis Vuitton SE                         "/>
        <s v="L'Oreal SA                                                  "/>
      </sharedItems>
    </cacheField>
    <cacheField name="Valeur Initiale" numFmtId="0">
      <sharedItems containsSemiMixedTypes="0" containsString="0" containsNumber="1" minValue="0" maxValue="209760"/>
    </cacheField>
    <cacheField name="Quantité ajoutée" numFmtId="0">
      <sharedItems containsSemiMixedTypes="0" containsString="0" containsNumber="1" containsInteger="1" minValue="-200" maxValue="300"/>
    </cacheField>
    <cacheField name="PU à l'achat" numFmtId="0">
      <sharedItems containsSemiMixedTypes="0" containsString="0" containsNumber="1" minValue="34.5" maxValue="700"/>
    </cacheField>
    <cacheField name="Valeur du Cash Flow" numFmtId="0">
      <sharedItems containsSemiMixedTypes="0" containsString="0" containsNumber="1" minValue="-140000" maxValue="207000"/>
    </cacheField>
    <cacheField name="Quantité totale" numFmtId="0">
      <sharedItems containsSemiMixedTypes="0" containsString="0" containsNumber="1" containsInteger="1" minValue="50" maxValue="350"/>
    </cacheField>
    <cacheField name="PU à la clôture" numFmtId="0">
      <sharedItems containsSemiMixedTypes="0" containsString="0" containsNumber="1" minValue="34.81" maxValue="713.2"/>
    </cacheField>
    <cacheField name="VM clôture" numFmtId="0">
      <sharedItems containsSemiMixedTypes="0" containsString="0" containsNumber="1" minValue="7009.9999999999991" maxValue="249620.00000000003"/>
    </cacheField>
    <cacheField name="Perf journalière" numFmtId="10">
      <sharedItems containsSemiMixedTypes="0" containsString="0" containsNumber="1" minValue="-1.8678160919540231E-2" maxValue="1.939804794380703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FR0000121329"/>
    <x v="0"/>
    <n v="0"/>
    <n v="100"/>
    <n v="138.25"/>
    <n v="13825"/>
    <n v="100"/>
    <n v="139.15"/>
    <n v="13915"/>
    <n v="6.5099457504520794E-3"/>
  </r>
  <r>
    <x v="0"/>
    <s v="FR0000120503"/>
    <x v="1"/>
    <n v="0"/>
    <n v="200"/>
    <n v="35"/>
    <n v="7000"/>
    <n v="200"/>
    <n v="35.049999999999997"/>
    <n v="7009.9999999999991"/>
    <n v="1.4285714285712987E-3"/>
  </r>
  <r>
    <x v="0"/>
    <s v="FR0000121014"/>
    <x v="2"/>
    <n v="0"/>
    <n v="300"/>
    <n v="690"/>
    <n v="207000"/>
    <n v="300"/>
    <n v="699.2"/>
    <n v="209760"/>
    <n v="1.3333333333333334E-2"/>
  </r>
  <r>
    <x v="0"/>
    <s v="FR0000120321"/>
    <x v="3"/>
    <n v="0"/>
    <n v="50"/>
    <n v="434.4"/>
    <n v="21720"/>
    <n v="50"/>
    <n v="436.15"/>
    <n v="21807.5"/>
    <n v="4.0285451197053408E-3"/>
  </r>
  <r>
    <x v="1"/>
    <s v="FR0000121329"/>
    <x v="0"/>
    <n v="13915"/>
    <n v="50"/>
    <n v="139.30000000000001"/>
    <n v="6965.0000000000009"/>
    <n v="150"/>
    <n v="136.6"/>
    <n v="20490"/>
    <n v="-1.8678160919540231E-2"/>
  </r>
  <r>
    <x v="1"/>
    <s v="FR0000120503"/>
    <x v="1"/>
    <n v="7009.9999999999991"/>
    <n v="100"/>
    <n v="34.5"/>
    <n v="3450"/>
    <n v="300"/>
    <n v="34.81"/>
    <n v="10443"/>
    <n v="-1.6252390057361376E-3"/>
  </r>
  <r>
    <x v="1"/>
    <s v="FR0000121014"/>
    <x v="2"/>
    <n v="209760"/>
    <n v="-200"/>
    <n v="700"/>
    <n v="-140000"/>
    <n v="100"/>
    <n v="698.7"/>
    <n v="69870"/>
    <n v="1.5768348623853212E-3"/>
  </r>
  <r>
    <x v="1"/>
    <s v="FR0000120321"/>
    <x v="3"/>
    <n v="21807.5"/>
    <n v="0"/>
    <n v="436.2"/>
    <n v="0"/>
    <n v="50"/>
    <n v="436.9"/>
    <n v="21845"/>
    <n v="1.7195918835263098E-3"/>
  </r>
  <r>
    <x v="2"/>
    <s v="FR0000121329"/>
    <x v="0"/>
    <n v="20490"/>
    <n v="0"/>
    <n v="136.1"/>
    <n v="0"/>
    <n v="150"/>
    <n v="135.4"/>
    <n v="20310"/>
    <n v="-8.7847730600292828E-3"/>
  </r>
  <r>
    <x v="2"/>
    <s v="FR0000120503"/>
    <x v="1"/>
    <n v="10443"/>
    <n v="-100"/>
    <n v="34.9"/>
    <n v="-3490"/>
    <n v="200"/>
    <n v="35.08"/>
    <n v="7016"/>
    <n v="9.060837048755932E-3"/>
  </r>
  <r>
    <x v="2"/>
    <s v="FR0000121014"/>
    <x v="2"/>
    <n v="69870"/>
    <n v="250"/>
    <n v="700"/>
    <n v="175000"/>
    <n v="350"/>
    <n v="713.2"/>
    <n v="249620.00000000003"/>
    <n v="1.9398047943807038E-2"/>
  </r>
  <r>
    <x v="2"/>
    <s v="FR0000120321"/>
    <x v="3"/>
    <n v="21845"/>
    <n v="100"/>
    <n v="435"/>
    <n v="43500"/>
    <n v="150"/>
    <n v="439.5"/>
    <n v="65925"/>
    <n v="8.875966026474864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1F5D9-5BDC-4237-ABA0-223FF30D0BF9}" name="Tableau croisé dynamique1" cacheId="834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3:D8" firstHeaderRow="1" firstDataRow="2" firstDataCol="1"/>
  <pivotFields count="11">
    <pivotField axis="axisCol" numFmtId="14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Somme de Perf journalière" fld="10" baseField="0" baseItem="0" numFmtId="10"/>
  </dataFields>
  <formats count="6">
    <format dxfId="8">
      <pivotArea outline="0" collapsedLevelsAreSubtotals="1" fieldPosition="0"/>
    </format>
    <format dxfId="9">
      <pivotArea type="origin" dataOnly="0" labelOnly="1" outline="0" fieldPosition="0"/>
    </format>
    <format dxfId="10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2">
      <pivotArea field="2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1D7D9-BF64-4339-A195-3623EDE13FA0}" name="Tableau1" displayName="Tableau1" ref="A1:K13" totalsRowShown="0" headerRowDxfId="7">
  <autoFilter ref="A1:K13" xr:uid="{6341D7D9-BF64-4339-A195-3623EDE13FA0}"/>
  <tableColumns count="11">
    <tableColumn id="1" xr3:uid="{8BFA2F21-22FD-4B66-8853-6642720137B3}" name="Date"/>
    <tableColumn id="2" xr3:uid="{D87BB7A8-5471-4045-B5D5-BDAFFDDE9795}" name="ISIN"/>
    <tableColumn id="3" xr3:uid="{CC66D99E-5FA2-4E16-B77F-F77E0E159730}" name="Nom"/>
    <tableColumn id="15" xr3:uid="{1E71474C-B8A0-4BDD-ABAF-34AD2ADF10B7}" name="Valeur Initiale"/>
    <tableColumn id="4" xr3:uid="{8B57FF55-637B-42E3-81B4-B63F781E65F9}" name="Quantité ajoutée" dataDxfId="6"/>
    <tableColumn id="6" xr3:uid="{64EFB2F7-52E9-4BF3-8464-7B065F3617EF}" name="PU à l'achat" dataDxfId="5"/>
    <tableColumn id="8" xr3:uid="{38FD2809-D30A-4167-A64A-C780E1C91AEA}" name="Valeur du Cash Flow" dataDxfId="4">
      <calculatedColumnFormula>Tableau1[[#This Row],[Quantité ajoutée]]*Tableau1[[#This Row],[PU à l''achat]]</calculatedColumnFormula>
    </tableColumn>
    <tableColumn id="13" xr3:uid="{FA3030B1-4075-4F86-9569-529B15AEA813}" name="Quantité totale" dataDxfId="3"/>
    <tableColumn id="5" xr3:uid="{3B62C92E-3D1F-4284-9C95-F686E70E069D}" name="PU à la clôture" dataDxfId="2"/>
    <tableColumn id="9" xr3:uid="{A70D9853-C1CD-4F68-B1A6-6C6CE2BDC79A}" name="VM clôture" dataDxfId="1">
      <calculatedColumnFormula>Tableau1[[#This Row],[PU à la clôture]]*Tableau1[[#This Row],[Quantité totale]]</calculatedColumnFormula>
    </tableColumn>
    <tableColumn id="10" xr3:uid="{20D9423E-58BB-4089-93C6-28AC40D98CBE}" name="Perf journalière" dataDxfId="0" dataCellStyle="Pourcentage">
      <calculatedColumnFormula>(Tableau1[[#This Row],[VM clôture]]-(Tableau1[[#This Row],[Valeur Initiale]]+Tableau1[[#This Row],[Valeur du Cash Flow]]))/(Tableau1[[#This Row],[Valeur Initiale]]+Tableau1[[#This Row],[Valeur du Cash Flow]])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07-12T07:43:23.34" personId="{4DC67849-A188-40EE-86B2-14892BC110BD}" id="{0DDB57D9-2230-46D7-8962-253047E5D790}">
    <text xml:space="preserve">Cours de clôture aléatoire </text>
  </threadedComment>
  <threadedComment ref="K2" dT="2024-07-04T14:17:18.59" personId="{4DC67849-A188-40EE-86B2-14892BC110BD}" id="{F5CDB42E-30CA-4029-8402-86ADBFA624F6}">
    <text>Je calcule la perf entre deux clôtures du marché.
Formule :
(VM clôture - (VI + VCF)) / (VI + VCF)</text>
  </threadedComment>
  <threadedComment ref="D6" dT="2024-07-04T14:18:15.35" personId="{4DC67849-A188-40EE-86B2-14892BC110BD}" id="{FACAE961-CC18-4556-9AAC-FE83B4F1FD06}">
    <text>Je considère la valeur initiale d'un jour comme étant la valeur de marché à la clôture de la veille.</text>
  </threadedComment>
  <threadedComment ref="F6" dT="2024-07-04T14:19:04.95" personId="{4DC67849-A188-40EE-86B2-14892BC110BD}" id="{8EFC5B00-10AA-41EF-A25C-6C15DFB717AD}">
    <text>On achète/vend à un cours aléatoire.</text>
  </threadedComment>
  <threadedComment ref="H6" dT="2024-07-12T07:47:04.58" personId="{4DC67849-A188-40EE-86B2-14892BC110BD}" id="{63C9EAC8-66A7-4120-9071-E8C0AE723C91}">
    <text>Quantité totale achetée du titre en question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5" dT="2024-07-12T07:52:28.98" personId="{4DC67849-A188-40EE-86B2-14892BC110BD}" id="{87FC14BA-272A-40B5-ADC7-7DD4B89E949B}">
    <text>Produit pour i allant de 1 au nombre de jours de :
(1 + taux de rendement jour i) 
Le tout moins 1</text>
  </threadedComment>
  <threadedComment ref="H13" dT="2024-07-12T07:55:19.85" personId="{4DC67849-A188-40EE-86B2-14892BC110BD}" id="{260AECF9-107A-4018-BC36-84AF8E454F6B}">
    <text xml:space="preserve">Moyenne pondérée par les VM finales des TWR des différents titres.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4-07-12T09:24:42.92" personId="{4DC67849-A188-40EE-86B2-14892BC110BD}" id="{6498374A-BEBC-418E-9E77-0C57D81BF592}">
    <text xml:space="preserve">Dû à la surpondération (ou sous-pondération) d’un groupe d’actifs par rapport au benchmark. </text>
  </threadedComment>
  <threadedComment ref="L1" dT="2024-07-12T09:25:34.46" personId="{4DC67849-A188-40EE-86B2-14892BC110BD}" id="{657221AD-A4EF-47E1-8F2A-61F139B7A682}">
    <text xml:space="preserve">Dû à la contribution spécifique des titres à l’intérieur de chaque groupe d’actifs. Cet effet mesure la capacité du gérant à sélectionner à l’intérieur d’un groupe les titres dont la rentabilité est supérieure à celle des titres du groupe équivalent présent dans le benchmark. </text>
  </threadedComment>
  <threadedComment ref="M1" dT="2024-07-12T09:26:54.75" personId="{4DC67849-A188-40EE-86B2-14892BC110BD}" id="{2657CE80-D110-4077-A438-2B857ECDC674}">
    <text xml:space="preserve">Correspond à la différence de rentabilité expliquée par l’action combinée des deux effets précédents.  </text>
  </threadedComment>
  <threadedComment ref="P13" dT="2024-07-12T09:28:03.55" personId="{4DC67849-A188-40EE-86B2-14892BC110BD}" id="{D3B0E19D-5C48-4AA2-83D7-4D76DC034D07}">
    <text>On a bien :
Surperformance = allocation + sélection + interaction</text>
  </threadedComment>
  <threadedComment ref="F14" dT="2024-07-12T09:22:15.32" personId="{4DC67849-A188-40EE-86B2-14892BC110BD}" id="{F37E0304-13B8-4F97-A365-49C513A9D3AE}">
    <text xml:space="preserve">Moyenne pondérée par les VM finales des TWR des différents secteurs.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6C5F-DCC2-4D77-88F0-FEFC86987201}">
  <dimension ref="A1:K17"/>
  <sheetViews>
    <sheetView topLeftCell="C1" zoomScaleNormal="100" workbookViewId="0">
      <selection activeCell="K18" sqref="K18"/>
    </sheetView>
  </sheetViews>
  <sheetFormatPr defaultColWidth="11.42578125" defaultRowHeight="15"/>
  <cols>
    <col min="2" max="2" width="16.42578125" bestFit="1" customWidth="1"/>
    <col min="3" max="3" width="45.28515625" bestFit="1" customWidth="1"/>
    <col min="4" max="4" width="45.28515625" customWidth="1"/>
    <col min="5" max="5" width="20.85546875" bestFit="1" customWidth="1"/>
    <col min="6" max="6" width="15.7109375" bestFit="1" customWidth="1"/>
    <col min="7" max="7" width="23.7109375" bestFit="1" customWidth="1"/>
    <col min="8" max="8" width="23.7109375" customWidth="1"/>
    <col min="9" max="9" width="18.28515625" bestFit="1" customWidth="1"/>
    <col min="10" max="10" width="15.140625" bestFit="1" customWidth="1"/>
    <col min="11" max="11" width="19.5703125" bestFit="1" customWidth="1"/>
    <col min="13" max="13" width="13.140625" bestFit="1" customWidth="1"/>
    <col min="14" max="14" width="34.42578125" customWidth="1"/>
    <col min="15" max="15" width="32.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45627</v>
      </c>
      <c r="B2" t="s">
        <v>11</v>
      </c>
      <c r="C2" t="s">
        <v>12</v>
      </c>
      <c r="D2">
        <v>0</v>
      </c>
      <c r="E2" s="5">
        <v>100</v>
      </c>
      <c r="F2" s="5">
        <v>138.25</v>
      </c>
      <c r="G2" s="5">
        <f>Tableau1[[#This Row],[Quantité ajoutée]]*Tableau1[[#This Row],[PU à l''achat]]</f>
        <v>13825</v>
      </c>
      <c r="H2" s="5">
        <v>100</v>
      </c>
      <c r="I2" s="5">
        <v>139.15</v>
      </c>
      <c r="J2" s="5">
        <f>Tableau1[[#This Row],[PU à la clôture]]*Tableau1[[#This Row],[Quantité totale]]</f>
        <v>13915</v>
      </c>
      <c r="K2" s="6">
        <f>(Tableau1[[#This Row],[VM clôture]]-(Tableau1[[#This Row],[Valeur Initiale]]+Tableau1[[#This Row],[Valeur du Cash Flow]]))/(Tableau1[[#This Row],[Valeur Initiale]]+Tableau1[[#This Row],[Valeur du Cash Flow]])</f>
        <v>6.5099457504520794E-3</v>
      </c>
    </row>
    <row r="3" spans="1:11">
      <c r="A3" s="2">
        <v>45627</v>
      </c>
      <c r="B3" t="s">
        <v>13</v>
      </c>
      <c r="C3" t="s">
        <v>14</v>
      </c>
      <c r="D3">
        <v>0</v>
      </c>
      <c r="E3" s="5">
        <v>200</v>
      </c>
      <c r="F3" s="5">
        <v>35</v>
      </c>
      <c r="G3" s="5">
        <f>Tableau1[[#This Row],[Quantité ajoutée]]*Tableau1[[#This Row],[PU à l''achat]]</f>
        <v>7000</v>
      </c>
      <c r="H3" s="5">
        <v>200</v>
      </c>
      <c r="I3" s="5">
        <v>35.049999999999997</v>
      </c>
      <c r="J3" s="5">
        <f>Tableau1[[#This Row],[PU à la clôture]]*Tableau1[[#This Row],[Quantité totale]]</f>
        <v>7009.9999999999991</v>
      </c>
      <c r="K3" s="6">
        <f>(Tableau1[[#This Row],[VM clôture]]-(Tableau1[[#This Row],[Valeur Initiale]]+Tableau1[[#This Row],[Valeur du Cash Flow]]))/(Tableau1[[#This Row],[Valeur Initiale]]+Tableau1[[#This Row],[Valeur du Cash Flow]])</f>
        <v>1.4285714285712987E-3</v>
      </c>
    </row>
    <row r="4" spans="1:11">
      <c r="A4" s="2">
        <v>45627</v>
      </c>
      <c r="B4" t="s">
        <v>15</v>
      </c>
      <c r="C4" t="s">
        <v>16</v>
      </c>
      <c r="D4">
        <v>0</v>
      </c>
      <c r="E4" s="5">
        <v>300</v>
      </c>
      <c r="F4" s="5">
        <v>690</v>
      </c>
      <c r="G4" s="5">
        <f>Tableau1[[#This Row],[Quantité ajoutée]]*Tableau1[[#This Row],[PU à l''achat]]</f>
        <v>207000</v>
      </c>
      <c r="H4" s="5">
        <v>300</v>
      </c>
      <c r="I4" s="5">
        <v>699.2</v>
      </c>
      <c r="J4" s="5">
        <f>Tableau1[[#This Row],[PU à la clôture]]*Tableau1[[#This Row],[Quantité totale]]</f>
        <v>209760</v>
      </c>
      <c r="K4" s="6">
        <f>(Tableau1[[#This Row],[VM clôture]]-(Tableau1[[#This Row],[Valeur Initiale]]+Tableau1[[#This Row],[Valeur du Cash Flow]]))/(Tableau1[[#This Row],[Valeur Initiale]]+Tableau1[[#This Row],[Valeur du Cash Flow]])</f>
        <v>1.3333333333333334E-2</v>
      </c>
    </row>
    <row r="5" spans="1:11">
      <c r="A5" s="2">
        <v>45627</v>
      </c>
      <c r="B5" t="s">
        <v>17</v>
      </c>
      <c r="C5" t="s">
        <v>18</v>
      </c>
      <c r="D5">
        <v>0</v>
      </c>
      <c r="E5" s="5">
        <v>50</v>
      </c>
      <c r="F5" s="5">
        <v>434.4</v>
      </c>
      <c r="G5" s="5">
        <f>Tableau1[[#This Row],[Quantité ajoutée]]*Tableau1[[#This Row],[PU à l''achat]]</f>
        <v>21720</v>
      </c>
      <c r="H5" s="5">
        <v>50</v>
      </c>
      <c r="I5" s="5">
        <v>436.15</v>
      </c>
      <c r="J5" s="5">
        <f>Tableau1[[#This Row],[PU à la clôture]]*Tableau1[[#This Row],[Quantité totale]]</f>
        <v>21807.5</v>
      </c>
      <c r="K5" s="6">
        <f>(Tableau1[[#This Row],[VM clôture]]-(Tableau1[[#This Row],[Valeur Initiale]]+Tableau1[[#This Row],[Valeur du Cash Flow]]))/(Tableau1[[#This Row],[Valeur Initiale]]+Tableau1[[#This Row],[Valeur du Cash Flow]])</f>
        <v>4.0285451197053408E-3</v>
      </c>
    </row>
    <row r="6" spans="1:11">
      <c r="A6" s="2">
        <v>45628</v>
      </c>
      <c r="B6" t="s">
        <v>11</v>
      </c>
      <c r="C6" t="s">
        <v>12</v>
      </c>
      <c r="D6">
        <f>$J2</f>
        <v>13915</v>
      </c>
      <c r="E6" s="5">
        <v>50</v>
      </c>
      <c r="F6" s="5">
        <v>139.30000000000001</v>
      </c>
      <c r="G6" s="5">
        <f>Tableau1[[#This Row],[Quantité ajoutée]]*Tableau1[[#This Row],[PU à l''achat]]</f>
        <v>6965.0000000000009</v>
      </c>
      <c r="H6" s="5">
        <f>$H2+Tableau1[[#This Row],[Quantité ajoutée]]</f>
        <v>150</v>
      </c>
      <c r="I6" s="5">
        <v>136.6</v>
      </c>
      <c r="J6" s="5">
        <f>Tableau1[[#This Row],[PU à la clôture]]*Tableau1[[#This Row],[Quantité totale]]</f>
        <v>20490</v>
      </c>
      <c r="K6" s="6">
        <f>(Tableau1[[#This Row],[VM clôture]]-(Tableau1[[#This Row],[Valeur Initiale]]+Tableau1[[#This Row],[Valeur du Cash Flow]]))/(Tableau1[[#This Row],[Valeur Initiale]]+Tableau1[[#This Row],[Valeur du Cash Flow]])</f>
        <v>-1.8678160919540231E-2</v>
      </c>
    </row>
    <row r="7" spans="1:11">
      <c r="A7" s="2">
        <v>45628</v>
      </c>
      <c r="B7" t="s">
        <v>13</v>
      </c>
      <c r="C7" t="s">
        <v>14</v>
      </c>
      <c r="D7">
        <f t="shared" ref="D7:D13" si="0">$J3</f>
        <v>7009.9999999999991</v>
      </c>
      <c r="E7" s="5">
        <v>100</v>
      </c>
      <c r="F7" s="5">
        <v>34.5</v>
      </c>
      <c r="G7" s="5">
        <f>Tableau1[[#This Row],[Quantité ajoutée]]*Tableau1[[#This Row],[PU à l''achat]]</f>
        <v>3450</v>
      </c>
      <c r="H7" s="5">
        <f>$H3+Tableau1[[#This Row],[Quantité ajoutée]]</f>
        <v>300</v>
      </c>
      <c r="I7" s="5">
        <v>34.81</v>
      </c>
      <c r="J7" s="5">
        <f>Tableau1[[#This Row],[PU à la clôture]]*Tableau1[[#This Row],[Quantité totale]]</f>
        <v>10443</v>
      </c>
      <c r="K7" s="6">
        <f>(Tableau1[[#This Row],[VM clôture]]-(Tableau1[[#This Row],[Valeur Initiale]]+Tableau1[[#This Row],[Valeur du Cash Flow]]))/(Tableau1[[#This Row],[Valeur Initiale]]+Tableau1[[#This Row],[Valeur du Cash Flow]])</f>
        <v>-1.6252390057361376E-3</v>
      </c>
    </row>
    <row r="8" spans="1:11">
      <c r="A8" s="2">
        <v>45628</v>
      </c>
      <c r="B8" t="s">
        <v>15</v>
      </c>
      <c r="C8" t="s">
        <v>16</v>
      </c>
      <c r="D8">
        <f t="shared" si="0"/>
        <v>209760</v>
      </c>
      <c r="E8" s="5">
        <v>-200</v>
      </c>
      <c r="F8" s="5">
        <v>700</v>
      </c>
      <c r="G8" s="5">
        <f>Tableau1[[#This Row],[Quantité ajoutée]]*Tableau1[[#This Row],[PU à l''achat]]</f>
        <v>-140000</v>
      </c>
      <c r="H8" s="5">
        <f>$H4+Tableau1[[#This Row],[Quantité ajoutée]]</f>
        <v>100</v>
      </c>
      <c r="I8" s="5">
        <v>698.7</v>
      </c>
      <c r="J8" s="5">
        <f>Tableau1[[#This Row],[PU à la clôture]]*Tableau1[[#This Row],[Quantité totale]]</f>
        <v>69870</v>
      </c>
      <c r="K8" s="6">
        <f>(Tableau1[[#This Row],[VM clôture]]-(Tableau1[[#This Row],[Valeur Initiale]]+Tableau1[[#This Row],[Valeur du Cash Flow]]))/(Tableau1[[#This Row],[Valeur Initiale]]+Tableau1[[#This Row],[Valeur du Cash Flow]])</f>
        <v>1.5768348623853212E-3</v>
      </c>
    </row>
    <row r="9" spans="1:11">
      <c r="A9" s="2">
        <v>45628</v>
      </c>
      <c r="B9" t="s">
        <v>17</v>
      </c>
      <c r="C9" t="s">
        <v>18</v>
      </c>
      <c r="D9">
        <f t="shared" si="0"/>
        <v>21807.5</v>
      </c>
      <c r="E9" s="5">
        <v>0</v>
      </c>
      <c r="F9" s="5">
        <v>436.2</v>
      </c>
      <c r="G9" s="5">
        <f>Tableau1[[#This Row],[Quantité ajoutée]]*Tableau1[[#This Row],[PU à l''achat]]</f>
        <v>0</v>
      </c>
      <c r="H9" s="5">
        <f>$H5+Tableau1[[#This Row],[Quantité ajoutée]]</f>
        <v>50</v>
      </c>
      <c r="I9" s="5">
        <v>436.9</v>
      </c>
      <c r="J9" s="5">
        <f>Tableau1[[#This Row],[PU à la clôture]]*Tableau1[[#This Row],[Quantité totale]]</f>
        <v>21845</v>
      </c>
      <c r="K9" s="6">
        <f>(Tableau1[[#This Row],[VM clôture]]-(Tableau1[[#This Row],[Valeur Initiale]]+Tableau1[[#This Row],[Valeur du Cash Flow]]))/(Tableau1[[#This Row],[Valeur Initiale]]+Tableau1[[#This Row],[Valeur du Cash Flow]])</f>
        <v>1.7195918835263098E-3</v>
      </c>
    </row>
    <row r="10" spans="1:11">
      <c r="A10" s="2">
        <v>45629</v>
      </c>
      <c r="B10" t="s">
        <v>11</v>
      </c>
      <c r="C10" t="s">
        <v>12</v>
      </c>
      <c r="D10">
        <f t="shared" si="0"/>
        <v>20490</v>
      </c>
      <c r="E10" s="5">
        <v>0</v>
      </c>
      <c r="F10" s="5">
        <v>136.1</v>
      </c>
      <c r="G10" s="5">
        <f>Tableau1[[#This Row],[Quantité ajoutée]]*Tableau1[[#This Row],[PU à l''achat]]</f>
        <v>0</v>
      </c>
      <c r="H10" s="5">
        <f>$H6+Tableau1[[#This Row],[Quantité ajoutée]]</f>
        <v>150</v>
      </c>
      <c r="I10" s="5">
        <v>135.4</v>
      </c>
      <c r="J10" s="5">
        <f>Tableau1[[#This Row],[PU à la clôture]]*Tableau1[[#This Row],[Quantité totale]]</f>
        <v>20310</v>
      </c>
      <c r="K10" s="6">
        <f>(Tableau1[[#This Row],[VM clôture]]-(Tableau1[[#This Row],[Valeur Initiale]]+Tableau1[[#This Row],[Valeur du Cash Flow]]))/(Tableau1[[#This Row],[Valeur Initiale]]+Tableau1[[#This Row],[Valeur du Cash Flow]])</f>
        <v>-8.7847730600292828E-3</v>
      </c>
    </row>
    <row r="11" spans="1:11">
      <c r="A11" s="2">
        <v>45629</v>
      </c>
      <c r="B11" t="s">
        <v>13</v>
      </c>
      <c r="C11" t="s">
        <v>14</v>
      </c>
      <c r="D11">
        <f t="shared" si="0"/>
        <v>10443</v>
      </c>
      <c r="E11" s="5">
        <v>-100</v>
      </c>
      <c r="F11" s="5">
        <v>34.9</v>
      </c>
      <c r="G11" s="5">
        <f>Tableau1[[#This Row],[Quantité ajoutée]]*Tableau1[[#This Row],[PU à l''achat]]</f>
        <v>-3490</v>
      </c>
      <c r="H11" s="5">
        <f>$H7+Tableau1[[#This Row],[Quantité ajoutée]]</f>
        <v>200</v>
      </c>
      <c r="I11" s="5">
        <v>35.08</v>
      </c>
      <c r="J11" s="5">
        <f>Tableau1[[#This Row],[PU à la clôture]]*Tableau1[[#This Row],[Quantité totale]]</f>
        <v>7016</v>
      </c>
      <c r="K11" s="6">
        <f>(Tableau1[[#This Row],[VM clôture]]-(Tableau1[[#This Row],[Valeur Initiale]]+Tableau1[[#This Row],[Valeur du Cash Flow]]))/(Tableau1[[#This Row],[Valeur Initiale]]+Tableau1[[#This Row],[Valeur du Cash Flow]])</f>
        <v>9.060837048755932E-3</v>
      </c>
    </row>
    <row r="12" spans="1:11">
      <c r="A12" s="2">
        <v>45629</v>
      </c>
      <c r="B12" t="s">
        <v>15</v>
      </c>
      <c r="C12" t="s">
        <v>16</v>
      </c>
      <c r="D12">
        <f t="shared" si="0"/>
        <v>69870</v>
      </c>
      <c r="E12" s="5">
        <v>250</v>
      </c>
      <c r="F12" s="5">
        <v>700</v>
      </c>
      <c r="G12" s="5">
        <f>Tableau1[[#This Row],[Quantité ajoutée]]*Tableau1[[#This Row],[PU à l''achat]]</f>
        <v>175000</v>
      </c>
      <c r="H12" s="5">
        <f>$H8+Tableau1[[#This Row],[Quantité ajoutée]]</f>
        <v>350</v>
      </c>
      <c r="I12" s="5">
        <v>713.2</v>
      </c>
      <c r="J12" s="5">
        <f>Tableau1[[#This Row],[PU à la clôture]]*Tableau1[[#This Row],[Quantité totale]]</f>
        <v>249620.00000000003</v>
      </c>
      <c r="K12" s="6">
        <f>(Tableau1[[#This Row],[VM clôture]]-(Tableau1[[#This Row],[Valeur Initiale]]+Tableau1[[#This Row],[Valeur du Cash Flow]]))/(Tableau1[[#This Row],[Valeur Initiale]]+Tableau1[[#This Row],[Valeur du Cash Flow]])</f>
        <v>1.9398047943807038E-2</v>
      </c>
    </row>
    <row r="13" spans="1:11">
      <c r="A13" s="2">
        <v>45629</v>
      </c>
      <c r="B13" t="s">
        <v>17</v>
      </c>
      <c r="C13" t="s">
        <v>18</v>
      </c>
      <c r="D13">
        <f t="shared" si="0"/>
        <v>21845</v>
      </c>
      <c r="E13" s="5">
        <v>100</v>
      </c>
      <c r="F13" s="5">
        <v>435</v>
      </c>
      <c r="G13" s="5">
        <f>Tableau1[[#This Row],[Quantité ajoutée]]*Tableau1[[#This Row],[PU à l''achat]]</f>
        <v>43500</v>
      </c>
      <c r="H13" s="5">
        <f>$H9+Tableau1[[#This Row],[Quantité ajoutée]]</f>
        <v>150</v>
      </c>
      <c r="I13" s="5">
        <v>439.5</v>
      </c>
      <c r="J13" s="5">
        <f>Tableau1[[#This Row],[PU à la clôture]]*Tableau1[[#This Row],[Quantité totale]]</f>
        <v>65925</v>
      </c>
      <c r="K13" s="6">
        <f>(Tableau1[[#This Row],[VM clôture]]-(Tableau1[[#This Row],[Valeur Initiale]]+Tableau1[[#This Row],[Valeur du Cash Flow]]))/(Tableau1[[#This Row],[Valeur Initiale]]+Tableau1[[#This Row],[Valeur du Cash Flow]])</f>
        <v>8.8759660264748647E-3</v>
      </c>
    </row>
    <row r="17" spans="10:10">
      <c r="J17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6EBD-20DE-4C11-A686-BF035D85DA36}">
  <dimension ref="A3:K13"/>
  <sheetViews>
    <sheetView topLeftCell="A2" workbookViewId="0">
      <selection activeCell="G25" sqref="G25"/>
    </sheetView>
  </sheetViews>
  <sheetFormatPr defaultColWidth="11.42578125" defaultRowHeight="15"/>
  <cols>
    <col min="1" max="1" width="45.28515625" bestFit="1" customWidth="1"/>
    <col min="2" max="2" width="24.42578125" bestFit="1" customWidth="1"/>
    <col min="3" max="4" width="10.42578125" bestFit="1" customWidth="1"/>
    <col min="5" max="5" width="12.7109375" bestFit="1" customWidth="1"/>
    <col min="6" max="6" width="13.140625" bestFit="1" customWidth="1"/>
    <col min="7" max="7" width="45.28515625" bestFit="1" customWidth="1"/>
    <col min="8" max="8" width="29.28515625" bestFit="1" customWidth="1"/>
    <col min="9" max="9" width="16" customWidth="1"/>
    <col min="11" max="11" width="16.7109375" bestFit="1" customWidth="1"/>
  </cols>
  <sheetData>
    <row r="3" spans="1:11">
      <c r="A3" s="3" t="s">
        <v>19</v>
      </c>
      <c r="B3" s="3" t="s">
        <v>20</v>
      </c>
      <c r="C3" s="3"/>
      <c r="D3" s="3"/>
      <c r="F3" s="21" t="s">
        <v>1</v>
      </c>
      <c r="G3" s="21" t="s">
        <v>2</v>
      </c>
      <c r="H3" s="21" t="s">
        <v>21</v>
      </c>
      <c r="I3" s="22" t="s">
        <v>22</v>
      </c>
      <c r="J3" s="21" t="s">
        <v>23</v>
      </c>
      <c r="K3" s="21" t="s">
        <v>24</v>
      </c>
    </row>
    <row r="4" spans="1:11">
      <c r="A4" s="3" t="s">
        <v>25</v>
      </c>
      <c r="B4" s="14">
        <v>45627</v>
      </c>
      <c r="C4" s="14">
        <v>45628</v>
      </c>
      <c r="D4" s="14">
        <v>45629</v>
      </c>
      <c r="F4" s="21"/>
      <c r="G4" s="21"/>
      <c r="H4" s="21"/>
      <c r="I4" s="22"/>
      <c r="J4" s="23"/>
      <c r="K4" s="21"/>
    </row>
    <row r="5" spans="1:11">
      <c r="A5" s="7" t="s">
        <v>14</v>
      </c>
      <c r="B5" s="10">
        <v>1.4285714285712987E-3</v>
      </c>
      <c r="C5" s="10">
        <v>-1.6252390057361376E-3</v>
      </c>
      <c r="D5" s="10">
        <v>9.060837048755932E-3</v>
      </c>
      <c r="F5" t="s">
        <v>13</v>
      </c>
      <c r="G5" t="s">
        <v>14</v>
      </c>
      <c r="H5" t="s">
        <v>26</v>
      </c>
      <c r="I5" s="12">
        <f>(1+GETPIVOTDATA("Perf journalière",$A$3,"Date",DATE(2024,12,1),"Nom","Bouygues SA                                                 "))*(1+GETPIVOTDATA("Perf journalière",$A$3,"Date",DATE(2024,12,2),"Nom","Bouygues SA                                                 "))*(1+GETPIVOTDATA("Perf journalière",$A$3,"Date",DATE(2024,12,3),"Nom","Bouygues SA                                                 "))-1</f>
        <v>8.860044691533675E-3</v>
      </c>
      <c r="J5">
        <f>'Calcul de performance'!J10</f>
        <v>20310</v>
      </c>
      <c r="K5" s="11">
        <f>J5/$J$10</f>
        <v>5.9235105914469288E-2</v>
      </c>
    </row>
    <row r="6" spans="1:11">
      <c r="A6" s="7" t="s">
        <v>18</v>
      </c>
      <c r="B6" s="10">
        <v>4.0285451197053408E-3</v>
      </c>
      <c r="C6" s="10">
        <v>1.7195918835263098E-3</v>
      </c>
      <c r="D6" s="10">
        <v>8.8759660264748647E-3</v>
      </c>
      <c r="F6" t="s">
        <v>17</v>
      </c>
      <c r="G6" t="s">
        <v>18</v>
      </c>
      <c r="H6" t="s">
        <v>27</v>
      </c>
      <c r="I6" s="12">
        <f>(1+GETPIVOTDATA("Perf journalière",$A$3,"Date",DATE(2024,12,1),"Nom","L'Oreal SA                                                  "))*(1+GETPIVOTDATA("Perf journalière",$A$3,"Date",DATE(2024,12,2),"Nom","L'Oreal SA                                                  "))*(1+GETPIVOTDATA("Perf journalière",$A$3,"Date",DATE(2024,12,3),"Nom","L'Oreal SA                                                  "))-1</f>
        <v>1.4682112239794431E-2</v>
      </c>
      <c r="J6">
        <f>'Calcul de performance'!J11</f>
        <v>7016</v>
      </c>
      <c r="K6" s="11">
        <f t="shared" ref="K6:K8" si="0">J6/$J$10</f>
        <v>2.0462506307036759E-2</v>
      </c>
    </row>
    <row r="7" spans="1:11">
      <c r="A7" s="7" t="s">
        <v>16</v>
      </c>
      <c r="B7" s="10">
        <v>1.3333333333333334E-2</v>
      </c>
      <c r="C7" s="10">
        <v>1.5768348623853212E-3</v>
      </c>
      <c r="D7" s="10">
        <v>1.9398047943807038E-2</v>
      </c>
      <c r="F7" t="s">
        <v>15</v>
      </c>
      <c r="G7" t="s">
        <v>16</v>
      </c>
      <c r="H7" t="s">
        <v>28</v>
      </c>
      <c r="I7" s="12">
        <f>(1+GETPIVOTDATA("Perf journalière",$A$3,"Date",DATE(2024,12,1),"Nom","LVMH Moet Hennessy Louis Vuitton SE                         "))*(1+GETPIVOTDATA("Perf journalière",$A$3,"Date",DATE(2024,12,2),"Nom","LVMH Moet Hennessy Louis Vuitton SE                         "))*(1+GETPIVOTDATA("Perf journalière",$A$3,"Date",DATE(2024,12,3),"Nom","LVMH Moet Hennessy Louis Vuitton SE                         "))-1</f>
        <v>3.4618876595444936E-2</v>
      </c>
      <c r="J7">
        <f>'Calcul de performance'!J12</f>
        <v>249620.00000000003</v>
      </c>
      <c r="K7" s="11">
        <f t="shared" si="0"/>
        <v>0.72802890883160143</v>
      </c>
    </row>
    <row r="8" spans="1:11">
      <c r="A8" s="7" t="s">
        <v>12</v>
      </c>
      <c r="B8" s="10">
        <v>6.5099457504520794E-3</v>
      </c>
      <c r="C8" s="10">
        <v>-1.8678160919540231E-2</v>
      </c>
      <c r="D8" s="10">
        <v>-8.7847730600292828E-3</v>
      </c>
      <c r="F8" t="s">
        <v>11</v>
      </c>
      <c r="G8" t="s">
        <v>12</v>
      </c>
      <c r="H8" t="s">
        <v>29</v>
      </c>
      <c r="I8" s="12">
        <f>(1+GETPIVOTDATA("Perf journalière",$A$3,"Date",DATE(2024,12,1),"Nom","Thales SA                                                   "))*(1+GETPIVOTDATA("Perf journalière",$A$3,"Date",DATE(2024,12,2),"Nom","Thales SA                                                   "))*(1+GETPIVOTDATA("Perf journalière",$A$3,"Date",DATE(2024,12,3),"Nom","Thales SA                                                   "))-1</f>
        <v>-2.0966618860551622E-2</v>
      </c>
      <c r="J8">
        <f>'Calcul de performance'!J13</f>
        <v>65925</v>
      </c>
      <c r="K8" s="11">
        <f t="shared" si="0"/>
        <v>0.19227347894689256</v>
      </c>
    </row>
    <row r="10" spans="1:11">
      <c r="I10" s="13" t="s">
        <v>30</v>
      </c>
      <c r="J10">
        <f>SUM(J5:J8)</f>
        <v>342871</v>
      </c>
    </row>
    <row r="13" spans="1:11">
      <c r="G13" s="13" t="s">
        <v>31</v>
      </c>
      <c r="H13" s="12">
        <f>I5*K5+I6*K6+I7*K7+I8*K8</f>
        <v>2.1997476702703193E-2</v>
      </c>
    </row>
  </sheetData>
  <mergeCells count="6">
    <mergeCell ref="K3:K4"/>
    <mergeCell ref="F3:F4"/>
    <mergeCell ref="G3:G4"/>
    <mergeCell ref="H3:H4"/>
    <mergeCell ref="I3:I4"/>
    <mergeCell ref="J3:J4"/>
  </mergeCell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5E95-4C6A-42C2-994F-603DFD3C5BA8}">
  <dimension ref="A1:P24"/>
  <sheetViews>
    <sheetView tabSelected="1" workbookViewId="0">
      <selection activeCell="K20" sqref="K20"/>
    </sheetView>
  </sheetViews>
  <sheetFormatPr defaultColWidth="11.42578125" defaultRowHeight="15"/>
  <cols>
    <col min="1" max="1" width="29.28515625" bestFit="1" customWidth="1"/>
    <col min="2" max="2" width="24.28515625" bestFit="1" customWidth="1"/>
    <col min="5" max="5" width="34.5703125" bestFit="1" customWidth="1"/>
    <col min="6" max="6" width="24.28515625" bestFit="1" customWidth="1"/>
    <col min="9" max="9" width="18.42578125" customWidth="1"/>
    <col min="10" max="14" width="12.85546875" customWidth="1"/>
    <col min="15" max="15" width="21" bestFit="1" customWidth="1"/>
  </cols>
  <sheetData>
    <row r="1" spans="1:16" ht="30">
      <c r="A1" s="21" t="s">
        <v>32</v>
      </c>
      <c r="B1" s="21"/>
      <c r="C1" s="21"/>
      <c r="D1" s="1"/>
      <c r="E1" s="21" t="s">
        <v>33</v>
      </c>
      <c r="F1" s="21"/>
      <c r="G1" s="21"/>
      <c r="H1" s="1"/>
      <c r="I1" s="15" t="s">
        <v>34</v>
      </c>
      <c r="K1" s="15" t="s">
        <v>35</v>
      </c>
      <c r="L1" s="15" t="s">
        <v>36</v>
      </c>
      <c r="M1" s="15" t="s">
        <v>37</v>
      </c>
    </row>
    <row r="2" spans="1:16" ht="15" customHeight="1">
      <c r="A2" s="4" t="s">
        <v>21</v>
      </c>
      <c r="B2" s="4" t="s">
        <v>22</v>
      </c>
      <c r="C2" s="4" t="s">
        <v>38</v>
      </c>
      <c r="E2" s="4" t="s">
        <v>21</v>
      </c>
      <c r="F2" s="4" t="s">
        <v>22</v>
      </c>
      <c r="G2" s="4" t="s">
        <v>38</v>
      </c>
      <c r="I2" s="20">
        <f>TWR!H13-'Attribution de performance'!F14</f>
        <v>1.3447476702703194E-2</v>
      </c>
      <c r="K2" s="10">
        <f>(C3-G3)*(F3-$F$14)</f>
        <v>4.6719310061218372E-3</v>
      </c>
      <c r="L2" s="10">
        <f>G3*(B3-F3)</f>
        <v>4.6780405105423797E-3</v>
      </c>
      <c r="M2" s="10">
        <f>(C3-G3)*(B3-F3)</f>
        <v>5.9649242655832333E-3</v>
      </c>
    </row>
    <row r="3" spans="1:16">
      <c r="A3" s="16" t="s">
        <v>28</v>
      </c>
      <c r="B3" s="17">
        <v>3.4618876595444936E-2</v>
      </c>
      <c r="C3" s="18">
        <f>TWR!J7/TWR!$J$10</f>
        <v>0.72802890883160143</v>
      </c>
      <c r="E3" s="16" t="s">
        <v>28</v>
      </c>
      <c r="F3" s="19">
        <v>0.02</v>
      </c>
      <c r="G3" s="19">
        <v>0.32</v>
      </c>
      <c r="K3" s="10">
        <f>(C4-G4)*(F4-$F$14)</f>
        <v>-6.6319999999999999E-3</v>
      </c>
      <c r="L3" s="10">
        <f>G4*(B4-F4)</f>
        <v>-8.0000000000000002E-3</v>
      </c>
      <c r="M3" s="10">
        <f>(C4-G4)*(B4-F4)</f>
        <v>8.0000000000000002E-3</v>
      </c>
    </row>
    <row r="4" spans="1:16">
      <c r="A4" t="s">
        <v>39</v>
      </c>
      <c r="B4" s="12">
        <v>0</v>
      </c>
      <c r="C4" s="11">
        <v>0</v>
      </c>
      <c r="E4" t="s">
        <v>39</v>
      </c>
      <c r="F4" s="8">
        <v>0.05</v>
      </c>
      <c r="G4" s="8">
        <v>0.16</v>
      </c>
      <c r="K4" s="10">
        <f>(C5-G5)*(F5-$F$14)</f>
        <v>3.8615453187933651E-3</v>
      </c>
      <c r="L4" s="10">
        <f>G5*(B5-F5)</f>
        <v>5.4682112239794432E-3</v>
      </c>
      <c r="M4" s="10">
        <f>(C5-G5)*(B5-F5)</f>
        <v>-4.3492781573905579E-3</v>
      </c>
    </row>
    <row r="5" spans="1:16">
      <c r="A5" s="16" t="s">
        <v>27</v>
      </c>
      <c r="B5" s="17">
        <v>1.4682112239794431E-2</v>
      </c>
      <c r="C5" s="18">
        <f>TWR!J6/TWR!$J$10</f>
        <v>2.0462506307036759E-2</v>
      </c>
      <c r="E5" s="16" t="s">
        <v>27</v>
      </c>
      <c r="F5" s="19">
        <v>-0.04</v>
      </c>
      <c r="G5" s="19">
        <v>0.1</v>
      </c>
      <c r="K5" s="10">
        <f>(C6-G6)*(F6-$F$14)</f>
        <v>-1.1600000000000014E-4</v>
      </c>
      <c r="L5" s="10">
        <f>G6*(B6-F6)</f>
        <v>-8.0000000000000004E-4</v>
      </c>
      <c r="M5" s="10">
        <f>(C6-G6)*(B6-F6)</f>
        <v>8.0000000000000004E-4</v>
      </c>
    </row>
    <row r="6" spans="1:16">
      <c r="A6" t="s">
        <v>40</v>
      </c>
      <c r="B6" s="12">
        <v>0</v>
      </c>
      <c r="C6" s="11">
        <v>0</v>
      </c>
      <c r="E6" t="s">
        <v>40</v>
      </c>
      <c r="F6" s="8">
        <v>0.01</v>
      </c>
      <c r="G6" s="8">
        <v>0.08</v>
      </c>
      <c r="K6" s="10">
        <f>(C7-G7)*(F7-$F$14)</f>
        <v>3.8518878528659466E-4</v>
      </c>
      <c r="L6" s="10">
        <f>G7*(B7-F7)</f>
        <v>1.5088035753226942E-3</v>
      </c>
      <c r="M6" s="10">
        <f>(C7-G7)*(B7-F7)</f>
        <v>-3.9162683046807257E-4</v>
      </c>
    </row>
    <row r="7" spans="1:16">
      <c r="A7" s="16" t="s">
        <v>26</v>
      </c>
      <c r="B7" s="17">
        <v>8.860044691533675E-3</v>
      </c>
      <c r="C7" s="18">
        <f>TWR!J5/TWR!$J$10</f>
        <v>5.9235105914469288E-2</v>
      </c>
      <c r="E7" s="16" t="s">
        <v>26</v>
      </c>
      <c r="F7" s="19">
        <v>-0.01</v>
      </c>
      <c r="G7" s="19">
        <v>0.08</v>
      </c>
      <c r="K7" s="10">
        <f>(C8-G8)*(F8-$F$14)</f>
        <v>-6.5736121923405597E-3</v>
      </c>
      <c r="L7" s="10">
        <f>G8*(B8-F8)</f>
        <v>2.3226704911558705E-3</v>
      </c>
      <c r="M7" s="10">
        <f>(C8-G8)*(B8-F8)</f>
        <v>3.2596787061169655E-3</v>
      </c>
    </row>
    <row r="8" spans="1:16">
      <c r="A8" s="16" t="s">
        <v>29</v>
      </c>
      <c r="B8" s="17">
        <v>-2.0966618860551622E-2</v>
      </c>
      <c r="C8" s="18">
        <f>TWR!J8/TWR!$J$10</f>
        <v>0.19227347894689256</v>
      </c>
      <c r="E8" s="16" t="s">
        <v>29</v>
      </c>
      <c r="F8" s="19">
        <v>-0.05</v>
      </c>
      <c r="G8" s="19">
        <v>0.08</v>
      </c>
      <c r="K8" s="10">
        <f>(C9-G9)*(F9-$F$14)</f>
        <v>-3.2250000000000009E-4</v>
      </c>
      <c r="L8" s="10">
        <f>G9*(B9-F9)</f>
        <v>-7.5000000000000002E-4</v>
      </c>
      <c r="M8" s="10">
        <f>(C9-G9)*(B9-F9)</f>
        <v>7.5000000000000002E-4</v>
      </c>
    </row>
    <row r="9" spans="1:16">
      <c r="A9" t="s">
        <v>41</v>
      </c>
      <c r="B9" s="12">
        <v>0</v>
      </c>
      <c r="C9" s="11">
        <v>0</v>
      </c>
      <c r="E9" t="s">
        <v>41</v>
      </c>
      <c r="F9" s="9">
        <v>1.4999999999999999E-2</v>
      </c>
      <c r="G9" s="8">
        <v>0.05</v>
      </c>
      <c r="K9" s="10">
        <f>(C10-G10)*(F10-$F$14)</f>
        <v>-5.7250000000000009E-4</v>
      </c>
      <c r="L9" s="10">
        <f>G10*(B10-F10)</f>
        <v>-1E-3</v>
      </c>
      <c r="M9" s="10">
        <f>(C10-G10)*(B10-F10)</f>
        <v>1E-3</v>
      </c>
    </row>
    <row r="10" spans="1:16">
      <c r="A10" t="s">
        <v>42</v>
      </c>
      <c r="B10" s="12">
        <v>0</v>
      </c>
      <c r="C10" s="11">
        <v>0</v>
      </c>
      <c r="E10" t="s">
        <v>42</v>
      </c>
      <c r="F10" s="8">
        <v>0.02</v>
      </c>
      <c r="G10" s="8">
        <v>0.05</v>
      </c>
      <c r="K10" s="10">
        <f>(C11-G11)*(F11-$F$14)</f>
        <v>-5.7250000000000009E-4</v>
      </c>
      <c r="L10" s="10">
        <f>G11*(B11-F11)</f>
        <v>-1E-3</v>
      </c>
      <c r="M10" s="10">
        <f>(C11-G11)*(B11-F11)</f>
        <v>1E-3</v>
      </c>
    </row>
    <row r="11" spans="1:16">
      <c r="A11" t="s">
        <v>43</v>
      </c>
      <c r="B11" s="12">
        <v>0</v>
      </c>
      <c r="C11" s="11">
        <v>0</v>
      </c>
      <c r="E11" t="s">
        <v>43</v>
      </c>
      <c r="F11" s="8">
        <v>0.02</v>
      </c>
      <c r="G11" s="8">
        <v>0.05</v>
      </c>
      <c r="K11" s="10">
        <f>(C12-G12)*(F12-$F$14)</f>
        <v>8.5649999999999995E-4</v>
      </c>
      <c r="L11" s="10">
        <f>G12*(B12-F12)</f>
        <v>5.9999999999999995E-4</v>
      </c>
      <c r="M11" s="10">
        <f>(C12-G12)*(B12-F12)</f>
        <v>-5.9999999999999995E-4</v>
      </c>
    </row>
    <row r="12" spans="1:16">
      <c r="A12" t="s">
        <v>44</v>
      </c>
      <c r="B12" s="12">
        <v>0</v>
      </c>
      <c r="C12" s="11">
        <v>0</v>
      </c>
      <c r="E12" t="s">
        <v>44</v>
      </c>
      <c r="F12" s="8">
        <v>-0.02</v>
      </c>
      <c r="G12" s="8">
        <v>0.03</v>
      </c>
      <c r="K12" s="10"/>
      <c r="L12" s="10"/>
      <c r="M12" s="10"/>
    </row>
    <row r="13" spans="1:16">
      <c r="G13" s="8"/>
      <c r="J13" s="13" t="s">
        <v>45</v>
      </c>
      <c r="K13" s="10">
        <f>SUM(K2:K12)</f>
        <v>-5.0139470821387632E-3</v>
      </c>
      <c r="L13" s="10">
        <f t="shared" ref="L13:M13" si="0">SUM(L2:L12)</f>
        <v>3.0277258010003869E-3</v>
      </c>
      <c r="M13" s="10">
        <f t="shared" si="0"/>
        <v>1.543369798384157E-2</v>
      </c>
      <c r="O13" s="13" t="s">
        <v>46</v>
      </c>
      <c r="P13" s="20">
        <f>SUM(K13:M13)</f>
        <v>1.3447476702703194E-2</v>
      </c>
    </row>
    <row r="14" spans="1:16">
      <c r="E14" s="13" t="s">
        <v>47</v>
      </c>
      <c r="F14" s="10">
        <f>SUMPRODUCT(F3:F12,G3:G12)</f>
        <v>8.5499999999999986E-3</v>
      </c>
    </row>
    <row r="24" spans="5:5">
      <c r="E24" s="16"/>
    </row>
  </sheetData>
  <mergeCells count="2">
    <mergeCell ref="A1:C1"/>
    <mergeCell ref="E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Guedon</dc:creator>
  <cp:keywords/>
  <dc:description/>
  <cp:lastModifiedBy>Utilisateur invité</cp:lastModifiedBy>
  <cp:revision/>
  <dcterms:created xsi:type="dcterms:W3CDTF">2024-07-03T16:41:15Z</dcterms:created>
  <dcterms:modified xsi:type="dcterms:W3CDTF">2024-07-12T12:26:34Z</dcterms:modified>
  <cp:category/>
  <cp:contentStatus/>
</cp:coreProperties>
</file>