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filterPrivacy="1"/>
  <xr:revisionPtr revIDLastSave="0" documentId="13_ncr:1_{6162C2D7-5668-4805-9922-92795EC0BA44}" xr6:coauthVersionLast="47" xr6:coauthVersionMax="47" xr10:uidLastSave="{00000000-0000-0000-0000-000000000000}"/>
  <bookViews>
    <workbookView xWindow="-120" yWindow="-120" windowWidth="29040" windowHeight="15840" xr2:uid="{00000000-000D-0000-FFFF-FFFF00000000}"/>
  </bookViews>
  <sheets>
    <sheet name="Conversion factors" sheetId="1" r:id="rId1"/>
    <sheet name="Wind_on_800kW" sheetId="2" r:id="rId2"/>
    <sheet name="Wind_on_2MW" sheetId="3" r:id="rId3"/>
    <sheet name="Wind_on_4.5MW" sheetId="4" r:id="rId4"/>
    <sheet name="Wind_on_750kW"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1" l="1"/>
  <c r="D17" i="1"/>
  <c r="D4" i="1" l="1"/>
  <c r="D5" i="1"/>
  <c r="D6" i="1"/>
  <c r="D31" i="1" l="1"/>
  <c r="D30" i="1"/>
  <c r="D29" i="1"/>
  <c r="D41" i="1"/>
  <c r="D40" i="1"/>
  <c r="D42" i="1"/>
  <c r="D39" i="1"/>
  <c r="D38" i="1"/>
  <c r="D37" i="1"/>
  <c r="D36" i="1"/>
  <c r="D35" i="1"/>
  <c r="D34" i="1"/>
  <c r="D33" i="1"/>
  <c r="D32" i="1"/>
  <c r="D12" i="1"/>
  <c r="D11" i="1"/>
  <c r="D22" i="1"/>
  <c r="D20" i="1"/>
  <c r="D19" i="1"/>
  <c r="D18" i="1" s="1"/>
  <c r="D16" i="1"/>
  <c r="D14" i="1"/>
  <c r="D13" i="1" s="1"/>
  <c r="D15" i="1" s="1"/>
  <c r="D10" i="1"/>
  <c r="D7" i="1"/>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4" i="5"/>
  <c r="D4" i="4"/>
  <c r="D4" i="3"/>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4" i="2"/>
  <c r="H90" i="1"/>
  <c r="D66" i="3" l="1"/>
  <c r="D73" i="2"/>
</calcChain>
</file>

<file path=xl/sharedStrings.xml><?xml version="1.0" encoding="utf-8"?>
<sst xmlns="http://schemas.openxmlformats.org/spreadsheetml/2006/main" count="485" uniqueCount="154">
  <si>
    <t>Activity</t>
  </si>
  <si>
    <t>Unit</t>
  </si>
  <si>
    <t>Conversion_factor</t>
  </si>
  <si>
    <t>Comment</t>
  </si>
  <si>
    <t>electric motor production, for electric scooter</t>
  </si>
  <si>
    <t>kilogram</t>
  </si>
  <si>
    <t>Description</t>
  </si>
  <si>
    <t>This dataset describes the production of an electric motor suitable for an electric scooter. The entries are given on a function of kg of device. The original data was collected for a device of approximately 5.8kg. The dataset is based on direct inspection of existing commercial devices of current technology.</t>
  </si>
  <si>
    <t>EI_unit</t>
  </si>
  <si>
    <t>kg/MW</t>
  </si>
  <si>
    <t>electric motor production, vehicle</t>
  </si>
  <si>
    <t>electric motor production, vehicle (electric powertrain)</t>
  </si>
  <si>
    <t>wind power plant construction, 800kW, moving parts</t>
  </si>
  <si>
    <t>wind turbine construction, 2MW, onshore</t>
  </si>
  <si>
    <t>wind turbine construction, 4.5MW, onshore</t>
  </si>
  <si>
    <t>wind turbine construction, 750kW, onshore</t>
  </si>
  <si>
    <t>unit</t>
  </si>
  <si>
    <t>Lifetime is assumed to be 20 years. Annual electricity production is assumed to be about 1.4 GWh. Data are from a Nordex N50/800 plant.
Geography:  Data for a specific 800kW wind power plant. Represents European installation conditions. 
Technology:  Average European technology for a 800 kW wind power plant.</t>
  </si>
  <si>
    <t>To calculate the mass of this unit, I sum the technosphere inputs stated in Ecoinvent</t>
  </si>
  <si>
    <t>aluminium, wrought alloy</t>
  </si>
  <si>
    <t>steel, low-alloyed, hot rolled</t>
  </si>
  <si>
    <t>polypropylene, granulate</t>
  </si>
  <si>
    <t>lead</t>
  </si>
  <si>
    <t>copper, cathode</t>
  </si>
  <si>
    <t>polyvinylchloride, bulk polymerised</t>
  </si>
  <si>
    <t>sheet rolling, chromium steel</t>
  </si>
  <si>
    <t>sheet rolling, aluminium</t>
  </si>
  <si>
    <t>section bar rolling, steel</t>
  </si>
  <si>
    <t>synthetic rubber</t>
  </si>
  <si>
    <t>polyethylene, high density, granulate</t>
  </si>
  <si>
    <t>kilowatt hour</t>
  </si>
  <si>
    <t>electricity, medium voltage</t>
  </si>
  <si>
    <t>cast iron</t>
  </si>
  <si>
    <t>glass fibre reinforced plastic, polyamide, injection moulded</t>
  </si>
  <si>
    <t>tin</t>
  </si>
  <si>
    <t>wire drawing, copper</t>
  </si>
  <si>
    <t>steel, chromium steel 18/8, hot rolled</t>
  </si>
  <si>
    <t>aluminium scrap, new</t>
  </si>
  <si>
    <t>waste polypropylene</t>
  </si>
  <si>
    <t>lubricating oil</t>
  </si>
  <si>
    <t>scrap steel</t>
  </si>
  <si>
    <t>waste plastic, mixture</t>
  </si>
  <si>
    <t>waste polyethylene</t>
  </si>
  <si>
    <t>waste polyvinylchloride</t>
  </si>
  <si>
    <t>scrap copper</t>
  </si>
  <si>
    <t>waste glass</t>
  </si>
  <si>
    <t>waste mineral oil</t>
  </si>
  <si>
    <t>Name</t>
  </si>
  <si>
    <t>Amount</t>
  </si>
  <si>
    <t>Product</t>
  </si>
  <si>
    <t>ABS</t>
  </si>
  <si>
    <t>aluminium scrap, post-consumer</t>
  </si>
  <si>
    <t>aluminium, cast alloy</t>
  </si>
  <si>
    <t>cubic meter</t>
  </si>
  <si>
    <t>concrete, normal</t>
  </si>
  <si>
    <t>electronics scrap from control units</t>
  </si>
  <si>
    <t>electronics, for control units</t>
  </si>
  <si>
    <t>epoxy resin, liquid</t>
  </si>
  <si>
    <t>excavation, hydraulic digger</t>
  </si>
  <si>
    <t>iron scrap, unsorted</t>
  </si>
  <si>
    <t>reinforcing steel</t>
  </si>
  <si>
    <t>meter-year</t>
  </si>
  <si>
    <t>road</t>
  </si>
  <si>
    <t>sheet rolling, steel</t>
  </si>
  <si>
    <t>steel, chromium steel 18/8</t>
  </si>
  <si>
    <t>steel, low-alloyed</t>
  </si>
  <si>
    <t>waste polyethylene/polypropylene product</t>
  </si>
  <si>
    <t>waste reinforced concrete</t>
  </si>
  <si>
    <t>meter</t>
  </si>
  <si>
    <t>welding, arc, steel</t>
  </si>
  <si>
    <t>zinc</t>
  </si>
  <si>
    <t>square meter</t>
  </si>
  <si>
    <t>zinc coat, pieces</t>
  </si>
  <si>
    <t>This dataset represents the construction of a wind turbine with a capacity of 2MW for onshore use. The term "wind turbine" inludes moving parts such as nacelle, rotor, rotor blades, transition piece as well as fixed parts such as the tower and the foundation.
The LCI model is based on the environmental assessment of this turbine in (Elsam 2004a), in which the Danish wind park Tjaerborg with eight turbines of differing capacities is analysed, among them the Vestas V80/2 MW. This type can be taken as reference technology for wind turbines with a capacity between 1 and 3 MW. 
Parts of the wind turbine are the following: 
 - Rotor: Rotor blades, rotor hub, extender
 - Nacelle: The nacelle consists of the nacelle cover, which includes generator, gear, main shaft, yaw system, flanges etc. 
- Electronics
 - Tower (steel)
 - Foundation 
Technology:  The Vestas V80/2 MW turbine is chosen as reference technology.
Characteristics: 
 - Capacity: 2000 kW 
- Diameter of the rotor: 80 m
 - Number of rotor blades: 3
 - rotor weight: 37000 kg
 - rotor blade weight: 6500 kg
 - nacelle weight: 61000 kg
 - tower type: tubular steel tower
- tower weight: 165000 kg
 - material of the tower: Steel
 - tower hub height: 78 m
 - tower diameter: 4m
 - foundation weight: 805000
 - cable for network connection (per turbine): 1000 m
 - Lifetime: 20 years
Source: Elsam (2004a) Life Cycle Assessment of offshore and onshore sited wind farms. Elsam Engineering A/S, Fredericia, Denmark 
Further characteristics:
Operational data
Rated power: 2,000 kW
Cut-in wind speed: 4 m/s
Rated wind speed: 16 m/s
Cut-out wind speed: 25 m/s
Wind class: IEC IA and IEC IIA
Operating temperature range: standard turbine -20°C to 40°C, low temperature turbine -30°C to 40°C
Rotor
Rotor diameter: 80 m
Swept area: 5,027 m2
Nominal revolutions: 16.7 rpm
Operational interval: 10.8-19.1 rpm
Air brake: Full blade feathering with three-pitch cylinders
Electrical
Frequency: 50 Hz/60 Hz
Generator type: 4-pole doubly fed generator, slip rings
Gearbox
Type: three-stage planetary/helical
Power regulation
Pitch regulated with variable speed
Source: Vestas. 2010. V80-2.0MW. Vestas. Wind. It means the world to us.TM</t>
  </si>
  <si>
    <t>This dataset represents the construction of a wind turbine with a capacity of 4.5MW for onshore use. The term "wind turbine" inludes moving parts such as nacelle, rotor, rotor blades, transition piece as well as fixed parts such as the tower and the foundation. 
Reference technology for this wind turbine is an Enercon E-112 turbine. The tower is made of reinforced concrete, a relatively new technology. LCI data are based on (Chataignere &amp; Le Boulch 2003), supplemented with some own assumptions and adapted to the ecoinvent background database for this study. Parts of the wind turbine are the following: 
 - Rotor: Rotor blades (fibre-glass reinforced plastics), rotor hub, extender
 - Nacelle (gearbox, generator, shaft and others)
 - Electronics
 - Tower
 - Foundation 
Data are very rough since no real data were available for the tower and foundations mass balance, and since the detailed composition of the nacelle, blades and connection to the grid is derived from an Enercon E-66 1.5MW wind turbine. 
Technology:  Technology: Enercon E-112 4.5MW wind turbine. This special type of wind turbine is not on the market any more, but the technology can still be taken as a good reference for wind turbines with a capacity of &gt;3 MW built today.
 Characteristics: 
 - Capacity: 4500 kW
- Diameter of the rotor: 113 m
 - Length of the rotor blades: 52 m
 - Number of rotor blades: 3
 - rotor blade weight: 20000 kg
- nacelle weight: ca.355000 kg
 - material of the tubular tower: concrete (+reinforcing steel)
 - tower height: 120 m
 - foundation thickness: 2m
 - cable for network connection (per turbine): 1000 m
 - Lifetime: 20 years 
Source: Chataignere A. and Le Boulch D. (2003) Wind Turbine Systems. Final report ECLIPSE. EDF R&amp;D, Clamart Cedex, France</t>
  </si>
  <si>
    <t>This dataset represents the construction of a wind turbine with a capacity of 750kW for onshore use. The term "wind turbine" inludes moving parts such as nacelle, rotor, rotor blades, transition piece as well as fixed parts such as the tower and the foundation.
The LCI model is based on collected data from the Wind Energy Technocentre in Quebec, that estimated the bill of materials in the different parts ot the turbine. The NEG Micon 750kW/48 has been taken as reference technology for wind turbines with a capacity lower than 1MW. 
Some missing data were completed by extrapolation from 2MW turbine dataset.
Parts of the wind turbine are the following: 
 - Rotor: Rotor blades, rotor hub, extender
 - Nacelle: The nacelle consists of the nacelle cover, which includes generator, gear, main shaft, yaw system, flanges etc. 
- Electronics
 - Tower (steel)
 - Foundation 
Technology:  Operational parameters:
Nominal output 750 kW
Power regulation Stall
Nominal wind speed 16 m/s
Cut-in 4 m/s
Cut-out 25 m/s
Rotor:
Rotor diameter 48.2 m
Rotor swept area 1824 m2
Number of blades 3
Rotor revolutions 22/15 rpm
Rotor placing Upwind rotor
Brake system:
Blade tip air brake Hydraulic, fail-safe
Disk brake Hydraulic, fail-safe
Drive train
Gear type Planetary - parallel axle
Ratio 1:67.5
Main shaft Forged shaft and flange
Main bearing Spherical roller bearing
Cooling Heat exchanger with pump
Generator:
Type Asynchronous, 4/6 pole
Nominal voltage 690 V
Nominal frequence 50 Hz
Name plate rating 750/200 kW
Cooling Liquid-cooled with pump
Yaw system:
Type Ball bearing
Yaw brake 3 Friction brake/motor brake
Drive mechanism 4 electrical planetary gears
Tower:
Type Conical, steel, painted
Hub height In accordance with approval
Controller:
Type Computer controlling
Computer controlling Soft by thyristors
Capacitor bank No-load compensated
Remote control By modem
Weight:Tower weight 60t
Rotor+Nacelle weight: 30.5 tSource: 
Time period:  Turbines present in 2008 in Quebec wind power park. Lifespan of 20 years</t>
  </si>
  <si>
    <t>Battery cell, NMC-111</t>
  </si>
  <si>
    <t>kg/kWh</t>
  </si>
  <si>
    <t>-</t>
  </si>
  <si>
    <t>battery cell production, Li-ion, NMC111</t>
  </si>
  <si>
    <r>
      <t>Reference:
Dai, Q., Kelly, J. C., Gaines, L., &amp; Wang, M. (2019). Life cycle analysis of lithium-ion batteries for automotive applications. Batteries, 5(2), 48.
This dataset represents the production of 1 kg of Li-ion battery cell with nickel-manganese-cobalt 111 (NMC111) cathode and graphite-based anode. T</t>
    </r>
    <r>
      <rPr>
        <b/>
        <sz val="11"/>
        <color theme="1"/>
        <rFont val="Calibri"/>
        <family val="2"/>
        <scheme val="minor"/>
      </rPr>
      <t>he specific energy capacity of a cell is 0.197 kWh/kg cell</t>
    </r>
    <r>
      <rPr>
        <sz val="11"/>
        <color theme="1"/>
        <rFont val="Calibri"/>
        <family val="2"/>
        <scheme val="minor"/>
      </rPr>
      <t>, as reported in Dai et al. (2019). The inventory is modelled according to the publication of Dai et al. (2019) and expert judgement. Infrastructure is included as well. 
Geography:  This dataset covers the geography China, which is the leader country of Li-ion battery cell  production. Data have been partly collected form a Chinese company.
Technology:  This dataset includes a method of producing Li-ion cell. Lithium ions move from the cathode (NMC111) into the electrolyte through the micropores of the separator into the graphite anode during the charging phase. During the discharge of the battery, the Li+-ions move back into the cathode. 
Time period:  The time period is from 2017 (year of the collection of data) and 2020 (year of the dataset)</t>
    </r>
  </si>
  <si>
    <t>Equal to that from Ecoinvent</t>
  </si>
  <si>
    <t>Battery cell, NMC-811</t>
  </si>
  <si>
    <t>battery cell production, Li-ion, NMC811</t>
  </si>
  <si>
    <r>
      <t>This dataset represents the production of 1 kg of Li-ion battery cell with nickel-manganese-cobalt 811 (NMC811) cathode and silicon coated graphite based anode. The specific energy capacity of a cell is</t>
    </r>
    <r>
      <rPr>
        <b/>
        <sz val="11"/>
        <color theme="1"/>
        <rFont val="Calibri"/>
        <family val="2"/>
        <scheme val="minor"/>
      </rPr>
      <t xml:space="preserve"> 0.209 kWh/kg cell</t>
    </r>
    <r>
      <rPr>
        <sz val="11"/>
        <color theme="1"/>
        <rFont val="Calibri"/>
        <family val="2"/>
        <scheme val="minor"/>
      </rPr>
      <t xml:space="preserve">, calculated based on the information reported in Dai et al. (2017, 2018, 2019). The inventory is modelled according to the publication of Dai et al. (2017) and expert judgement. Infrastructure is included as well. </t>
    </r>
  </si>
  <si>
    <t>Average of NMC111 and NMC811</t>
  </si>
  <si>
    <t>Battery cell, NCA</t>
  </si>
  <si>
    <t>battery cell production, Li-ion, NCA</t>
  </si>
  <si>
    <t>Battery cell, LFP</t>
  </si>
  <si>
    <t>battery production, lead acid, rechargeable, stationary</t>
  </si>
  <si>
    <r>
      <t>This dataset represents the production of 1 kg of Li-ion battery cell with nickel manganese aluminium (NCA) cathode and silicon coated graphite based anode. The specific energy capacity of a cell is</t>
    </r>
    <r>
      <rPr>
        <b/>
        <sz val="11"/>
        <color theme="1"/>
        <rFont val="Calibri"/>
        <family val="2"/>
        <scheme val="minor"/>
      </rPr>
      <t xml:space="preserve"> 0.224 kWh/kg cell</t>
    </r>
    <r>
      <rPr>
        <sz val="11"/>
        <color theme="1"/>
        <rFont val="Calibri"/>
        <family val="2"/>
        <scheme val="minor"/>
      </rPr>
      <t>, calculated based on the information reported in Dai et al. (2017, 2018, 2019). The inventory is modelled according to the publication of Dai et al. (2017) and expert judgement. Infrastructure is included as well. This dataset is a copy of the corresponding regional dataset. Production volume was adjusted.</t>
    </r>
  </si>
  <si>
    <t xml:space="preserve">This dataset represents the production of 1 kg of Li-ion battery cell with lithium iron phosphate (LFP)
cathode and graphite-based anode.The specific energy capacity of a cell is 0.159 kWh/kg cell,
calculated from Dai et al. (2018). </t>
  </si>
  <si>
    <t>From Ecoinvent 3.9.1</t>
  </si>
  <si>
    <t>No emissions to air or water are taken into account.
Specific parameters according to model Exide Absolyte (R) GX V-0
Energy density: 27 Wh/kg (at 8 h discharge), 32 Wh/kg (at 24 h discharge rate)
DC/DC round trip efficiency: 0.8 cycles to failure: 1200 (at a 8 h discharge rate and DoD of 100 %); 800 (at a 2 h discharge rate and DoD of 71.9 %)
The inventory was modelled according to: Spanos, Constantine, Turney, Damon E., Fthenakis, Vasilis (2015): Life-cycle analysis of flow-assisted nickel zinc-, manganese dioxide-, and valve-regulated lead-acid batteries designed for demand-charge reduction. Renewable and Sustainable Energy Reviews 43: 478–494. doi:10.1016/j.rser.2014.10.072.
This dataset represents the production of 1 kg of a valve regulated lead acid (VRLA) battery (absorbed glass matt - AGM) for stationary use. Material composition relates to a specific battery model. Specific parameters according to model Exide Absolyte (R) GX V-0 Energy density: 27 Wh/kg (at 8 h discharge), 32 Wh/kg (at 24 h discharge rate) DC/DC round trip efficiency: 0.8 cycles to failure: 1200 (at a 8 h discharge rate and DoD of 100 %); 800 (at a 2 h discharge rate and DoD of 71.9 %). Energy requirements of electricity, gas and oil comprise the manufacturing of grid, paste, and plate, plastic moulding and assembly/formation. No further direct emissions to air or water are taken into account. The inventory was modelled according to: Spanos, Constantine, Turney, Damon E., Fthenakis, Vasilis (2015): Life-cycle analysis of flow-assisted nickel zinc-, manganese dioxide-, and valve-regulated lead-acid batteries designed for demand-charge reduction. Renewable and Sustainable Energy Reviews 43: 478–494. doi:10.1016/j.rser.2014.10.072.
Geography:  Literature source refers to US conditions concerning battery production and parameters.
Technology:  Includes manufacturing of grid, paste, and plate, plastic moulding, assembly/formation
Time period:  according to the sources Spanos et al. (2015) cited</t>
  </si>
  <si>
    <t>The module reflects an average electric motor used in BEV or HEV
Geography:  Data valid for average electric motor
Technology:  Production of electric motor for BEV or HEV</t>
  </si>
  <si>
    <t>This dataset describes an electric motor used for an electric passenger car. It is based on direct information from the Swiss manufacturer Brusa. The electric motor has a maximal output power of about 100kW The entries are given as a function of kg device. The specific motor which was used for this dataset weights 53 kg.
Technology:  This dataset is based on current, high-level standard.</t>
  </si>
  <si>
    <t>wind power plant construction, 2MW, offshore, moving parts</t>
  </si>
  <si>
    <t>photovoltaic cell production, multi-Si wafer</t>
  </si>
  <si>
    <t>photovoltaic cell production, ribbon-Si</t>
  </si>
  <si>
    <t>photovoltaic cell production, single-Si wafer</t>
  </si>
  <si>
    <t>photovoltaic cell, multi-Si, at plant</t>
  </si>
  <si>
    <t>photovoltaic cell, single-Si, at plant</t>
  </si>
  <si>
    <t>photovoltaic laminate production, a-Si</t>
  </si>
  <si>
    <t>photovoltaic laminate, micro-Si, at plant</t>
  </si>
  <si>
    <t>photovoltaic panel, micro-Si, at plant</t>
  </si>
  <si>
    <t>photovoltaic laminate production, CIS</t>
  </si>
  <si>
    <t>photovoltaic laminate, CIS, at plant</t>
  </si>
  <si>
    <t>photovoltaic laminate production, CdTe</t>
  </si>
  <si>
    <t>photovoltaic laminate, CdTe, First Solar Series 4, at plant</t>
  </si>
  <si>
    <t>photovoltaic laminate, CdTe, First Solar Series 6, at plant</t>
  </si>
  <si>
    <t>photovoltaic panel, perovskite-Si-tandem, at plant</t>
  </si>
  <si>
    <t>collector field area construction, solar thermal parabolic trough, 50 MW</t>
  </si>
  <si>
    <t>power block installation, solar thermal parabolic trough, 50 MW</t>
  </si>
  <si>
    <t>collector field area construction, solar tower power plant, 20 MW</t>
  </si>
  <si>
    <t>power block installation, solar tower power plant, 20 MW</t>
  </si>
  <si>
    <t>EPR construction</t>
  </si>
  <si>
    <t>nuclear power plant construction, boiling water reactor 1000MW</t>
  </si>
  <si>
    <t>nuclear power plant construction, pressure water reactor 650MW</t>
  </si>
  <si>
    <t>nuclear power plant construction, pressure water reactor, 1000MW</t>
  </si>
  <si>
    <t>It ends up being used in "battery production, Li-ion, rechargeable, prismatic", where "The battery pack (containing 14 singel cells) provides an electric power of 2.1 kWh and a voltage of 48V". This prismatic battery uses 0.79937kg of battery cell. The battery cell uses 0.32686kg of cathode
Ecoinvent bases this inventory in "Notter D. A., Gauch M., Widmer R., Wäger P., Stamp A., Zah R. and Althaus H.-J. (2010) Contribution of Li-ion batteries to the environmental impact of electric vehicles. In: Environmental Science &amp; Technology". There, a battery of 0.114 kWh/kg is described</t>
  </si>
  <si>
    <t>Simons A, Bauer C. Life cycle assessment of the Evolutionary Power Reactor (EPR) and the influence of different fuel cycle strategies. Proceedings of the Institution of Mechanical Engineers, Part A: Journal of Power and Energy. 2012;226(3):427-444. doi:10.1177/0957650912440549</t>
  </si>
  <si>
    <t>Taken from the paper</t>
  </si>
  <si>
    <t>It ends up in "photovoltaic laminate production, multi-Si wafer": Unit process raw data for 1 m2 of PV panel. Investigated for the production of solar panels and laminates with 60 solar cells a 156*156cm2 with a capacity of 210Wp. Cell size and amount and capacity might differ between different producers. We adjust the power to the amount of photovoltaic cell used.</t>
  </si>
  <si>
    <t>It ends up in "photovoltaic laminate production, ribbon-Si": Unit process raw data for 1 m2 of PV panel. Unit process raw data for 1 m2 of PV panel. Investigated for the production of solar panels and laminates with 60 solar cells a 156*156cm2 with a capacity of 192 Wp.</t>
  </si>
  <si>
    <t>It ends up in "photovoltaic panel production, single-Si wafer": Unit process raw data for 1 m2 of PV panel. Investigated for the production of solar panels and laminates with 60 solar cells a 156*156cm2 with a capacity of 224 Wp.</t>
  </si>
  <si>
    <t>I assume the same as the previous multi-Si</t>
  </si>
  <si>
    <t>I assume the same as the previous single-Si</t>
  </si>
  <si>
    <t xml:space="preserve"> The weight is 2.7 kg per m2. The rated nominal power is about 128Wp per laminate.</t>
  </si>
  <si>
    <t>Characteristics of the module: area: 1.4m2, expected lifespan: 30 years, capacity: 100Wp, efficiency 10%</t>
  </si>
  <si>
    <t>The modules produced at Würth Solar have a size of 1.2m by 0.6m. The weight is 12.6kg. The efficiency is 10%. The rated nominal power is about 75-80Wp per module.</t>
  </si>
  <si>
    <t>The modules produced at Würth Solar have a size of 1.2m by 0.6m. The weight is 12.6kg. The efficiency is 10.8%. The rated nominal power is about 78Wp per module.</t>
  </si>
  <si>
    <t>The modules produced at First Solar have a size of 1.2m by 0.6 m. The weight is 12.0kg. The efficiency is 9%. The rated nominal power is about 65Wp per module.</t>
  </si>
  <si>
    <t>LCI of CHEOPS perovskite silicon tandem modules to be produced by OXPV in Germany. LCI published in de Wild-Scholten, M. 2017: Deliverable 3.1 Life Cycle Analysis of CHEOPS technologies and benchmarking: Screening. Published LCI embeddeed in UVEK LCI data DQRv2:2018. Changes to LCI: Transport calculated based on given distances in Tabel 2 of Wild-Scholten (2017). Panel area is 1.6m2.</t>
  </si>
  <si>
    <t>Wild-Schotten (2017) available from https://ec.europa.eu/research/participants/documents/downloadPublic?documentIds=080166e5b5615c43&amp;appId=PPGMS. I did not find the power, so I considered equal to the single-Si wafer one, as they include it as input of the LCI</t>
  </si>
  <si>
    <t>https://www.firstsolar.com/en-Emea/-/media/First-Solar/Technical-Documents/Series-4-Datasheets/Series-4V3-Module-Datasheet.ashx</t>
  </si>
  <si>
    <t>https://www.firstsolar.com/-/media/First-Solar/Technical-Documents/Series-6-Datasheets/Series-6-Datasheet.ashx?la=en</t>
  </si>
  <si>
    <t>Same as electric car</t>
  </si>
  <si>
    <t>We divide the motor power by its weight. We obtain MWp/(kg of motor). This unit allows us to use the (kg of materials)/MW, as the reference flow unit is in kg</t>
  </si>
  <si>
    <t>metals_db_unit</t>
  </si>
  <si>
    <t>passenger car production, petrol/natural gas</t>
  </si>
  <si>
    <t>kg metal/kg vehicle</t>
  </si>
  <si>
    <t>battery cell production, Li-ion, LFP</t>
  </si>
  <si>
    <t>battery production, NiMH, rechargeable, prismatic</t>
  </si>
  <si>
    <t>fuel cell stack production, 1 kWe, proton exchange membrane (PEM)</t>
  </si>
  <si>
    <t>electrolyzer production, 1MWe, PEM, Stack</t>
  </si>
  <si>
    <t>electrolyzer production, 1MWe, AEC, Stack</t>
  </si>
  <si>
    <t>electrolyzer production, 1MWe, SOEC, Stack</t>
  </si>
  <si>
    <t>We assume a energy density of 0.1 kWh/kg</t>
  </si>
  <si>
    <t>Quick search online for laptop battery providers</t>
  </si>
  <si>
    <t xml:space="preserve">This dataset represents the production of 1 kg of Li-ion battery cell with lithium iron phosphate (LFP) cathode and graphite-based anode.The specific energy capacity of a cell is 0.159 kWh/kg cell, calculated from Dai et al. (2018). The inventory is modelled according to the publication of Dai et al. (2018) and in line with other literature, e.g. Simon et al. (2016, Table 3). </t>
  </si>
  <si>
    <t>cathode production, LiMn2O4, for Li-ion battery</t>
  </si>
  <si>
    <t>passenger car production, diesel</t>
  </si>
  <si>
    <t>battery cell, NMC-622</t>
  </si>
  <si>
    <t>fuel cell production, stack solid oxide, 125kW electrical, future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</si>
</sst>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0"/>
      <color theme="1"/>
      <name val="Arial Unicode MS"/>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2" fillId="0" borderId="0" xfId="0" applyFont="1" applyAlignment="1">
      <alignment vertical="center"/>
    </xf>
    <xf numFmtId="0" fontId="1" fillId="0" borderId="0" xfId="0" applyFont="1"/>
    <xf numFmtId="11" fontId="0" fillId="0" borderId="0" xfId="0" applyNumberFormat="1"/>
    <xf numFmtId="2" fontId="0" fillId="0" borderId="0" xfId="0" applyNumberFormat="1"/>
    <xf numFmtId="0" fontId="2" fillId="0" borderId="0" xfId="0" applyFont="1" applyAlignment="1">
      <alignment vertical="top"/>
    </xf>
    <xf numFmtId="0" fontId="0" fillId="0" borderId="0" xfId="0" applyAlignment="1">
      <alignment vertical="top"/>
    </xf>
    <xf numFmtId="11" fontId="0" fillId="0" borderId="0" xfId="0" applyNumberFormat="1" applyAlignment="1">
      <alignment vertical="top"/>
    </xf>
    <xf numFmtId="0" fontId="3" fillId="0" borderId="0" xfId="1"/>
    <xf numFmtId="0" fontId="0" fillId="0" borderId="0" xfId="0" applyFont="1"/>
    <xf numFmtId="0" fontId="0" fillId="0" borderId="1" xfId="0"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firstsolar.com/en-Emea/-/media/First-Solar/Technical-Documents/Series-4-Datasheets/Series-4V3-Module-Datasheet.ash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0"/>
  <sheetViews>
    <sheetView tabSelected="1" topLeftCell="A4" workbookViewId="0">
      <selection activeCell="A15" sqref="A15"/>
    </sheetView>
  </sheetViews>
  <sheetFormatPr defaultColWidth="8.85546875" defaultRowHeight="15"/>
  <cols>
    <col min="1" max="1" width="61.28515625" customWidth="1"/>
    <col min="2" max="2" width="12.85546875" bestFit="1" customWidth="1"/>
    <col min="3" max="3" width="23" customWidth="1"/>
    <col min="4" max="4" width="33.42578125" customWidth="1"/>
    <col min="5" max="5" width="49.28515625" customWidth="1"/>
    <col min="6" max="6" width="32.140625" customWidth="1"/>
  </cols>
  <sheetData>
    <row r="1" spans="1:8">
      <c r="A1" s="2" t="s">
        <v>0</v>
      </c>
      <c r="B1" s="2" t="s">
        <v>8</v>
      </c>
      <c r="C1" s="2" t="s">
        <v>138</v>
      </c>
      <c r="D1" s="2" t="s">
        <v>2</v>
      </c>
      <c r="E1" s="2" t="s">
        <v>6</v>
      </c>
      <c r="F1" s="2" t="s">
        <v>3</v>
      </c>
    </row>
    <row r="2" spans="1:8">
      <c r="A2" s="1" t="s">
        <v>151</v>
      </c>
      <c r="B2" s="9" t="s">
        <v>5</v>
      </c>
      <c r="C2" s="10" t="s">
        <v>140</v>
      </c>
      <c r="D2" s="9">
        <v>1</v>
      </c>
      <c r="E2" s="2"/>
      <c r="F2" s="2"/>
    </row>
    <row r="3" spans="1:8">
      <c r="A3" s="1" t="s">
        <v>139</v>
      </c>
      <c r="B3" s="9" t="s">
        <v>5</v>
      </c>
      <c r="C3" s="10" t="s">
        <v>140</v>
      </c>
      <c r="D3" s="9">
        <v>1</v>
      </c>
      <c r="E3" s="2"/>
      <c r="F3" s="2"/>
    </row>
    <row r="4" spans="1:8">
      <c r="A4" s="1" t="s">
        <v>4</v>
      </c>
      <c r="B4" t="s">
        <v>5</v>
      </c>
      <c r="C4" t="s">
        <v>9</v>
      </c>
      <c r="D4" s="3">
        <f t="shared" ref="D4:D5" si="0">0.1/53</f>
        <v>1.8867924528301887E-3</v>
      </c>
      <c r="E4" t="s">
        <v>7</v>
      </c>
      <c r="F4" t="s">
        <v>136</v>
      </c>
      <c r="H4" s="3"/>
    </row>
    <row r="5" spans="1:8">
      <c r="A5" t="s">
        <v>10</v>
      </c>
      <c r="B5" t="s">
        <v>5</v>
      </c>
      <c r="C5" t="s">
        <v>9</v>
      </c>
      <c r="D5" s="3">
        <f t="shared" si="0"/>
        <v>1.8867924528301887E-3</v>
      </c>
      <c r="E5" t="s">
        <v>94</v>
      </c>
      <c r="F5" t="s">
        <v>136</v>
      </c>
    </row>
    <row r="6" spans="1:8">
      <c r="A6" s="1" t="s">
        <v>11</v>
      </c>
      <c r="B6" t="s">
        <v>5</v>
      </c>
      <c r="C6" t="s">
        <v>9</v>
      </c>
      <c r="D6" s="3">
        <f>0.1/53</f>
        <v>1.8867924528301887E-3</v>
      </c>
      <c r="E6" t="s">
        <v>95</v>
      </c>
      <c r="F6" t="s">
        <v>137</v>
      </c>
    </row>
    <row r="7" spans="1:8">
      <c r="A7" s="1" t="s">
        <v>12</v>
      </c>
      <c r="B7" t="s">
        <v>16</v>
      </c>
      <c r="C7" t="s">
        <v>9</v>
      </c>
      <c r="D7" s="3">
        <f>800/1000</f>
        <v>0.8</v>
      </c>
      <c r="E7" t="s">
        <v>17</v>
      </c>
      <c r="F7" t="s">
        <v>18</v>
      </c>
    </row>
    <row r="8" spans="1:8">
      <c r="A8" s="5" t="s">
        <v>13</v>
      </c>
      <c r="B8" s="6" t="s">
        <v>16</v>
      </c>
      <c r="C8" s="6" t="s">
        <v>9</v>
      </c>
      <c r="D8" s="7">
        <v>2</v>
      </c>
      <c r="E8" s="6" t="s">
        <v>73</v>
      </c>
      <c r="F8" s="6" t="s">
        <v>78</v>
      </c>
    </row>
    <row r="9" spans="1:8">
      <c r="A9" s="1" t="s">
        <v>14</v>
      </c>
      <c r="B9" t="s">
        <v>16</v>
      </c>
      <c r="C9" t="s">
        <v>9</v>
      </c>
      <c r="D9" s="3">
        <v>4.5</v>
      </c>
      <c r="E9" t="s">
        <v>74</v>
      </c>
      <c r="F9" t="s">
        <v>78</v>
      </c>
    </row>
    <row r="10" spans="1:8">
      <c r="A10" s="1" t="s">
        <v>15</v>
      </c>
      <c r="B10" t="s">
        <v>16</v>
      </c>
      <c r="C10" t="s">
        <v>9</v>
      </c>
      <c r="D10" s="3">
        <f>750/1000</f>
        <v>0.75</v>
      </c>
      <c r="E10" t="s">
        <v>75</v>
      </c>
      <c r="F10" t="s">
        <v>78</v>
      </c>
    </row>
    <row r="11" spans="1:8">
      <c r="A11" s="1" t="s">
        <v>96</v>
      </c>
      <c r="B11" t="s">
        <v>16</v>
      </c>
      <c r="C11" t="s">
        <v>9</v>
      </c>
      <c r="D11" s="3">
        <f>2</f>
        <v>2</v>
      </c>
    </row>
    <row r="12" spans="1:8">
      <c r="A12" s="1" t="s">
        <v>150</v>
      </c>
      <c r="B12" t="s">
        <v>5</v>
      </c>
      <c r="C12" t="s">
        <v>77</v>
      </c>
      <c r="D12" s="4">
        <f>0.114/0.32686</f>
        <v>0.3487731750596586</v>
      </c>
      <c r="F12" t="s">
        <v>119</v>
      </c>
    </row>
    <row r="13" spans="1:8">
      <c r="A13" s="1" t="s">
        <v>76</v>
      </c>
      <c r="B13" t="s">
        <v>5</v>
      </c>
      <c r="C13" t="s">
        <v>77</v>
      </c>
      <c r="D13" s="4">
        <f>D14</f>
        <v>0.19700000000000001</v>
      </c>
      <c r="E13" t="s">
        <v>78</v>
      </c>
      <c r="F13" t="s">
        <v>81</v>
      </c>
    </row>
    <row r="14" spans="1:8">
      <c r="A14" s="1" t="s">
        <v>79</v>
      </c>
      <c r="B14" t="s">
        <v>5</v>
      </c>
      <c r="C14" t="s">
        <v>77</v>
      </c>
      <c r="D14" s="4">
        <f>0.197</f>
        <v>0.19700000000000001</v>
      </c>
      <c r="E14" t="s">
        <v>80</v>
      </c>
      <c r="F14" t="s">
        <v>78</v>
      </c>
    </row>
    <row r="15" spans="1:8">
      <c r="A15" s="1" t="s">
        <v>152</v>
      </c>
      <c r="B15" t="s">
        <v>5</v>
      </c>
      <c r="C15" t="s">
        <v>77</v>
      </c>
      <c r="D15" s="4">
        <f>AVERAGE(D13,D16)</f>
        <v>0.20300000000000001</v>
      </c>
      <c r="F15" t="s">
        <v>85</v>
      </c>
    </row>
    <row r="16" spans="1:8">
      <c r="A16" s="1" t="s">
        <v>82</v>
      </c>
      <c r="B16" t="s">
        <v>5</v>
      </c>
      <c r="C16" t="s">
        <v>77</v>
      </c>
      <c r="D16" s="4">
        <f>D17</f>
        <v>0.20899999999999999</v>
      </c>
      <c r="F16" t="s">
        <v>81</v>
      </c>
    </row>
    <row r="17" spans="1:6">
      <c r="A17" s="1" t="s">
        <v>83</v>
      </c>
      <c r="B17" t="s">
        <v>5</v>
      </c>
      <c r="C17" t="s">
        <v>77</v>
      </c>
      <c r="D17" s="4">
        <f>0.209</f>
        <v>0.20899999999999999</v>
      </c>
      <c r="E17" t="s">
        <v>84</v>
      </c>
      <c r="F17" t="s">
        <v>78</v>
      </c>
    </row>
    <row r="18" spans="1:6">
      <c r="A18" s="1" t="s">
        <v>86</v>
      </c>
      <c r="B18" t="s">
        <v>5</v>
      </c>
      <c r="C18" t="s">
        <v>77</v>
      </c>
      <c r="D18" s="4">
        <f>D19</f>
        <v>0.224</v>
      </c>
      <c r="F18" t="s">
        <v>81</v>
      </c>
    </row>
    <row r="19" spans="1:6">
      <c r="A19" s="1" t="s">
        <v>87</v>
      </c>
      <c r="B19" t="s">
        <v>5</v>
      </c>
      <c r="C19" t="s">
        <v>77</v>
      </c>
      <c r="D19" s="4">
        <f>0.224</f>
        <v>0.224</v>
      </c>
      <c r="E19" t="s">
        <v>90</v>
      </c>
      <c r="F19" t="s">
        <v>78</v>
      </c>
    </row>
    <row r="20" spans="1:6">
      <c r="A20" s="1" t="s">
        <v>88</v>
      </c>
      <c r="B20" t="s">
        <v>5</v>
      </c>
      <c r="C20" t="s">
        <v>77</v>
      </c>
      <c r="D20" s="4">
        <f>0.159</f>
        <v>0.159</v>
      </c>
      <c r="E20" t="s">
        <v>91</v>
      </c>
      <c r="F20" t="s">
        <v>92</v>
      </c>
    </row>
    <row r="21" spans="1:6">
      <c r="A21" s="1" t="s">
        <v>141</v>
      </c>
      <c r="B21" t="s">
        <v>5</v>
      </c>
      <c r="C21" t="s">
        <v>77</v>
      </c>
      <c r="D21" s="4">
        <v>0.159</v>
      </c>
      <c r="E21" t="s">
        <v>149</v>
      </c>
    </row>
    <row r="22" spans="1:6">
      <c r="A22" s="1" t="s">
        <v>89</v>
      </c>
      <c r="B22" t="s">
        <v>5</v>
      </c>
      <c r="C22" t="s">
        <v>77</v>
      </c>
      <c r="D22" s="4">
        <f>29.5/1000</f>
        <v>2.9499999999999998E-2</v>
      </c>
      <c r="E22" t="s">
        <v>93</v>
      </c>
    </row>
    <row r="23" spans="1:6">
      <c r="A23" s="1" t="s">
        <v>142</v>
      </c>
      <c r="B23" t="s">
        <v>5</v>
      </c>
      <c r="C23" t="s">
        <v>77</v>
      </c>
      <c r="D23" s="4">
        <v>0.1</v>
      </c>
      <c r="E23" t="s">
        <v>147</v>
      </c>
      <c r="F23" t="s">
        <v>148</v>
      </c>
    </row>
    <row r="24" spans="1:6">
      <c r="A24" s="1" t="s">
        <v>143</v>
      </c>
      <c r="B24" t="s">
        <v>16</v>
      </c>
      <c r="C24" t="s">
        <v>9</v>
      </c>
      <c r="D24" s="4">
        <v>0.01</v>
      </c>
    </row>
    <row r="25" spans="1:6">
      <c r="A25" s="1" t="s">
        <v>153</v>
      </c>
      <c r="B25" t="s">
        <v>16</v>
      </c>
      <c r="C25" t="s">
        <v>9</v>
      </c>
      <c r="D25">
        <f>125/1000</f>
        <v>0.125</v>
      </c>
    </row>
    <row r="26" spans="1:6">
      <c r="A26" s="1" t="s">
        <v>144</v>
      </c>
      <c r="B26" t="s">
        <v>16</v>
      </c>
      <c r="C26" t="s">
        <v>9</v>
      </c>
      <c r="D26">
        <v>1</v>
      </c>
    </row>
    <row r="27" spans="1:6">
      <c r="A27" s="1" t="s">
        <v>145</v>
      </c>
      <c r="B27" t="s">
        <v>16</v>
      </c>
      <c r="C27" t="s">
        <v>9</v>
      </c>
      <c r="D27">
        <v>1</v>
      </c>
    </row>
    <row r="28" spans="1:6">
      <c r="A28" s="1" t="s">
        <v>146</v>
      </c>
      <c r="B28" t="s">
        <v>16</v>
      </c>
      <c r="C28" t="s">
        <v>9</v>
      </c>
      <c r="D28">
        <v>1</v>
      </c>
    </row>
    <row r="29" spans="1:6">
      <c r="A29" s="1" t="s">
        <v>97</v>
      </c>
      <c r="B29" t="s">
        <v>71</v>
      </c>
      <c r="C29" t="s">
        <v>9</v>
      </c>
      <c r="D29" s="3">
        <f>(0.00021)</f>
        <v>2.1000000000000001E-4</v>
      </c>
      <c r="F29" t="s">
        <v>122</v>
      </c>
    </row>
    <row r="30" spans="1:6">
      <c r="A30" s="1" t="s">
        <v>98</v>
      </c>
      <c r="B30" t="s">
        <v>71</v>
      </c>
      <c r="C30" t="s">
        <v>9</v>
      </c>
      <c r="D30" s="3">
        <f>(0.000192)</f>
        <v>1.92E-4</v>
      </c>
      <c r="F30" t="s">
        <v>123</v>
      </c>
    </row>
    <row r="31" spans="1:6">
      <c r="A31" s="1" t="s">
        <v>99</v>
      </c>
      <c r="B31" t="s">
        <v>71</v>
      </c>
      <c r="C31" t="s">
        <v>9</v>
      </c>
      <c r="D31" s="3">
        <f>(0.000224)</f>
        <v>2.24E-4</v>
      </c>
      <c r="F31" t="s">
        <v>124</v>
      </c>
    </row>
    <row r="32" spans="1:6">
      <c r="A32" s="1" t="s">
        <v>100</v>
      </c>
      <c r="B32" t="s">
        <v>71</v>
      </c>
      <c r="C32" t="s">
        <v>9</v>
      </c>
      <c r="D32" s="3">
        <f>D29</f>
        <v>2.1000000000000001E-4</v>
      </c>
      <c r="F32" t="s">
        <v>125</v>
      </c>
    </row>
    <row r="33" spans="1:6">
      <c r="A33" s="1" t="s">
        <v>101</v>
      </c>
      <c r="B33" t="s">
        <v>71</v>
      </c>
      <c r="C33" t="s">
        <v>9</v>
      </c>
      <c r="D33" s="3">
        <f>D31</f>
        <v>2.24E-4</v>
      </c>
      <c r="F33" t="s">
        <v>126</v>
      </c>
    </row>
    <row r="34" spans="1:6">
      <c r="A34" s="1" t="s">
        <v>102</v>
      </c>
      <c r="B34" t="s">
        <v>71</v>
      </c>
      <c r="C34" t="s">
        <v>9</v>
      </c>
      <c r="D34" s="3">
        <f>0.000128</f>
        <v>1.2799999999999999E-4</v>
      </c>
      <c r="E34" t="s">
        <v>127</v>
      </c>
    </row>
    <row r="35" spans="1:6">
      <c r="A35" s="1" t="s">
        <v>103</v>
      </c>
      <c r="B35" t="s">
        <v>71</v>
      </c>
      <c r="C35" t="s">
        <v>9</v>
      </c>
      <c r="D35" s="3">
        <f>0.0001/1.4</f>
        <v>7.1428571428571434E-5</v>
      </c>
      <c r="E35" t="s">
        <v>128</v>
      </c>
    </row>
    <row r="36" spans="1:6">
      <c r="A36" s="1" t="s">
        <v>104</v>
      </c>
      <c r="B36" t="s">
        <v>71</v>
      </c>
      <c r="C36" t="s">
        <v>9</v>
      </c>
      <c r="D36" s="3">
        <f>0.0001/1.4</f>
        <v>7.1428571428571434E-5</v>
      </c>
      <c r="E36" t="s">
        <v>128</v>
      </c>
    </row>
    <row r="37" spans="1:6">
      <c r="A37" s="1" t="s">
        <v>105</v>
      </c>
      <c r="B37" t="s">
        <v>71</v>
      </c>
      <c r="C37" t="s">
        <v>9</v>
      </c>
      <c r="D37" s="3">
        <f>0.00008/(1.2*0.6)</f>
        <v>1.1111111111111113E-4</v>
      </c>
      <c r="E37" t="s">
        <v>129</v>
      </c>
    </row>
    <row r="38" spans="1:6">
      <c r="A38" s="1" t="s">
        <v>106</v>
      </c>
      <c r="B38" t="s">
        <v>71</v>
      </c>
      <c r="C38" t="s">
        <v>9</v>
      </c>
      <c r="D38" s="3">
        <f>0.000078/(1.2*0.6)</f>
        <v>1.0833333333333334E-4</v>
      </c>
      <c r="E38" s="3" t="s">
        <v>130</v>
      </c>
    </row>
    <row r="39" spans="1:6">
      <c r="A39" s="1" t="s">
        <v>107</v>
      </c>
      <c r="B39" t="s">
        <v>71</v>
      </c>
      <c r="C39" t="s">
        <v>9</v>
      </c>
      <c r="D39" s="3">
        <f>0.000065/(1.2*0.6)</f>
        <v>9.0277777777777774E-5</v>
      </c>
      <c r="E39" t="s">
        <v>131</v>
      </c>
    </row>
    <row r="40" spans="1:6">
      <c r="A40" s="1" t="s">
        <v>108</v>
      </c>
      <c r="B40" t="s">
        <v>71</v>
      </c>
      <c r="C40" t="s">
        <v>9</v>
      </c>
      <c r="D40" s="3">
        <f>0.000115</f>
        <v>1.15E-4</v>
      </c>
      <c r="F40" s="8" t="s">
        <v>134</v>
      </c>
    </row>
    <row r="41" spans="1:6">
      <c r="A41" s="1" t="s">
        <v>109</v>
      </c>
      <c r="B41" t="s">
        <v>71</v>
      </c>
      <c r="C41" t="s">
        <v>9</v>
      </c>
      <c r="D41" s="3">
        <f>445/1000</f>
        <v>0.44500000000000001</v>
      </c>
      <c r="F41" t="s">
        <v>135</v>
      </c>
    </row>
    <row r="42" spans="1:6">
      <c r="A42" s="1" t="s">
        <v>110</v>
      </c>
      <c r="B42" t="s">
        <v>71</v>
      </c>
      <c r="C42" t="s">
        <v>9</v>
      </c>
      <c r="D42" s="3">
        <f>D31</f>
        <v>2.24E-4</v>
      </c>
      <c r="E42" t="s">
        <v>132</v>
      </c>
      <c r="F42" t="s">
        <v>133</v>
      </c>
    </row>
    <row r="43" spans="1:6">
      <c r="A43" s="1" t="s">
        <v>111</v>
      </c>
      <c r="B43" t="s">
        <v>16</v>
      </c>
      <c r="C43" t="s">
        <v>9</v>
      </c>
      <c r="D43">
        <v>50</v>
      </c>
    </row>
    <row r="44" spans="1:6">
      <c r="A44" s="1" t="s">
        <v>112</v>
      </c>
      <c r="B44" t="s">
        <v>16</v>
      </c>
      <c r="C44" t="s">
        <v>9</v>
      </c>
      <c r="D44">
        <v>50</v>
      </c>
    </row>
    <row r="45" spans="1:6">
      <c r="A45" s="1" t="s">
        <v>113</v>
      </c>
      <c r="B45" t="s">
        <v>16</v>
      </c>
      <c r="C45" t="s">
        <v>9</v>
      </c>
      <c r="D45">
        <v>20</v>
      </c>
    </row>
    <row r="46" spans="1:6">
      <c r="A46" s="1" t="s">
        <v>114</v>
      </c>
      <c r="B46" t="s">
        <v>16</v>
      </c>
      <c r="C46" t="s">
        <v>9</v>
      </c>
      <c r="D46">
        <v>20</v>
      </c>
    </row>
    <row r="47" spans="1:6">
      <c r="A47" s="1" t="s">
        <v>115</v>
      </c>
      <c r="B47" t="s">
        <v>16</v>
      </c>
      <c r="C47" t="s">
        <v>9</v>
      </c>
      <c r="D47">
        <v>1500</v>
      </c>
      <c r="E47" t="s">
        <v>120</v>
      </c>
      <c r="F47" t="s">
        <v>121</v>
      </c>
    </row>
    <row r="48" spans="1:6">
      <c r="A48" s="1" t="s">
        <v>116</v>
      </c>
      <c r="B48" t="s">
        <v>16</v>
      </c>
      <c r="C48" t="s">
        <v>9</v>
      </c>
      <c r="D48">
        <v>1000</v>
      </c>
    </row>
    <row r="49" spans="1:4">
      <c r="A49" s="1" t="s">
        <v>117</v>
      </c>
      <c r="B49" t="s">
        <v>16</v>
      </c>
      <c r="C49" t="s">
        <v>9</v>
      </c>
      <c r="D49">
        <v>650</v>
      </c>
    </row>
    <row r="50" spans="1:4">
      <c r="A50" s="1" t="s">
        <v>118</v>
      </c>
      <c r="B50" t="s">
        <v>16</v>
      </c>
      <c r="C50" t="s">
        <v>9</v>
      </c>
      <c r="D50">
        <v>1000</v>
      </c>
    </row>
    <row r="90" spans="8:8">
      <c r="H90">
        <f>SUM(H10:H83)</f>
        <v>0</v>
      </c>
    </row>
  </sheetData>
  <hyperlinks>
    <hyperlink ref="F40"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3"/>
  <sheetViews>
    <sheetView topLeftCell="A4" workbookViewId="0">
      <selection activeCell="J26" sqref="J26"/>
    </sheetView>
  </sheetViews>
  <sheetFormatPr defaultColWidth="8.85546875" defaultRowHeight="15"/>
  <cols>
    <col min="3" max="3" width="19.85546875" customWidth="1"/>
    <col min="6" max="6" width="14.42578125" customWidth="1"/>
  </cols>
  <sheetData>
    <row r="1" spans="1:6">
      <c r="A1" s="2" t="s">
        <v>47</v>
      </c>
      <c r="B1" t="s">
        <v>12</v>
      </c>
    </row>
    <row r="2" spans="1:6">
      <c r="A2" s="2"/>
    </row>
    <row r="3" spans="1:6">
      <c r="A3" s="2" t="s">
        <v>48</v>
      </c>
      <c r="B3" s="2" t="s">
        <v>1</v>
      </c>
      <c r="C3" s="2" t="s">
        <v>49</v>
      </c>
      <c r="D3" s="2" t="s">
        <v>50</v>
      </c>
      <c r="F3" s="2"/>
    </row>
    <row r="4" spans="1:6">
      <c r="A4">
        <v>207</v>
      </c>
      <c r="B4" t="s">
        <v>5</v>
      </c>
      <c r="C4" t="s">
        <v>19</v>
      </c>
      <c r="D4">
        <f>IF(A4&gt;0,A4,0)</f>
        <v>207</v>
      </c>
    </row>
    <row r="5" spans="1:6">
      <c r="A5">
        <v>3750</v>
      </c>
      <c r="B5" t="s">
        <v>5</v>
      </c>
      <c r="C5" t="s">
        <v>20</v>
      </c>
      <c r="D5">
        <f t="shared" ref="D5:D68" si="0">IF(A5&gt;0,A5,0)</f>
        <v>3750</v>
      </c>
    </row>
    <row r="6" spans="1:6">
      <c r="A6">
        <v>20</v>
      </c>
      <c r="B6" t="s">
        <v>5</v>
      </c>
      <c r="C6" t="s">
        <v>21</v>
      </c>
      <c r="D6">
        <f t="shared" si="0"/>
        <v>20</v>
      </c>
    </row>
    <row r="7" spans="1:6">
      <c r="A7">
        <v>0.5</v>
      </c>
      <c r="B7" t="s">
        <v>5</v>
      </c>
      <c r="C7" t="s">
        <v>22</v>
      </c>
      <c r="D7">
        <f t="shared" si="0"/>
        <v>0.5</v>
      </c>
    </row>
    <row r="8" spans="1:6">
      <c r="A8">
        <v>1460</v>
      </c>
      <c r="B8" t="s">
        <v>5</v>
      </c>
      <c r="C8" t="s">
        <v>23</v>
      </c>
      <c r="D8">
        <f t="shared" si="0"/>
        <v>1460</v>
      </c>
    </row>
    <row r="9" spans="1:6">
      <c r="A9">
        <v>434</v>
      </c>
      <c r="B9" t="s">
        <v>5</v>
      </c>
      <c r="C9" t="s">
        <v>24</v>
      </c>
      <c r="D9">
        <f t="shared" si="0"/>
        <v>434</v>
      </c>
    </row>
    <row r="10" spans="1:6">
      <c r="A10">
        <v>14500</v>
      </c>
      <c r="B10" t="s">
        <v>5</v>
      </c>
      <c r="C10" t="s">
        <v>25</v>
      </c>
      <c r="D10">
        <f t="shared" si="0"/>
        <v>14500</v>
      </c>
    </row>
    <row r="11" spans="1:6">
      <c r="A11">
        <v>207</v>
      </c>
      <c r="B11" t="s">
        <v>5</v>
      </c>
      <c r="C11" t="s">
        <v>26</v>
      </c>
      <c r="D11">
        <f t="shared" si="0"/>
        <v>207</v>
      </c>
    </row>
    <row r="12" spans="1:6">
      <c r="A12">
        <v>10230</v>
      </c>
      <c r="B12" t="s">
        <v>5</v>
      </c>
      <c r="C12" t="s">
        <v>27</v>
      </c>
      <c r="D12">
        <f t="shared" si="0"/>
        <v>10230</v>
      </c>
    </row>
    <row r="13" spans="1:6">
      <c r="A13">
        <v>100</v>
      </c>
      <c r="B13" t="s">
        <v>5</v>
      </c>
      <c r="C13" t="s">
        <v>28</v>
      </c>
      <c r="D13">
        <f t="shared" si="0"/>
        <v>100</v>
      </c>
    </row>
    <row r="14" spans="1:6">
      <c r="A14">
        <v>621</v>
      </c>
      <c r="B14" t="s">
        <v>5</v>
      </c>
      <c r="C14" t="s">
        <v>29</v>
      </c>
      <c r="D14">
        <f t="shared" si="0"/>
        <v>621</v>
      </c>
    </row>
    <row r="15" spans="1:6">
      <c r="A15">
        <v>17510</v>
      </c>
      <c r="B15" t="s">
        <v>30</v>
      </c>
      <c r="C15" t="s">
        <v>31</v>
      </c>
      <c r="D15">
        <f t="shared" si="0"/>
        <v>17510</v>
      </c>
    </row>
    <row r="16" spans="1:6">
      <c r="A16">
        <v>6480</v>
      </c>
      <c r="B16" t="s">
        <v>5</v>
      </c>
      <c r="C16" t="s">
        <v>32</v>
      </c>
      <c r="D16">
        <f t="shared" si="0"/>
        <v>6480</v>
      </c>
    </row>
    <row r="17" spans="1:4">
      <c r="A17">
        <v>9660</v>
      </c>
      <c r="B17" t="s">
        <v>5</v>
      </c>
      <c r="C17" t="s">
        <v>33</v>
      </c>
      <c r="D17">
        <f t="shared" si="0"/>
        <v>9660</v>
      </c>
    </row>
    <row r="18" spans="1:4">
      <c r="A18">
        <v>0.5</v>
      </c>
      <c r="B18" t="s">
        <v>5</v>
      </c>
      <c r="C18" t="s">
        <v>34</v>
      </c>
      <c r="D18">
        <f t="shared" si="0"/>
        <v>0.5</v>
      </c>
    </row>
    <row r="19" spans="1:4">
      <c r="A19">
        <v>1460</v>
      </c>
      <c r="B19" t="s">
        <v>5</v>
      </c>
      <c r="C19" t="s">
        <v>35</v>
      </c>
      <c r="D19">
        <f t="shared" si="0"/>
        <v>1460</v>
      </c>
    </row>
    <row r="20" spans="1:4">
      <c r="A20">
        <v>14500</v>
      </c>
      <c r="B20" t="s">
        <v>5</v>
      </c>
      <c r="C20" t="s">
        <v>36</v>
      </c>
      <c r="D20">
        <f t="shared" si="0"/>
        <v>14500</v>
      </c>
    </row>
    <row r="21" spans="1:4">
      <c r="A21">
        <v>-207</v>
      </c>
      <c r="B21" t="s">
        <v>5</v>
      </c>
      <c r="C21" t="s">
        <v>37</v>
      </c>
      <c r="D21">
        <f t="shared" si="0"/>
        <v>0</v>
      </c>
    </row>
    <row r="22" spans="1:4">
      <c r="A22">
        <v>-1.9250936128478799</v>
      </c>
      <c r="B22" t="s">
        <v>5</v>
      </c>
      <c r="C22" t="s">
        <v>38</v>
      </c>
      <c r="D22">
        <f t="shared" si="0"/>
        <v>0</v>
      </c>
    </row>
    <row r="23" spans="1:4">
      <c r="A23">
        <v>-0.1484134022501</v>
      </c>
      <c r="B23" t="s">
        <v>5</v>
      </c>
      <c r="C23" t="s">
        <v>38</v>
      </c>
      <c r="D23">
        <f t="shared" si="0"/>
        <v>0</v>
      </c>
    </row>
    <row r="24" spans="1:4">
      <c r="A24">
        <v>-6.13000504796797E-2</v>
      </c>
      <c r="B24" t="s">
        <v>5</v>
      </c>
      <c r="C24" t="s">
        <v>38</v>
      </c>
      <c r="D24">
        <f t="shared" si="0"/>
        <v>0</v>
      </c>
    </row>
    <row r="25" spans="1:4">
      <c r="A25">
        <v>-5.8210128804152599E-2</v>
      </c>
      <c r="B25" t="s">
        <v>5</v>
      </c>
      <c r="C25" t="s">
        <v>38</v>
      </c>
      <c r="D25">
        <f t="shared" si="0"/>
        <v>0</v>
      </c>
    </row>
    <row r="26" spans="1:4">
      <c r="A26">
        <v>-2.22122066071924</v>
      </c>
      <c r="B26" t="s">
        <v>5</v>
      </c>
      <c r="C26" t="s">
        <v>38</v>
      </c>
      <c r="D26">
        <f t="shared" si="0"/>
        <v>0</v>
      </c>
    </row>
    <row r="27" spans="1:4">
      <c r="A27">
        <v>-2.47645202667264E-2</v>
      </c>
      <c r="B27" t="s">
        <v>5</v>
      </c>
      <c r="C27" t="s">
        <v>38</v>
      </c>
      <c r="D27">
        <f t="shared" si="0"/>
        <v>0</v>
      </c>
    </row>
    <row r="28" spans="1:4">
      <c r="A28">
        <v>-1.12242641380724E-2</v>
      </c>
      <c r="B28" t="s">
        <v>5</v>
      </c>
      <c r="C28" t="s">
        <v>38</v>
      </c>
      <c r="D28">
        <f t="shared" si="0"/>
        <v>0</v>
      </c>
    </row>
    <row r="29" spans="1:4">
      <c r="A29">
        <v>-15.5497733604941</v>
      </c>
      <c r="B29" t="s">
        <v>5</v>
      </c>
      <c r="C29" t="s">
        <v>38</v>
      </c>
      <c r="D29">
        <f t="shared" si="0"/>
        <v>0</v>
      </c>
    </row>
    <row r="30" spans="1:4">
      <c r="A30">
        <v>10.2311999999993</v>
      </c>
      <c r="B30" t="s">
        <v>5</v>
      </c>
      <c r="C30" t="s">
        <v>39</v>
      </c>
      <c r="D30">
        <f t="shared" si="0"/>
        <v>10.2311999999993</v>
      </c>
    </row>
    <row r="31" spans="1:4">
      <c r="A31">
        <v>48.568800000000699</v>
      </c>
      <c r="B31" t="s">
        <v>5</v>
      </c>
      <c r="C31" t="s">
        <v>39</v>
      </c>
      <c r="D31">
        <f t="shared" si="0"/>
        <v>48.568800000000699</v>
      </c>
    </row>
    <row r="32" spans="1:4">
      <c r="A32">
        <v>-6021.63645862063</v>
      </c>
      <c r="B32" t="s">
        <v>5</v>
      </c>
      <c r="C32" t="s">
        <v>40</v>
      </c>
      <c r="D32">
        <f t="shared" si="0"/>
        <v>0</v>
      </c>
    </row>
    <row r="33" spans="1:4">
      <c r="A33">
        <v>-7.6291978370255498</v>
      </c>
      <c r="B33" t="s">
        <v>5</v>
      </c>
      <c r="C33" t="s">
        <v>40</v>
      </c>
      <c r="D33">
        <f t="shared" si="0"/>
        <v>0</v>
      </c>
    </row>
    <row r="34" spans="1:4">
      <c r="A34">
        <v>-18700.734343542299</v>
      </c>
      <c r="B34" t="s">
        <v>5</v>
      </c>
      <c r="C34" t="s">
        <v>40</v>
      </c>
      <c r="D34">
        <f t="shared" si="0"/>
        <v>0</v>
      </c>
    </row>
    <row r="35" spans="1:4">
      <c r="A35">
        <v>-335.06254331617299</v>
      </c>
      <c r="B35" t="s">
        <v>5</v>
      </c>
      <c r="C35" t="s">
        <v>41</v>
      </c>
      <c r="D35">
        <f t="shared" si="0"/>
        <v>0</v>
      </c>
    </row>
    <row r="36" spans="1:4">
      <c r="A36">
        <v>-25.8313526616299</v>
      </c>
      <c r="B36" t="s">
        <v>5</v>
      </c>
      <c r="C36" t="s">
        <v>41</v>
      </c>
      <c r="D36">
        <f t="shared" si="0"/>
        <v>0</v>
      </c>
    </row>
    <row r="37" spans="1:4">
      <c r="A37">
        <v>-10.669273785988199</v>
      </c>
      <c r="B37" t="s">
        <v>5</v>
      </c>
      <c r="C37" t="s">
        <v>41</v>
      </c>
      <c r="D37">
        <f t="shared" si="0"/>
        <v>0</v>
      </c>
    </row>
    <row r="38" spans="1:4">
      <c r="A38">
        <v>-10.1314729183628</v>
      </c>
      <c r="B38" t="s">
        <v>5</v>
      </c>
      <c r="C38" t="s">
        <v>41</v>
      </c>
      <c r="D38">
        <f t="shared" si="0"/>
        <v>0</v>
      </c>
    </row>
    <row r="39" spans="1:4">
      <c r="A39">
        <v>-386.60345599818402</v>
      </c>
      <c r="B39" t="s">
        <v>5</v>
      </c>
      <c r="C39" t="s">
        <v>41</v>
      </c>
      <c r="D39">
        <f t="shared" si="0"/>
        <v>0</v>
      </c>
    </row>
    <row r="40" spans="1:4">
      <c r="A40">
        <v>-4.3102647524237199</v>
      </c>
      <c r="B40" t="s">
        <v>5</v>
      </c>
      <c r="C40" t="s">
        <v>41</v>
      </c>
      <c r="D40">
        <f t="shared" si="0"/>
        <v>0</v>
      </c>
    </row>
    <row r="41" spans="1:4">
      <c r="A41">
        <v>-1.9535831732315101</v>
      </c>
      <c r="B41" t="s">
        <v>5</v>
      </c>
      <c r="C41" t="s">
        <v>41</v>
      </c>
      <c r="D41">
        <f t="shared" si="0"/>
        <v>0</v>
      </c>
    </row>
    <row r="42" spans="1:4">
      <c r="A42">
        <v>-2706.4380533940098</v>
      </c>
      <c r="B42" t="s">
        <v>5</v>
      </c>
      <c r="C42" t="s">
        <v>41</v>
      </c>
      <c r="D42">
        <f t="shared" si="0"/>
        <v>0</v>
      </c>
    </row>
    <row r="43" spans="1:4">
      <c r="A43">
        <v>-59.774156678926602</v>
      </c>
      <c r="B43" t="s">
        <v>5</v>
      </c>
      <c r="C43" t="s">
        <v>42</v>
      </c>
      <c r="D43">
        <f t="shared" si="0"/>
        <v>0</v>
      </c>
    </row>
    <row r="44" spans="1:4">
      <c r="A44">
        <v>-4.6082361398656104</v>
      </c>
      <c r="B44" t="s">
        <v>5</v>
      </c>
      <c r="C44" t="s">
        <v>42</v>
      </c>
      <c r="D44">
        <f t="shared" si="0"/>
        <v>0</v>
      </c>
    </row>
    <row r="45" spans="1:4">
      <c r="A45">
        <v>-1.9033665673940501</v>
      </c>
      <c r="B45" t="s">
        <v>5</v>
      </c>
      <c r="C45" t="s">
        <v>42</v>
      </c>
      <c r="D45">
        <f t="shared" si="0"/>
        <v>0</v>
      </c>
    </row>
    <row r="46" spans="1:4">
      <c r="A46">
        <v>-1.8074244993689399</v>
      </c>
      <c r="B46" t="s">
        <v>5</v>
      </c>
      <c r="C46" t="s">
        <v>42</v>
      </c>
      <c r="D46">
        <f t="shared" si="0"/>
        <v>0</v>
      </c>
    </row>
    <row r="47" spans="1:4">
      <c r="A47">
        <v>-68.968901515332504</v>
      </c>
      <c r="B47" t="s">
        <v>5</v>
      </c>
      <c r="C47" t="s">
        <v>42</v>
      </c>
      <c r="D47">
        <f t="shared" si="0"/>
        <v>0</v>
      </c>
    </row>
    <row r="48" spans="1:4">
      <c r="A48">
        <v>-0.76893835428185298</v>
      </c>
      <c r="B48" t="s">
        <v>5</v>
      </c>
      <c r="C48" t="s">
        <v>42</v>
      </c>
      <c r="D48">
        <f t="shared" si="0"/>
        <v>0</v>
      </c>
    </row>
    <row r="49" spans="1:4">
      <c r="A49">
        <v>-0.34851340148714899</v>
      </c>
      <c r="B49" t="s">
        <v>5</v>
      </c>
      <c r="C49" t="s">
        <v>42</v>
      </c>
      <c r="D49">
        <f t="shared" si="0"/>
        <v>0</v>
      </c>
    </row>
    <row r="50" spans="1:4">
      <c r="A50">
        <v>-482.82046284334302</v>
      </c>
      <c r="B50" t="s">
        <v>5</v>
      </c>
      <c r="C50" t="s">
        <v>42</v>
      </c>
      <c r="D50">
        <f t="shared" si="0"/>
        <v>0</v>
      </c>
    </row>
    <row r="51" spans="1:4">
      <c r="A51">
        <v>-41.774531398798899</v>
      </c>
      <c r="B51" t="s">
        <v>5</v>
      </c>
      <c r="C51" t="s">
        <v>43</v>
      </c>
      <c r="D51">
        <f t="shared" si="0"/>
        <v>0</v>
      </c>
    </row>
    <row r="52" spans="1:4">
      <c r="A52">
        <v>-3.2205708288271699</v>
      </c>
      <c r="B52" t="s">
        <v>5</v>
      </c>
      <c r="C52" t="s">
        <v>43</v>
      </c>
      <c r="D52">
        <f t="shared" si="0"/>
        <v>0</v>
      </c>
    </row>
    <row r="53" spans="1:4">
      <c r="A53">
        <v>-1.33021109540905</v>
      </c>
      <c r="B53" t="s">
        <v>5</v>
      </c>
      <c r="C53" t="s">
        <v>43</v>
      </c>
      <c r="D53">
        <f t="shared" si="0"/>
        <v>0</v>
      </c>
    </row>
    <row r="54" spans="1:4">
      <c r="A54">
        <v>-1.2631597950501099</v>
      </c>
      <c r="B54" t="s">
        <v>5</v>
      </c>
      <c r="C54" t="s">
        <v>43</v>
      </c>
      <c r="D54">
        <f t="shared" si="0"/>
        <v>0</v>
      </c>
    </row>
    <row r="55" spans="1:4">
      <c r="A55">
        <v>-48.200488337607602</v>
      </c>
      <c r="B55" t="s">
        <v>5</v>
      </c>
      <c r="C55" t="s">
        <v>43</v>
      </c>
      <c r="D55">
        <f t="shared" si="0"/>
        <v>0</v>
      </c>
    </row>
    <row r="56" spans="1:4">
      <c r="A56">
        <v>-0.53739008978796199</v>
      </c>
      <c r="B56" t="s">
        <v>5</v>
      </c>
      <c r="C56" t="s">
        <v>43</v>
      </c>
      <c r="D56">
        <f t="shared" si="0"/>
        <v>0</v>
      </c>
    </row>
    <row r="57" spans="1:4">
      <c r="A57">
        <v>-0.24356653179617199</v>
      </c>
      <c r="B57" t="s">
        <v>5</v>
      </c>
      <c r="C57" t="s">
        <v>43</v>
      </c>
      <c r="D57">
        <f t="shared" si="0"/>
        <v>0</v>
      </c>
    </row>
    <row r="58" spans="1:4">
      <c r="A58">
        <v>-337.43008192272299</v>
      </c>
      <c r="B58" t="s">
        <v>5</v>
      </c>
      <c r="C58" t="s">
        <v>43</v>
      </c>
      <c r="D58">
        <f t="shared" si="0"/>
        <v>0</v>
      </c>
    </row>
    <row r="59" spans="1:4">
      <c r="A59">
        <v>-463.12334567726998</v>
      </c>
      <c r="B59" t="s">
        <v>5</v>
      </c>
      <c r="C59" t="s">
        <v>44</v>
      </c>
      <c r="D59">
        <f t="shared" si="0"/>
        <v>0</v>
      </c>
    </row>
    <row r="60" spans="1:4">
      <c r="A60">
        <v>-21.728740132701599</v>
      </c>
      <c r="B60" t="s">
        <v>5</v>
      </c>
      <c r="C60" t="s">
        <v>44</v>
      </c>
      <c r="D60">
        <f t="shared" si="0"/>
        <v>0</v>
      </c>
    </row>
    <row r="61" spans="1:4">
      <c r="A61">
        <v>-975.14791419002802</v>
      </c>
      <c r="B61" t="s">
        <v>5</v>
      </c>
      <c r="C61" t="s">
        <v>44</v>
      </c>
      <c r="D61">
        <f t="shared" si="0"/>
        <v>0</v>
      </c>
    </row>
    <row r="62" spans="1:4">
      <c r="A62">
        <v>-955.84819645115397</v>
      </c>
      <c r="B62" t="s">
        <v>5</v>
      </c>
      <c r="C62" t="s">
        <v>45</v>
      </c>
      <c r="D62">
        <f t="shared" si="0"/>
        <v>0</v>
      </c>
    </row>
    <row r="63" spans="1:4">
      <c r="A63">
        <v>-46.379134770458698</v>
      </c>
      <c r="B63" t="s">
        <v>5</v>
      </c>
      <c r="C63" t="s">
        <v>45</v>
      </c>
      <c r="D63">
        <f t="shared" si="0"/>
        <v>0</v>
      </c>
    </row>
    <row r="64" spans="1:4">
      <c r="A64">
        <v>-4.3271063444259603</v>
      </c>
      <c r="B64" t="s">
        <v>5</v>
      </c>
      <c r="C64" t="s">
        <v>45</v>
      </c>
      <c r="D64">
        <f t="shared" si="0"/>
        <v>0</v>
      </c>
    </row>
    <row r="65" spans="1:4">
      <c r="A65">
        <v>-19.362210571508601</v>
      </c>
      <c r="B65" t="s">
        <v>5</v>
      </c>
      <c r="C65" t="s">
        <v>45</v>
      </c>
      <c r="D65">
        <f t="shared" si="0"/>
        <v>0</v>
      </c>
    </row>
    <row r="66" spans="1:4">
      <c r="A66">
        <v>-503.20305355150998</v>
      </c>
      <c r="B66" t="s">
        <v>5</v>
      </c>
      <c r="C66" t="s">
        <v>45</v>
      </c>
      <c r="D66">
        <f t="shared" si="0"/>
        <v>0</v>
      </c>
    </row>
    <row r="67" spans="1:4">
      <c r="A67">
        <v>-6.5709524492519602</v>
      </c>
      <c r="B67" t="s">
        <v>5</v>
      </c>
      <c r="C67" t="s">
        <v>45</v>
      </c>
      <c r="D67">
        <f t="shared" si="0"/>
        <v>0</v>
      </c>
    </row>
    <row r="68" spans="1:4">
      <c r="A68">
        <v>-1.0521864141291499</v>
      </c>
      <c r="B68" t="s">
        <v>5</v>
      </c>
      <c r="C68" t="s">
        <v>45</v>
      </c>
      <c r="D68">
        <f t="shared" si="0"/>
        <v>0</v>
      </c>
    </row>
    <row r="69" spans="1:4">
      <c r="A69">
        <v>-4742.2571594475603</v>
      </c>
      <c r="B69" t="s">
        <v>5</v>
      </c>
      <c r="C69" t="s">
        <v>45</v>
      </c>
      <c r="D69">
        <f t="shared" ref="D69:D72" si="1">IF(A69&gt;0,A69,0)</f>
        <v>0</v>
      </c>
    </row>
    <row r="70" spans="1:4">
      <c r="A70">
        <v>-16.140084415807301</v>
      </c>
      <c r="B70" t="s">
        <v>5</v>
      </c>
      <c r="C70" t="s">
        <v>46</v>
      </c>
      <c r="D70">
        <f t="shared" si="1"/>
        <v>0</v>
      </c>
    </row>
    <row r="71" spans="1:4">
      <c r="A71">
        <v>-0.39956428824000201</v>
      </c>
      <c r="B71" t="s">
        <v>5</v>
      </c>
      <c r="C71" t="s">
        <v>46</v>
      </c>
      <c r="D71">
        <f t="shared" si="1"/>
        <v>0</v>
      </c>
    </row>
    <row r="72" spans="1:4">
      <c r="A72">
        <v>-42.260351295952702</v>
      </c>
      <c r="B72" t="s">
        <v>5</v>
      </c>
      <c r="C72" t="s">
        <v>46</v>
      </c>
      <c r="D72">
        <f t="shared" si="1"/>
        <v>0</v>
      </c>
    </row>
    <row r="73" spans="1:4">
      <c r="D73">
        <f>SUM(D4:D72)</f>
        <v>81198.799999999988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6"/>
  <sheetViews>
    <sheetView workbookViewId="0">
      <selection activeCell="D67" sqref="D67"/>
    </sheetView>
  </sheetViews>
  <sheetFormatPr defaultColWidth="8.85546875" defaultRowHeight="15"/>
  <cols>
    <col min="3" max="3" width="19.85546875" customWidth="1"/>
    <col min="6" max="6" width="14.42578125" customWidth="1"/>
  </cols>
  <sheetData>
    <row r="1" spans="1:6">
      <c r="A1" s="2" t="s">
        <v>47</v>
      </c>
    </row>
    <row r="2" spans="1:6">
      <c r="A2" s="2"/>
    </row>
    <row r="3" spans="1:6">
      <c r="A3" s="2" t="s">
        <v>48</v>
      </c>
      <c r="B3" s="2" t="s">
        <v>1</v>
      </c>
      <c r="C3" s="2" t="s">
        <v>49</v>
      </c>
      <c r="D3" s="2" t="s">
        <v>50</v>
      </c>
      <c r="F3" s="2"/>
    </row>
    <row r="4" spans="1:6">
      <c r="A4">
        <v>-1678</v>
      </c>
      <c r="B4" t="s">
        <v>5</v>
      </c>
      <c r="C4" t="s">
        <v>51</v>
      </c>
      <c r="D4">
        <f>IF(A4&gt;0,A4,0)</f>
        <v>0</v>
      </c>
    </row>
    <row r="5" spans="1:6">
      <c r="A5">
        <v>536.96</v>
      </c>
      <c r="B5" t="s">
        <v>5</v>
      </c>
      <c r="C5" t="s">
        <v>52</v>
      </c>
      <c r="D5">
        <f t="shared" ref="D5:D65" si="0">IF(A5&gt;0,A5,0)</f>
        <v>536.96</v>
      </c>
    </row>
    <row r="6" spans="1:6">
      <c r="A6">
        <v>1141.04</v>
      </c>
      <c r="B6" t="s">
        <v>5</v>
      </c>
      <c r="C6" t="s">
        <v>19</v>
      </c>
      <c r="D6">
        <f t="shared" si="0"/>
        <v>1141.04</v>
      </c>
    </row>
    <row r="7" spans="1:6">
      <c r="A7">
        <v>20688</v>
      </c>
      <c r="B7" t="s">
        <v>5</v>
      </c>
      <c r="C7" t="s">
        <v>32</v>
      </c>
      <c r="D7">
        <f t="shared" si="0"/>
        <v>20688</v>
      </c>
    </row>
    <row r="8" spans="1:6">
      <c r="A8">
        <v>350</v>
      </c>
      <c r="B8" t="s">
        <v>53</v>
      </c>
      <c r="C8" t="s">
        <v>54</v>
      </c>
      <c r="D8">
        <f t="shared" si="0"/>
        <v>350</v>
      </c>
    </row>
    <row r="9" spans="1:6">
      <c r="A9">
        <v>2816</v>
      </c>
      <c r="B9" t="s">
        <v>5</v>
      </c>
      <c r="C9" t="s">
        <v>23</v>
      </c>
      <c r="D9">
        <f t="shared" si="0"/>
        <v>2816</v>
      </c>
    </row>
    <row r="10" spans="1:6">
      <c r="A10">
        <v>144299.35</v>
      </c>
      <c r="B10" t="s">
        <v>30</v>
      </c>
      <c r="C10" t="s">
        <v>31</v>
      </c>
      <c r="D10">
        <f t="shared" si="0"/>
        <v>144299.35</v>
      </c>
    </row>
    <row r="11" spans="1:6">
      <c r="A11">
        <v>-440</v>
      </c>
      <c r="B11" t="s">
        <v>5</v>
      </c>
      <c r="C11" t="s">
        <v>55</v>
      </c>
      <c r="D11">
        <f t="shared" si="0"/>
        <v>0</v>
      </c>
    </row>
    <row r="12" spans="1:6">
      <c r="A12">
        <v>440</v>
      </c>
      <c r="B12" t="s">
        <v>5</v>
      </c>
      <c r="C12" t="s">
        <v>56</v>
      </c>
      <c r="D12">
        <f t="shared" si="0"/>
        <v>440</v>
      </c>
    </row>
    <row r="13" spans="1:6">
      <c r="A13">
        <v>1646.57592</v>
      </c>
      <c r="B13" t="s">
        <v>5</v>
      </c>
      <c r="C13" t="s">
        <v>57</v>
      </c>
      <c r="D13">
        <f t="shared" si="0"/>
        <v>1646.57592</v>
      </c>
    </row>
    <row r="14" spans="1:6">
      <c r="A14">
        <v>7816.5040799999997</v>
      </c>
      <c r="B14" t="s">
        <v>5</v>
      </c>
      <c r="C14" t="s">
        <v>57</v>
      </c>
      <c r="D14">
        <f t="shared" si="0"/>
        <v>7816.5040799999997</v>
      </c>
    </row>
    <row r="15" spans="1:6">
      <c r="A15">
        <v>350</v>
      </c>
      <c r="B15" t="s">
        <v>53</v>
      </c>
      <c r="C15" t="s">
        <v>58</v>
      </c>
      <c r="D15">
        <f t="shared" si="0"/>
        <v>350</v>
      </c>
    </row>
    <row r="16" spans="1:6">
      <c r="A16">
        <v>14194.62</v>
      </c>
      <c r="B16" t="s">
        <v>5</v>
      </c>
      <c r="C16" t="s">
        <v>33</v>
      </c>
      <c r="D16">
        <f t="shared" si="0"/>
        <v>14194.62</v>
      </c>
    </row>
    <row r="17" spans="1:4">
      <c r="A17">
        <v>-20688</v>
      </c>
      <c r="B17" t="s">
        <v>5</v>
      </c>
      <c r="C17" t="s">
        <v>59</v>
      </c>
      <c r="D17">
        <f t="shared" si="0"/>
        <v>0</v>
      </c>
    </row>
    <row r="18" spans="1:4">
      <c r="A18">
        <v>3088</v>
      </c>
      <c r="B18" t="s">
        <v>5</v>
      </c>
      <c r="C18" t="s">
        <v>29</v>
      </c>
      <c r="D18">
        <f t="shared" si="0"/>
        <v>3088</v>
      </c>
    </row>
    <row r="19" spans="1:4">
      <c r="A19">
        <v>27000</v>
      </c>
      <c r="B19" t="s">
        <v>5</v>
      </c>
      <c r="C19" t="s">
        <v>60</v>
      </c>
      <c r="D19">
        <f t="shared" si="0"/>
        <v>27000</v>
      </c>
    </row>
    <row r="20" spans="1:4">
      <c r="A20">
        <v>8000</v>
      </c>
      <c r="B20" t="s">
        <v>61</v>
      </c>
      <c r="C20" t="s">
        <v>62</v>
      </c>
      <c r="D20">
        <f t="shared" si="0"/>
        <v>8000</v>
      </c>
    </row>
    <row r="21" spans="1:4">
      <c r="A21">
        <v>-1880.83323723227</v>
      </c>
      <c r="B21" t="s">
        <v>5</v>
      </c>
      <c r="C21" t="s">
        <v>44</v>
      </c>
      <c r="D21">
        <f t="shared" si="0"/>
        <v>0</v>
      </c>
    </row>
    <row r="22" spans="1:4">
      <c r="A22">
        <v>-893.25708316931002</v>
      </c>
      <c r="B22" t="s">
        <v>5</v>
      </c>
      <c r="C22" t="s">
        <v>44</v>
      </c>
      <c r="D22">
        <f t="shared" si="0"/>
        <v>0</v>
      </c>
    </row>
    <row r="23" spans="1:4">
      <c r="A23">
        <v>-41.909679598416098</v>
      </c>
      <c r="B23" t="s">
        <v>5</v>
      </c>
      <c r="C23" t="s">
        <v>44</v>
      </c>
      <c r="D23">
        <f t="shared" si="0"/>
        <v>0</v>
      </c>
    </row>
    <row r="24" spans="1:4">
      <c r="A24">
        <v>-158552.43309926699</v>
      </c>
      <c r="B24" t="s">
        <v>5</v>
      </c>
      <c r="C24" t="s">
        <v>40</v>
      </c>
      <c r="D24">
        <f t="shared" si="0"/>
        <v>0</v>
      </c>
    </row>
    <row r="25" spans="1:4">
      <c r="A25">
        <v>-51053.883457963901</v>
      </c>
      <c r="B25" t="s">
        <v>5</v>
      </c>
      <c r="C25" t="s">
        <v>40</v>
      </c>
      <c r="D25">
        <f t="shared" si="0"/>
        <v>0</v>
      </c>
    </row>
    <row r="26" spans="1:4">
      <c r="A26">
        <v>-64.683442769388705</v>
      </c>
      <c r="B26" t="s">
        <v>5</v>
      </c>
      <c r="C26" t="s">
        <v>40</v>
      </c>
      <c r="D26">
        <f t="shared" si="0"/>
        <v>0</v>
      </c>
    </row>
    <row r="27" spans="1:4">
      <c r="A27">
        <v>1678</v>
      </c>
      <c r="B27" t="s">
        <v>5</v>
      </c>
      <c r="C27" t="s">
        <v>26</v>
      </c>
      <c r="D27">
        <f t="shared" si="0"/>
        <v>1678</v>
      </c>
    </row>
    <row r="28" spans="1:4">
      <c r="A28">
        <v>13328</v>
      </c>
      <c r="B28" t="s">
        <v>5</v>
      </c>
      <c r="C28" t="s">
        <v>25</v>
      </c>
      <c r="D28">
        <f t="shared" si="0"/>
        <v>13328</v>
      </c>
    </row>
    <row r="29" spans="1:4">
      <c r="A29">
        <v>196140</v>
      </c>
      <c r="B29" t="s">
        <v>5</v>
      </c>
      <c r="C29" t="s">
        <v>63</v>
      </c>
      <c r="D29">
        <f t="shared" si="0"/>
        <v>196140</v>
      </c>
    </row>
    <row r="30" spans="1:4">
      <c r="A30">
        <v>13328</v>
      </c>
      <c r="B30" t="s">
        <v>5</v>
      </c>
      <c r="C30" t="s">
        <v>64</v>
      </c>
      <c r="D30">
        <f t="shared" si="0"/>
        <v>13328</v>
      </c>
    </row>
    <row r="31" spans="1:4">
      <c r="A31">
        <v>196140</v>
      </c>
      <c r="B31" t="s">
        <v>5</v>
      </c>
      <c r="C31" t="s">
        <v>65</v>
      </c>
      <c r="D31">
        <f t="shared" si="0"/>
        <v>196140</v>
      </c>
    </row>
    <row r="32" spans="1:4">
      <c r="A32">
        <v>-5360.2913139542597</v>
      </c>
      <c r="B32" t="s">
        <v>5</v>
      </c>
      <c r="C32" t="s">
        <v>45</v>
      </c>
      <c r="D32">
        <f t="shared" si="0"/>
        <v>0</v>
      </c>
    </row>
    <row r="33" spans="1:4">
      <c r="A33">
        <v>-1080.4190098988299</v>
      </c>
      <c r="B33" t="s">
        <v>5</v>
      </c>
      <c r="C33" t="s">
        <v>45</v>
      </c>
      <c r="D33">
        <f t="shared" si="0"/>
        <v>0</v>
      </c>
    </row>
    <row r="34" spans="1:4">
      <c r="A34">
        <v>-568.78293741068205</v>
      </c>
      <c r="B34" t="s">
        <v>5</v>
      </c>
      <c r="C34" t="s">
        <v>45</v>
      </c>
      <c r="D34">
        <f t="shared" si="0"/>
        <v>0</v>
      </c>
    </row>
    <row r="35" spans="1:4">
      <c r="A35">
        <v>-52.423490523606297</v>
      </c>
      <c r="B35" t="s">
        <v>5</v>
      </c>
      <c r="C35" t="s">
        <v>45</v>
      </c>
      <c r="D35">
        <f t="shared" si="0"/>
        <v>0</v>
      </c>
    </row>
    <row r="36" spans="1:4">
      <c r="A36">
        <v>-21.8855885827797</v>
      </c>
      <c r="B36" t="s">
        <v>5</v>
      </c>
      <c r="C36" t="s">
        <v>45</v>
      </c>
      <c r="D36">
        <f t="shared" si="0"/>
        <v>0</v>
      </c>
    </row>
    <row r="37" spans="1:4">
      <c r="A37">
        <v>-7.4273111208154896</v>
      </c>
      <c r="B37" t="s">
        <v>5</v>
      </c>
      <c r="C37" t="s">
        <v>45</v>
      </c>
      <c r="D37">
        <f t="shared" si="0"/>
        <v>0</v>
      </c>
    </row>
    <row r="38" spans="1:4">
      <c r="A38">
        <v>-4.89103601359417</v>
      </c>
      <c r="B38" t="s">
        <v>5</v>
      </c>
      <c r="C38" t="s">
        <v>45</v>
      </c>
      <c r="D38">
        <f t="shared" si="0"/>
        <v>0</v>
      </c>
    </row>
    <row r="39" spans="1:4">
      <c r="A39">
        <v>-1.18931249543923</v>
      </c>
      <c r="B39" t="s">
        <v>5</v>
      </c>
      <c r="C39" t="s">
        <v>45</v>
      </c>
      <c r="D39">
        <f t="shared" si="0"/>
        <v>0</v>
      </c>
    </row>
    <row r="40" spans="1:4">
      <c r="A40">
        <v>-5518.0780984584399</v>
      </c>
      <c r="B40" t="s">
        <v>5</v>
      </c>
      <c r="C40" t="s">
        <v>41</v>
      </c>
      <c r="D40">
        <f t="shared" si="0"/>
        <v>0</v>
      </c>
    </row>
    <row r="41" spans="1:4">
      <c r="A41">
        <v>-788.23458037646503</v>
      </c>
      <c r="B41" t="s">
        <v>5</v>
      </c>
      <c r="C41" t="s">
        <v>41</v>
      </c>
      <c r="D41">
        <f t="shared" si="0"/>
        <v>0</v>
      </c>
    </row>
    <row r="42" spans="1:4">
      <c r="A42">
        <v>-683.14930747006804</v>
      </c>
      <c r="B42" t="s">
        <v>5</v>
      </c>
      <c r="C42" t="s">
        <v>41</v>
      </c>
      <c r="D42">
        <f t="shared" si="0"/>
        <v>0</v>
      </c>
    </row>
    <row r="43" spans="1:4">
      <c r="A43">
        <v>-52.666796196182901</v>
      </c>
      <c r="B43" t="s">
        <v>5</v>
      </c>
      <c r="C43" t="s">
        <v>41</v>
      </c>
      <c r="D43">
        <f t="shared" si="0"/>
        <v>0</v>
      </c>
    </row>
    <row r="44" spans="1:4">
      <c r="A44">
        <v>-21.753273063496799</v>
      </c>
      <c r="B44" t="s">
        <v>5</v>
      </c>
      <c r="C44" t="s">
        <v>41</v>
      </c>
      <c r="D44">
        <f t="shared" si="0"/>
        <v>0</v>
      </c>
    </row>
    <row r="45" spans="1:4">
      <c r="A45">
        <v>-20.656766463149999</v>
      </c>
      <c r="B45" t="s">
        <v>5</v>
      </c>
      <c r="C45" t="s">
        <v>41</v>
      </c>
      <c r="D45">
        <f t="shared" si="0"/>
        <v>0</v>
      </c>
    </row>
    <row r="46" spans="1:4">
      <c r="A46">
        <v>-8.7880738667119793</v>
      </c>
      <c r="B46" t="s">
        <v>5</v>
      </c>
      <c r="C46" t="s">
        <v>41</v>
      </c>
      <c r="D46">
        <f t="shared" si="0"/>
        <v>0</v>
      </c>
    </row>
    <row r="47" spans="1:4">
      <c r="A47">
        <v>-3.9831041054891401</v>
      </c>
      <c r="B47" t="s">
        <v>5</v>
      </c>
      <c r="C47" t="s">
        <v>41</v>
      </c>
      <c r="D47">
        <f t="shared" si="0"/>
        <v>0</v>
      </c>
    </row>
    <row r="48" spans="1:4">
      <c r="A48">
        <v>-2400.8850068603001</v>
      </c>
      <c r="B48" t="s">
        <v>5</v>
      </c>
      <c r="C48" t="s">
        <v>42</v>
      </c>
      <c r="D48">
        <f t="shared" si="0"/>
        <v>0</v>
      </c>
    </row>
    <row r="49" spans="1:4">
      <c r="A49">
        <v>-342.95647001505102</v>
      </c>
      <c r="B49" t="s">
        <v>5</v>
      </c>
      <c r="C49" t="s">
        <v>42</v>
      </c>
      <c r="D49">
        <f t="shared" si="0"/>
        <v>0</v>
      </c>
    </row>
    <row r="50" spans="1:4">
      <c r="A50">
        <v>-297.23445382371199</v>
      </c>
      <c r="B50" t="s">
        <v>5</v>
      </c>
      <c r="C50" t="s">
        <v>42</v>
      </c>
      <c r="D50">
        <f t="shared" si="0"/>
        <v>0</v>
      </c>
    </row>
    <row r="51" spans="1:4">
      <c r="A51">
        <v>-22.915029307415399</v>
      </c>
      <c r="B51" t="s">
        <v>5</v>
      </c>
      <c r="C51" t="s">
        <v>42</v>
      </c>
      <c r="D51">
        <f t="shared" si="0"/>
        <v>0</v>
      </c>
    </row>
    <row r="52" spans="1:4">
      <c r="A52">
        <v>-9.4647277940625401</v>
      </c>
      <c r="B52" t="s">
        <v>5</v>
      </c>
      <c r="C52" t="s">
        <v>42</v>
      </c>
      <c r="D52">
        <f t="shared" si="0"/>
        <v>0</v>
      </c>
    </row>
    <row r="53" spans="1:4">
      <c r="A53">
        <v>-8.9876438873611608</v>
      </c>
      <c r="B53" t="s">
        <v>5</v>
      </c>
      <c r="C53" t="s">
        <v>42</v>
      </c>
      <c r="D53">
        <f t="shared" si="0"/>
        <v>0</v>
      </c>
    </row>
    <row r="54" spans="1:4">
      <c r="A54">
        <v>-3.8236419291825499</v>
      </c>
      <c r="B54" t="s">
        <v>5</v>
      </c>
      <c r="C54" t="s">
        <v>42</v>
      </c>
      <c r="D54">
        <f t="shared" si="0"/>
        <v>0</v>
      </c>
    </row>
    <row r="55" spans="1:4">
      <c r="A55">
        <v>-1.7330263829183801</v>
      </c>
      <c r="B55" t="s">
        <v>5</v>
      </c>
      <c r="C55" t="s">
        <v>42</v>
      </c>
      <c r="D55">
        <f t="shared" si="0"/>
        <v>0</v>
      </c>
    </row>
    <row r="56" spans="1:4">
      <c r="A56">
        <v>-6729.0976909670799</v>
      </c>
      <c r="B56" t="s">
        <v>5</v>
      </c>
      <c r="C56" t="s">
        <v>66</v>
      </c>
      <c r="D56">
        <f t="shared" si="0"/>
        <v>0</v>
      </c>
    </row>
    <row r="57" spans="1:4">
      <c r="A57">
        <v>-2654.3326476308398</v>
      </c>
      <c r="B57" t="s">
        <v>5</v>
      </c>
      <c r="C57" t="s">
        <v>66</v>
      </c>
      <c r="D57">
        <f t="shared" si="0"/>
        <v>0</v>
      </c>
    </row>
    <row r="58" spans="1:4">
      <c r="A58">
        <v>-79.64966140208</v>
      </c>
      <c r="B58" t="s">
        <v>5</v>
      </c>
      <c r="C58" t="s">
        <v>66</v>
      </c>
      <c r="D58">
        <f t="shared" si="0"/>
        <v>0</v>
      </c>
    </row>
    <row r="59" spans="1:4">
      <c r="A59">
        <v>-809666.73499999999</v>
      </c>
      <c r="B59" t="s">
        <v>5</v>
      </c>
      <c r="C59" t="s">
        <v>67</v>
      </c>
      <c r="D59">
        <f t="shared" si="0"/>
        <v>0</v>
      </c>
    </row>
    <row r="60" spans="1:4">
      <c r="A60">
        <v>-56732.144999999997</v>
      </c>
      <c r="B60" t="s">
        <v>5</v>
      </c>
      <c r="C60" t="s">
        <v>67</v>
      </c>
      <c r="D60">
        <f t="shared" si="0"/>
        <v>0</v>
      </c>
    </row>
    <row r="61" spans="1:4">
      <c r="A61">
        <v>-601.12</v>
      </c>
      <c r="B61" t="s">
        <v>5</v>
      </c>
      <c r="C61" t="s">
        <v>67</v>
      </c>
      <c r="D61">
        <f t="shared" si="0"/>
        <v>0</v>
      </c>
    </row>
    <row r="62" spans="1:4">
      <c r="A62">
        <v>296</v>
      </c>
      <c r="B62" t="s">
        <v>68</v>
      </c>
      <c r="C62" t="s">
        <v>69</v>
      </c>
      <c r="D62">
        <f t="shared" si="0"/>
        <v>296</v>
      </c>
    </row>
    <row r="63" spans="1:4">
      <c r="A63">
        <v>2816</v>
      </c>
      <c r="B63" t="s">
        <v>5</v>
      </c>
      <c r="C63" t="s">
        <v>35</v>
      </c>
      <c r="D63">
        <f t="shared" si="0"/>
        <v>2816</v>
      </c>
    </row>
    <row r="64" spans="1:4">
      <c r="A64">
        <v>203</v>
      </c>
      <c r="B64" t="s">
        <v>5</v>
      </c>
      <c r="C64" t="s">
        <v>70</v>
      </c>
      <c r="D64">
        <f t="shared" si="0"/>
        <v>203</v>
      </c>
    </row>
    <row r="65" spans="1:4">
      <c r="A65">
        <v>979.68</v>
      </c>
      <c r="B65" t="s">
        <v>71</v>
      </c>
      <c r="C65" t="s">
        <v>72</v>
      </c>
      <c r="D65">
        <f t="shared" si="0"/>
        <v>979.68</v>
      </c>
    </row>
    <row r="66" spans="1:4">
      <c r="D66">
        <f>SUM(D4:D65)</f>
        <v>657275.7300000001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workbookViewId="0">
      <selection activeCell="B1" sqref="B1"/>
    </sheetView>
  </sheetViews>
  <sheetFormatPr defaultColWidth="8.85546875" defaultRowHeight="15"/>
  <cols>
    <col min="3" max="3" width="19.85546875" customWidth="1"/>
    <col min="6" max="6" width="14.42578125" customWidth="1"/>
  </cols>
  <sheetData>
    <row r="1" spans="1:6">
      <c r="A1" s="2" t="s">
        <v>47</v>
      </c>
    </row>
    <row r="2" spans="1:6">
      <c r="A2" s="2"/>
    </row>
    <row r="3" spans="1:6">
      <c r="A3" s="2" t="s">
        <v>48</v>
      </c>
      <c r="B3" s="2" t="s">
        <v>1</v>
      </c>
      <c r="C3" s="2" t="s">
        <v>49</v>
      </c>
      <c r="D3" s="2" t="s">
        <v>50</v>
      </c>
      <c r="F3" s="2"/>
    </row>
    <row r="4" spans="1:6">
      <c r="D4">
        <f>IF(A4&gt;0,A4,0)</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
  <sheetViews>
    <sheetView workbookViewId="0">
      <selection activeCell="B1" sqref="B1"/>
    </sheetView>
  </sheetViews>
  <sheetFormatPr defaultColWidth="8.85546875" defaultRowHeight="15"/>
  <cols>
    <col min="3" max="3" width="19.85546875" customWidth="1"/>
    <col min="6" max="6" width="14.42578125" customWidth="1"/>
  </cols>
  <sheetData>
    <row r="1" spans="1:6">
      <c r="A1" s="2" t="s">
        <v>47</v>
      </c>
    </row>
    <row r="2" spans="1:6">
      <c r="A2" s="2"/>
    </row>
    <row r="3" spans="1:6">
      <c r="A3" s="2" t="s">
        <v>48</v>
      </c>
      <c r="B3" s="2" t="s">
        <v>1</v>
      </c>
      <c r="C3" s="2" t="s">
        <v>49</v>
      </c>
      <c r="D3" s="2" t="s">
        <v>50</v>
      </c>
      <c r="F3" s="2"/>
    </row>
    <row r="4" spans="1:6">
      <c r="D4">
        <f>IF(A4&gt;0,A4,0)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Conversion factors</vt:lpstr>
      <vt:lpstr>Wind_on_800kW</vt:lpstr>
      <vt:lpstr>Wind_on_2MW</vt:lpstr>
      <vt:lpstr>Wind_on_4.5MW</vt:lpstr>
      <vt:lpstr>Wind_on_750kW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2023-11-09T14:20:11Z</dcterms:modified>
</cp:coreProperties>
</file>