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108" yWindow="-108" windowWidth="25836" windowHeight="14016" activeTab="3"/>
  </bookViews>
  <sheets>
    <sheet name="Summary" sheetId="4" r:id="rId1"/>
    <sheet name="GREET" sheetId="1" r:id="rId2"/>
    <sheet name="Pereira et al. 2019" sheetId="3" r:id="rId3"/>
    <sheet name="Gonzalez-Garcia et al. 2012" sheetId="5" r:id="rId4"/>
    <sheet name="Cozzolini 2018" sheetId="6" r:id="rId5"/>
    <sheet name="Parameters" sheetId="2" r:id="rId6"/>
  </sheets>
  <definedNames>
    <definedName name="_xlnm._FilterDatabase" localSheetId="4" hidden="1">'Cozzolini 2018'!$A$1:$N$1031</definedName>
    <definedName name="_xlnm._FilterDatabase" localSheetId="3" hidden="1">'Gonzalez-Garcia et al. 2012'!$A$1:$J$113</definedName>
    <definedName name="_xlnm._FilterDatabase" localSheetId="1" hidden="1">GREET!$A$1:$J$2184</definedName>
    <definedName name="_xlnm._FilterDatabase" localSheetId="2" hidden="1">'Pereira et al. 2019'!$A$1:$J$347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3" i="5" l="1"/>
  <c r="B517" i="6" l="1"/>
  <c r="B521" i="6" l="1"/>
  <c r="B147" i="6"/>
  <c r="B694" i="6" l="1"/>
  <c r="B588" i="6" l="1"/>
  <c r="B405" i="6" l="1"/>
  <c r="B264" i="6"/>
  <c r="M22" i="4" s="1"/>
  <c r="B663" i="6"/>
  <c r="M26" i="4" s="1"/>
  <c r="B1918" i="1"/>
  <c r="B1941" i="1"/>
  <c r="B1964" i="1"/>
  <c r="B19" i="3"/>
  <c r="B74" i="3"/>
  <c r="B20" i="3"/>
  <c r="B207" i="3"/>
  <c r="B206" i="3"/>
  <c r="B186" i="3"/>
  <c r="B185" i="3"/>
  <c r="B165" i="3"/>
  <c r="B164" i="3"/>
  <c r="R16" i="4"/>
  <c r="R15" i="4"/>
  <c r="R14" i="4"/>
  <c r="R13" i="4"/>
  <c r="R12" i="4"/>
  <c r="R11" i="4"/>
  <c r="R10" i="4"/>
  <c r="R9" i="4"/>
  <c r="R8" i="4"/>
  <c r="R7" i="4"/>
  <c r="R6" i="4"/>
  <c r="B252" i="6" l="1"/>
  <c r="B10" i="5" l="1"/>
  <c r="B70" i="3"/>
  <c r="B69" i="3"/>
  <c r="B10" i="3"/>
  <c r="B9" i="3"/>
  <c r="B1827" i="1"/>
  <c r="B1826" i="1"/>
  <c r="B1637" i="1"/>
  <c r="B1636" i="1"/>
  <c r="B1478" i="1"/>
  <c r="B1477" i="1"/>
  <c r="B1279" i="1"/>
  <c r="B1278" i="1"/>
  <c r="B1096" i="1"/>
  <c r="B1095" i="1"/>
  <c r="B932" i="1"/>
  <c r="B931" i="1"/>
  <c r="B728" i="1"/>
  <c r="B727" i="1"/>
  <c r="B387" i="1"/>
  <c r="B386" i="1"/>
  <c r="B186" i="1"/>
  <c r="B185" i="1"/>
  <c r="B12" i="1"/>
  <c r="B11" i="1"/>
  <c r="B1851" i="1" l="1"/>
  <c r="B1850" i="1"/>
  <c r="B1849" i="1"/>
  <c r="B1658" i="1"/>
  <c r="B1657" i="1"/>
  <c r="B1656" i="1"/>
  <c r="B1497" i="1"/>
  <c r="B1496" i="1"/>
  <c r="B1495" i="1"/>
  <c r="B1299" i="1"/>
  <c r="B1298" i="1"/>
  <c r="B1297" i="1"/>
  <c r="B1115" i="1"/>
  <c r="B1114" i="1"/>
  <c r="B1113" i="1"/>
  <c r="B747" i="1"/>
  <c r="B746" i="1"/>
  <c r="B745" i="1"/>
  <c r="B405" i="1"/>
  <c r="B404" i="1"/>
  <c r="B403" i="1"/>
  <c r="B204" i="1"/>
  <c r="B203" i="1"/>
  <c r="B202" i="1"/>
  <c r="B32" i="1"/>
  <c r="B31" i="1"/>
  <c r="B30" i="1"/>
  <c r="L28" i="4" l="1"/>
  <c r="I28" i="4"/>
  <c r="B411" i="6"/>
  <c r="B282" i="6"/>
  <c r="B281" i="6"/>
  <c r="N85" i="4" l="1"/>
  <c r="J85" i="4"/>
  <c r="H85" i="4"/>
  <c r="K57" i="4"/>
  <c r="K85" i="4" s="1"/>
  <c r="I57" i="4"/>
  <c r="I85" i="4" s="1"/>
  <c r="F57" i="4"/>
  <c r="G57" i="4" s="1"/>
  <c r="R28" i="4"/>
  <c r="S28" i="4" s="1"/>
  <c r="B971" i="6"/>
  <c r="O28" i="4" s="1"/>
  <c r="J28" i="4"/>
  <c r="N84" i="4"/>
  <c r="J84" i="4"/>
  <c r="H84" i="4"/>
  <c r="K56" i="4"/>
  <c r="K84" i="4" s="1"/>
  <c r="I56" i="4"/>
  <c r="I84" i="4" s="1"/>
  <c r="R27" i="4"/>
  <c r="Q27" i="4"/>
  <c r="B824" i="6"/>
  <c r="N27" i="4" s="1"/>
  <c r="L27" i="4"/>
  <c r="B922" i="6"/>
  <c r="B885" i="6"/>
  <c r="B827" i="6"/>
  <c r="F27" i="4" s="1"/>
  <c r="J27" i="4" s="1"/>
  <c r="B883" i="6"/>
  <c r="P27" i="4"/>
  <c r="B833" i="6"/>
  <c r="O27" i="4" s="1"/>
  <c r="N83" i="4"/>
  <c r="J83" i="4"/>
  <c r="H83" i="4"/>
  <c r="K55" i="4"/>
  <c r="K83" i="4" s="1"/>
  <c r="I55" i="4"/>
  <c r="B771" i="6"/>
  <c r="B734" i="6"/>
  <c r="B655" i="6"/>
  <c r="N26" i="4" s="1"/>
  <c r="L26" i="4"/>
  <c r="I26" i="4"/>
  <c r="H26" i="4"/>
  <c r="G26" i="4"/>
  <c r="B660" i="6"/>
  <c r="F26" i="4" s="1"/>
  <c r="P26" i="4"/>
  <c r="B667" i="6"/>
  <c r="O26" i="4" s="1"/>
  <c r="B647" i="6"/>
  <c r="N82" i="4"/>
  <c r="J82" i="4"/>
  <c r="I82" i="4"/>
  <c r="H82" i="4"/>
  <c r="K54" i="4"/>
  <c r="L54" i="4" s="1"/>
  <c r="L82" i="4" s="1"/>
  <c r="R25" i="4"/>
  <c r="S25" i="4" s="1"/>
  <c r="K25" i="4"/>
  <c r="I25" i="4"/>
  <c r="J25" i="4" s="1"/>
  <c r="B601" i="6"/>
  <c r="O25" i="4"/>
  <c r="N81" i="4"/>
  <c r="J81" i="4"/>
  <c r="I81" i="4"/>
  <c r="H81" i="4"/>
  <c r="L137" i="4"/>
  <c r="L138" i="4"/>
  <c r="L141" i="4"/>
  <c r="L142" i="4"/>
  <c r="K53" i="4"/>
  <c r="L53" i="4" s="1"/>
  <c r="L81" i="4" s="1"/>
  <c r="B520" i="6"/>
  <c r="B535" i="6" s="1"/>
  <c r="Q24" i="4"/>
  <c r="R24" i="4"/>
  <c r="K24" i="4"/>
  <c r="J24" i="4"/>
  <c r="O24" i="4"/>
  <c r="B28" i="6"/>
  <c r="O20" i="4" s="1"/>
  <c r="B190"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4" i="6" s="1"/>
  <c r="B186" i="6"/>
  <c r="B203" i="6" s="1"/>
  <c r="F50" i="4" s="1"/>
  <c r="B273" i="6"/>
  <c r="B343" i="6" s="1"/>
  <c r="F51" i="4" s="1"/>
  <c r="B274" i="6"/>
  <c r="O22" i="4" s="1"/>
  <c r="R23" i="4"/>
  <c r="Q23" i="4"/>
  <c r="B400" i="6"/>
  <c r="N23" i="4" s="1"/>
  <c r="L23" i="4"/>
  <c r="B412" i="6"/>
  <c r="B413" i="6"/>
  <c r="P23" i="4"/>
  <c r="B410" i="6"/>
  <c r="O23" i="4" s="1"/>
  <c r="B409" i="6"/>
  <c r="K23" i="4" s="1"/>
  <c r="I23" i="4"/>
  <c r="F23" i="4"/>
  <c r="B469" i="6"/>
  <c r="F52" i="4" s="1"/>
  <c r="K50" i="4"/>
  <c r="L50" i="4" s="1"/>
  <c r="L78" i="4" s="1"/>
  <c r="R21" i="4"/>
  <c r="Q21" i="4"/>
  <c r="K21" i="4"/>
  <c r="F21" i="4"/>
  <c r="I21" i="4"/>
  <c r="B27" i="5"/>
  <c r="K51" i="4"/>
  <c r="K79" i="4" s="1"/>
  <c r="I51" i="4"/>
  <c r="I79" i="4" s="1"/>
  <c r="R22" i="4"/>
  <c r="Q22" i="4"/>
  <c r="B277" i="6"/>
  <c r="B276" i="6"/>
  <c r="B275" i="6"/>
  <c r="P22" i="4" s="1"/>
  <c r="B263" i="6"/>
  <c r="N22" i="4" s="1"/>
  <c r="L22" i="4"/>
  <c r="B272" i="6"/>
  <c r="K22" i="4" s="1"/>
  <c r="I22" i="4"/>
  <c r="H22" i="4"/>
  <c r="B268" i="6"/>
  <c r="F22" i="4" s="1"/>
  <c r="L99" i="4"/>
  <c r="L100" i="4"/>
  <c r="L104" i="4"/>
  <c r="L48" i="4"/>
  <c r="L76" i="4" s="1"/>
  <c r="K49" i="4"/>
  <c r="L49" i="4" s="1"/>
  <c r="L77" i="4" s="1"/>
  <c r="N20" i="4"/>
  <c r="P20" i="4"/>
  <c r="S20" i="4"/>
  <c r="L20" i="4"/>
  <c r="K20" i="4"/>
  <c r="F20" i="4"/>
  <c r="I20" i="4"/>
  <c r="H20" i="4"/>
  <c r="F80" i="4" l="1"/>
  <c r="G52" i="4"/>
  <c r="F78" i="4"/>
  <c r="G50" i="4"/>
  <c r="F79" i="4"/>
  <c r="G51" i="4"/>
  <c r="M49" i="4"/>
  <c r="M77" i="4" s="1"/>
  <c r="B1009" i="6"/>
  <c r="M57" i="4" s="1"/>
  <c r="M85" i="4" s="1"/>
  <c r="G85" i="4"/>
  <c r="L57" i="4"/>
  <c r="L85" i="4" s="1"/>
  <c r="F85" i="4"/>
  <c r="B935" i="6"/>
  <c r="M56" i="4" s="1"/>
  <c r="M84" i="4" s="1"/>
  <c r="F56" i="4"/>
  <c r="S27" i="4"/>
  <c r="L56" i="4"/>
  <c r="L84" i="4" s="1"/>
  <c r="L55" i="4"/>
  <c r="L83" i="4" s="1"/>
  <c r="I83" i="4"/>
  <c r="F55" i="4"/>
  <c r="B785" i="6"/>
  <c r="M55" i="4" s="1"/>
  <c r="M83" i="4" s="1"/>
  <c r="S26" i="4"/>
  <c r="J26" i="4"/>
  <c r="B615" i="6"/>
  <c r="M54" i="4" s="1"/>
  <c r="M82" i="4" s="1"/>
  <c r="F54" i="4"/>
  <c r="K82" i="4"/>
  <c r="B545" i="6"/>
  <c r="M53" i="4" s="1"/>
  <c r="M81" i="4" s="1"/>
  <c r="F53" i="4"/>
  <c r="K81" i="4"/>
  <c r="S24" i="4"/>
  <c r="L52" i="4"/>
  <c r="L80" i="4" s="1"/>
  <c r="B479" i="6"/>
  <c r="M52" i="4" s="1"/>
  <c r="M80" i="4" s="1"/>
  <c r="B360" i="6"/>
  <c r="M51" i="4" s="1"/>
  <c r="M79" i="4" s="1"/>
  <c r="K77" i="4"/>
  <c r="I80" i="4"/>
  <c r="K78" i="4"/>
  <c r="B219" i="6"/>
  <c r="M50" i="4" s="1"/>
  <c r="M78" i="4" s="1"/>
  <c r="J23" i="4"/>
  <c r="S23" i="4"/>
  <c r="J21" i="4"/>
  <c r="S21" i="4"/>
  <c r="P50" i="4" s="1"/>
  <c r="L51" i="4"/>
  <c r="L79" i="4" s="1"/>
  <c r="S22" i="4"/>
  <c r="J22" i="4"/>
  <c r="F49" i="4"/>
  <c r="J20" i="4"/>
  <c r="M48" i="4"/>
  <c r="M76" i="4" s="1"/>
  <c r="B89" i="5"/>
  <c r="B88" i="5"/>
  <c r="B87" i="5"/>
  <c r="B86" i="5"/>
  <c r="F48" i="4"/>
  <c r="R19" i="4"/>
  <c r="S19" i="4" s="1"/>
  <c r="B17" i="5"/>
  <c r="F19" i="4" s="1"/>
  <c r="B82" i="5"/>
  <c r="B81" i="5"/>
  <c r="B80" i="5"/>
  <c r="B79" i="5"/>
  <c r="B45" i="5"/>
  <c r="B44" i="5"/>
  <c r="B43" i="5"/>
  <c r="B23" i="5"/>
  <c r="M19" i="4" s="1"/>
  <c r="B19" i="5"/>
  <c r="K19" i="4" s="1"/>
  <c r="B26" i="5"/>
  <c r="P19" i="4"/>
  <c r="B29" i="5"/>
  <c r="B28" i="5"/>
  <c r="B1856" i="1"/>
  <c r="B1855" i="1"/>
  <c r="B25" i="5"/>
  <c r="O19" i="4" s="1"/>
  <c r="B22" i="5"/>
  <c r="B21" i="5"/>
  <c r="B20" i="5"/>
  <c r="B24" i="5"/>
  <c r="B18" i="5"/>
  <c r="I19" i="4" s="1"/>
  <c r="B1398" i="1"/>
  <c r="W157" i="4"/>
  <c r="U158" i="4"/>
  <c r="T158" i="4"/>
  <c r="S158" i="4"/>
  <c r="Q158" i="4"/>
  <c r="N158" i="4"/>
  <c r="J158" i="4"/>
  <c r="H158" i="4"/>
  <c r="N120" i="4"/>
  <c r="H120" i="4"/>
  <c r="J120" i="4"/>
  <c r="B2012" i="1"/>
  <c r="I45" i="4" s="1"/>
  <c r="I73" i="4" s="1"/>
  <c r="B1989" i="1"/>
  <c r="I102" i="4" s="1"/>
  <c r="B1919" i="1"/>
  <c r="B2043" i="1"/>
  <c r="B2041" i="1"/>
  <c r="B2040" i="1"/>
  <c r="B2039" i="1"/>
  <c r="B2038" i="1"/>
  <c r="B2037" i="1"/>
  <c r="B2035" i="1"/>
  <c r="I140" i="4" s="1"/>
  <c r="B2020" i="1"/>
  <c r="B2018" i="1"/>
  <c r="B2017" i="1"/>
  <c r="B2016" i="1"/>
  <c r="B2015" i="1"/>
  <c r="B2014" i="1"/>
  <c r="B1997" i="1"/>
  <c r="B1995" i="1"/>
  <c r="B1994" i="1"/>
  <c r="B1993" i="1"/>
  <c r="B1992" i="1"/>
  <c r="B1991" i="1"/>
  <c r="B1942" i="1"/>
  <c r="B1965" i="1"/>
  <c r="B1388" i="1"/>
  <c r="B1365" i="1"/>
  <c r="B1342" i="1"/>
  <c r="F82" i="4" l="1"/>
  <c r="G54" i="4"/>
  <c r="G82" i="4" s="1"/>
  <c r="P82" i="4" s="1"/>
  <c r="F77" i="4"/>
  <c r="G49" i="4"/>
  <c r="F84" i="4"/>
  <c r="G56" i="4"/>
  <c r="G84" i="4" s="1"/>
  <c r="F76" i="4"/>
  <c r="G48" i="4"/>
  <c r="F81" i="4"/>
  <c r="G53" i="4"/>
  <c r="G81" i="4" s="1"/>
  <c r="F83" i="4"/>
  <c r="G55" i="4"/>
  <c r="G83" i="4" s="1"/>
  <c r="P85" i="4"/>
  <c r="O57" i="4"/>
  <c r="B989" i="6" s="1"/>
  <c r="P57" i="4"/>
  <c r="O85" i="4"/>
  <c r="G80" i="4"/>
  <c r="P80" i="4" s="1"/>
  <c r="O52" i="4"/>
  <c r="B465" i="6" s="1"/>
  <c r="P52" i="4"/>
  <c r="G79" i="4"/>
  <c r="P79" i="4" s="1"/>
  <c r="P51" i="4"/>
  <c r="O50" i="4"/>
  <c r="B199" i="6" s="1"/>
  <c r="G78" i="4"/>
  <c r="P49" i="4"/>
  <c r="O51" i="4"/>
  <c r="B339" i="6" s="1"/>
  <c r="L19" i="4"/>
  <c r="J19" i="4"/>
  <c r="I158" i="4"/>
  <c r="I120" i="4"/>
  <c r="O56" i="4" l="1"/>
  <c r="B918" i="6" s="1"/>
  <c r="P56" i="4"/>
  <c r="P84" i="4"/>
  <c r="O84" i="4"/>
  <c r="O55" i="4"/>
  <c r="B767" i="6" s="1"/>
  <c r="P55" i="4"/>
  <c r="O83" i="4"/>
  <c r="P83" i="4"/>
  <c r="O82" i="4"/>
  <c r="O54" i="4"/>
  <c r="B597" i="6" s="1"/>
  <c r="P54" i="4"/>
  <c r="G76" i="4"/>
  <c r="P76" i="4" s="1"/>
  <c r="P48" i="4"/>
  <c r="O80" i="4"/>
  <c r="O53" i="4"/>
  <c r="B531" i="6" s="1"/>
  <c r="P53" i="4"/>
  <c r="O78" i="4"/>
  <c r="P78" i="4"/>
  <c r="O79" i="4"/>
  <c r="P81" i="4"/>
  <c r="O81" i="4"/>
  <c r="G77" i="4"/>
  <c r="O49" i="4"/>
  <c r="B130" i="6" s="1"/>
  <c r="O48" i="4"/>
  <c r="B74" i="5" s="1"/>
  <c r="B1109" i="1"/>
  <c r="B1110" i="1"/>
  <c r="B397" i="1"/>
  <c r="B196" i="1"/>
  <c r="B197" i="1"/>
  <c r="O77" i="4" l="1"/>
  <c r="P77" i="4"/>
  <c r="O76" i="4"/>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201" i="3"/>
  <c r="F142"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9" i="3"/>
  <c r="Q142" i="4" s="1"/>
  <c r="Q160" i="4" s="1"/>
  <c r="B205" i="3"/>
  <c r="B204" i="3"/>
  <c r="B203" i="3"/>
  <c r="B202" i="3"/>
  <c r="B138" i="3"/>
  <c r="B145" i="3" s="1"/>
  <c r="Q141" i="4" s="1"/>
  <c r="Q159" i="4" s="1"/>
  <c r="B137" i="3"/>
  <c r="B1970" i="1"/>
  <c r="B1969" i="1"/>
  <c r="B1968" i="1"/>
  <c r="B1967" i="1"/>
  <c r="B1966" i="1"/>
  <c r="K139" i="4"/>
  <c r="K157" i="4" s="1"/>
  <c r="J157" i="4"/>
  <c r="I139" i="4"/>
  <c r="B1972" i="1"/>
  <c r="B1747" i="1"/>
  <c r="Q138" i="4" s="1"/>
  <c r="Q156" i="4" s="1"/>
  <c r="B1744" i="1"/>
  <c r="B1743" i="1"/>
  <c r="B1742" i="1"/>
  <c r="B1741" i="1"/>
  <c r="B1740" i="1"/>
  <c r="B1720" i="1"/>
  <c r="B1746" i="1"/>
  <c r="B1580" i="1"/>
  <c r="U137" i="4" s="1"/>
  <c r="U155" i="4" s="1"/>
  <c r="B1579" i="1"/>
  <c r="T137" i="4" s="1"/>
  <c r="T155" i="4" s="1"/>
  <c r="B1578" i="1"/>
  <c r="S137" i="4" s="1"/>
  <c r="S155" i="4" s="1"/>
  <c r="R136" i="4"/>
  <c r="R154" i="4" s="1"/>
  <c r="B1577" i="1"/>
  <c r="Q137" i="4" s="1"/>
  <c r="Q155" i="4" s="1"/>
  <c r="B1574" i="1"/>
  <c r="B1573" i="1"/>
  <c r="F137" i="4" s="1"/>
  <c r="G137" i="4" s="1"/>
  <c r="B1556" i="1"/>
  <c r="B1576" i="1"/>
  <c r="B1397" i="1"/>
  <c r="Q136" i="4" s="1"/>
  <c r="Q154" i="4" s="1"/>
  <c r="B1394" i="1"/>
  <c r="B1393" i="1"/>
  <c r="B1392" i="1"/>
  <c r="B1391" i="1"/>
  <c r="B1390" i="1"/>
  <c r="B1389" i="1"/>
  <c r="K136" i="4" s="1"/>
  <c r="K154" i="4" s="1"/>
  <c r="I136" i="4"/>
  <c r="B1396" i="1"/>
  <c r="B1199" i="1"/>
  <c r="Q135" i="4" s="1"/>
  <c r="Q153" i="4" s="1"/>
  <c r="B1196" i="1"/>
  <c r="B1195" i="1"/>
  <c r="H135" i="4" s="1"/>
  <c r="B1194" i="1"/>
  <c r="B1198" i="1"/>
  <c r="B1016" i="1"/>
  <c r="Q134" i="4" s="1"/>
  <c r="Q152" i="4" s="1"/>
  <c r="B1013" i="1"/>
  <c r="B1012" i="1"/>
  <c r="B1011" i="1"/>
  <c r="B1010" i="1"/>
  <c r="B1009" i="1"/>
  <c r="B1008" i="1"/>
  <c r="B1007" i="1"/>
  <c r="B1006" i="1"/>
  <c r="H134" i="4" s="1"/>
  <c r="B1005" i="1"/>
  <c r="F134" i="4" s="1"/>
  <c r="G134" i="4" s="1"/>
  <c r="B1015" i="1"/>
  <c r="B852" i="1"/>
  <c r="Q133" i="4" s="1"/>
  <c r="Q151" i="4" s="1"/>
  <c r="B849" i="1"/>
  <c r="B848" i="1"/>
  <c r="B847" i="1"/>
  <c r="B846" i="1"/>
  <c r="B845" i="1"/>
  <c r="B844" i="1"/>
  <c r="B843" i="1"/>
  <c r="B842" i="1"/>
  <c r="H133" i="4" s="1"/>
  <c r="B841" i="1"/>
  <c r="B851" i="1"/>
  <c r="B648" i="1"/>
  <c r="Q132" i="4" s="1"/>
  <c r="Q150" i="4" s="1"/>
  <c r="B645" i="1"/>
  <c r="B644" i="1"/>
  <c r="H132" i="4" s="1"/>
  <c r="B643" i="1"/>
  <c r="B646" i="1"/>
  <c r="B506" i="1"/>
  <c r="Q131" i="4" s="1"/>
  <c r="Q149" i="4" s="1"/>
  <c r="B503" i="1"/>
  <c r="B502" i="1"/>
  <c r="B501" i="1"/>
  <c r="B500" i="1"/>
  <c r="B499" i="1"/>
  <c r="B498" i="1"/>
  <c r="H131" i="4" s="1"/>
  <c r="B497" i="1"/>
  <c r="B505" i="1"/>
  <c r="B106" i="1"/>
  <c r="Q129" i="4" s="1"/>
  <c r="Q147" i="4" s="1"/>
  <c r="B307" i="1"/>
  <c r="Q130" i="4" s="1"/>
  <c r="Q148" i="4" s="1"/>
  <c r="B301" i="1"/>
  <c r="B300" i="1"/>
  <c r="B299" i="1"/>
  <c r="B298" i="1"/>
  <c r="B297" i="1"/>
  <c r="H130" i="4" s="1"/>
  <c r="L130" i="4" s="1"/>
  <c r="B296" i="1"/>
  <c r="F130" i="4" s="1"/>
  <c r="G130" i="4" s="1"/>
  <c r="B306" i="1"/>
  <c r="B304" i="1"/>
  <c r="B303" i="1"/>
  <c r="B302" i="1"/>
  <c r="B103" i="1"/>
  <c r="B102" i="1"/>
  <c r="B101" i="1"/>
  <c r="B100" i="1"/>
  <c r="B99" i="1"/>
  <c r="B98" i="1"/>
  <c r="B97" i="1"/>
  <c r="B96" i="1"/>
  <c r="H129" i="4" s="1"/>
  <c r="B95" i="1"/>
  <c r="F129" i="4" s="1"/>
  <c r="G129" i="4" s="1"/>
  <c r="B105" i="1"/>
  <c r="B1949" i="1"/>
  <c r="B1926" i="1"/>
  <c r="B1726" i="1"/>
  <c r="B1706" i="1"/>
  <c r="B1559" i="1"/>
  <c r="B1542" i="1"/>
  <c r="B1373" i="1"/>
  <c r="B1350" i="1"/>
  <c r="B1180" i="1"/>
  <c r="B1162" i="1"/>
  <c r="B991" i="1"/>
  <c r="B967" i="1"/>
  <c r="B827" i="1"/>
  <c r="B803" i="1"/>
  <c r="B628" i="1"/>
  <c r="B611" i="1"/>
  <c r="B483" i="1"/>
  <c r="B461" i="1"/>
  <c r="B282" i="1"/>
  <c r="B260" i="1"/>
  <c r="B81" i="1"/>
  <c r="B56" i="1"/>
  <c r="B95" i="3"/>
  <c r="L47" i="4"/>
  <c r="L75" i="4" s="1"/>
  <c r="H46" i="4"/>
  <c r="H74" i="4" s="1"/>
  <c r="L43" i="4"/>
  <c r="L71" i="4" s="1"/>
  <c r="L42" i="4"/>
  <c r="L70" i="4" s="1"/>
  <c r="F160" i="4" l="1"/>
  <c r="G142" i="4"/>
  <c r="L139" i="4"/>
  <c r="L157" i="4" s="1"/>
  <c r="H150" i="4"/>
  <c r="L132" i="4"/>
  <c r="L150" i="4" s="1"/>
  <c r="L134" i="4"/>
  <c r="L152" i="4" s="1"/>
  <c r="H147" i="4"/>
  <c r="L129" i="4"/>
  <c r="L147" i="4" s="1"/>
  <c r="H151" i="4"/>
  <c r="L133" i="4"/>
  <c r="L131" i="4"/>
  <c r="L149" i="4" s="1"/>
  <c r="L135" i="4"/>
  <c r="L153" i="4" s="1"/>
  <c r="I154" i="4"/>
  <c r="L136" i="4"/>
  <c r="L154" i="4" s="1"/>
  <c r="L46" i="4"/>
  <c r="L74" i="4" s="1"/>
  <c r="I157" i="4"/>
  <c r="F155" i="4"/>
  <c r="F141" i="4"/>
  <c r="H148" i="4"/>
  <c r="L148" i="4"/>
  <c r="F138" i="4"/>
  <c r="G138" i="4" s="1"/>
  <c r="F131" i="4"/>
  <c r="G131" i="4" s="1"/>
  <c r="F132" i="4"/>
  <c r="G132" i="4" s="1"/>
  <c r="F133" i="4"/>
  <c r="G133" i="4" s="1"/>
  <c r="F135" i="4"/>
  <c r="G135" i="4" s="1"/>
  <c r="H153" i="4"/>
  <c r="F152" i="4"/>
  <c r="F148" i="4"/>
  <c r="F147" i="4"/>
  <c r="H149" i="4"/>
  <c r="H152" i="4"/>
  <c r="H159" i="4"/>
  <c r="S7" i="4"/>
  <c r="P130" i="4" s="1"/>
  <c r="S8" i="4"/>
  <c r="S9" i="4"/>
  <c r="S10" i="4"/>
  <c r="S11" i="4"/>
  <c r="S12" i="4"/>
  <c r="S13" i="4"/>
  <c r="S14" i="4"/>
  <c r="P137" i="4" s="1"/>
  <c r="S15" i="4"/>
  <c r="S16" i="4"/>
  <c r="S17" i="4"/>
  <c r="S18" i="4"/>
  <c r="S6" i="4"/>
  <c r="B1343" i="1"/>
  <c r="K98" i="4" s="1"/>
  <c r="K116" i="4" s="1"/>
  <c r="E7" i="2"/>
  <c r="E8" i="2"/>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B942" i="1"/>
  <c r="B1320" i="1"/>
  <c r="O13" i="4" s="1"/>
  <c r="B1518" i="1"/>
  <c r="O14" i="4" s="1"/>
  <c r="B1679" i="1"/>
  <c r="O15" i="4" s="1"/>
  <c r="B209" i="1"/>
  <c r="B25" i="1"/>
  <c r="B1644" i="1"/>
  <c r="B1485" i="1"/>
  <c r="B1286" i="1"/>
  <c r="B1103" i="1"/>
  <c r="B733" i="1"/>
  <c r="P18" i="4"/>
  <c r="O18" i="4"/>
  <c r="P17" i="4"/>
  <c r="O17" i="4"/>
  <c r="O16" i="4"/>
  <c r="P15" i="4"/>
  <c r="P14" i="4"/>
  <c r="P13" i="4"/>
  <c r="P12" i="4"/>
  <c r="O12" i="4"/>
  <c r="P10" i="4"/>
  <c r="O10" i="4"/>
  <c r="O9" i="4"/>
  <c r="P8" i="4"/>
  <c r="O8" i="4"/>
  <c r="P7" i="4"/>
  <c r="B27" i="1"/>
  <c r="P6" i="4" s="1"/>
  <c r="F159" i="4" l="1"/>
  <c r="G141" i="4"/>
  <c r="P129" i="4"/>
  <c r="P134" i="4"/>
  <c r="L151" i="4"/>
  <c r="G147" i="4"/>
  <c r="P147" i="4" s="1"/>
  <c r="O129" i="4"/>
  <c r="B91" i="1" s="1"/>
  <c r="O134" i="4"/>
  <c r="B1001" i="1" s="1"/>
  <c r="G152" i="4"/>
  <c r="O152" i="4" s="1"/>
  <c r="G148" i="4"/>
  <c r="P148" i="4" s="1"/>
  <c r="P141" i="4"/>
  <c r="G155" i="4"/>
  <c r="P155" i="4" s="1"/>
  <c r="F150" i="4"/>
  <c r="O130" i="4"/>
  <c r="B292" i="1" s="1"/>
  <c r="O137" i="4"/>
  <c r="B1569" i="1" s="1"/>
  <c r="F151" i="4"/>
  <c r="P133" i="4"/>
  <c r="P135" i="4"/>
  <c r="F153" i="4"/>
  <c r="F149" i="4"/>
  <c r="P131" i="4"/>
  <c r="F156" i="4"/>
  <c r="P138" i="4"/>
  <c r="I98" i="4"/>
  <c r="B1724" i="1"/>
  <c r="B1723" i="1"/>
  <c r="B1722" i="1"/>
  <c r="B1721" i="1"/>
  <c r="B1700" i="1"/>
  <c r="B1701" i="1"/>
  <c r="B1702" i="1"/>
  <c r="B1703" i="1"/>
  <c r="B1704" i="1"/>
  <c r="B1557" i="1"/>
  <c r="B1540" i="1"/>
  <c r="B1539" i="1"/>
  <c r="B1371" i="1"/>
  <c r="B1370" i="1"/>
  <c r="B1369" i="1"/>
  <c r="B1368" i="1"/>
  <c r="B1367" i="1"/>
  <c r="B1366" i="1"/>
  <c r="K41" i="4" s="1"/>
  <c r="K69" i="4" s="1"/>
  <c r="I41" i="4"/>
  <c r="I69" i="4" s="1"/>
  <c r="B1348" i="1"/>
  <c r="B1347" i="1"/>
  <c r="B1346" i="1"/>
  <c r="B1345" i="1"/>
  <c r="B1344" i="1"/>
  <c r="B1947" i="1"/>
  <c r="B1946" i="1"/>
  <c r="B1945" i="1"/>
  <c r="B1944" i="1"/>
  <c r="B1943" i="1"/>
  <c r="K44" i="4"/>
  <c r="K72" i="4" s="1"/>
  <c r="I44" i="4"/>
  <c r="I72" i="4" s="1"/>
  <c r="I101" i="4"/>
  <c r="K101" i="4"/>
  <c r="K119" i="4" s="1"/>
  <c r="B1920" i="1"/>
  <c r="B1921" i="1"/>
  <c r="B1922" i="1"/>
  <c r="B1923" i="1"/>
  <c r="B1924" i="1"/>
  <c r="O142" i="4" l="1"/>
  <c r="B197" i="3" s="1"/>
  <c r="P142" i="4"/>
  <c r="O132" i="4"/>
  <c r="B639" i="1" s="1"/>
  <c r="P132" i="4"/>
  <c r="O147" i="4"/>
  <c r="L101" i="4"/>
  <c r="L119" i="4" s="1"/>
  <c r="I116" i="4"/>
  <c r="L98" i="4"/>
  <c r="L116" i="4" s="1"/>
  <c r="O155" i="4"/>
  <c r="P152" i="4"/>
  <c r="G150" i="4"/>
  <c r="O150" i="4" s="1"/>
  <c r="G149" i="4"/>
  <c r="O149" i="4" s="1"/>
  <c r="O148" i="4"/>
  <c r="O131" i="4"/>
  <c r="G159" i="4"/>
  <c r="O141" i="4"/>
  <c r="B133" i="3" s="1"/>
  <c r="G160" i="4"/>
  <c r="P160" i="4" s="1"/>
  <c r="O135" i="4"/>
  <c r="B1190" i="1" s="1"/>
  <c r="G153" i="4"/>
  <c r="P153" i="4" s="1"/>
  <c r="G156" i="4"/>
  <c r="O138" i="4"/>
  <c r="B1736" i="1" s="1"/>
  <c r="G151" i="4"/>
  <c r="O133" i="4"/>
  <c r="B837" i="1" s="1"/>
  <c r="I119" i="4"/>
  <c r="L41" i="4"/>
  <c r="L69" i="4" s="1"/>
  <c r="B1705" i="1"/>
  <c r="M100" i="4" s="1"/>
  <c r="M118" i="4" s="1"/>
  <c r="F100" i="4"/>
  <c r="G100" i="4" s="1"/>
  <c r="L44" i="4"/>
  <c r="L72" i="4" s="1"/>
  <c r="B1541" i="1"/>
  <c r="M99" i="4" s="1"/>
  <c r="M117" i="4" s="1"/>
  <c r="F99" i="4"/>
  <c r="G99" i="4" s="1"/>
  <c r="B1725" i="1"/>
  <c r="M43" i="4" s="1"/>
  <c r="M71" i="4" s="1"/>
  <c r="F43" i="4"/>
  <c r="B1558" i="1"/>
  <c r="M42" i="4" s="1"/>
  <c r="M70" i="4" s="1"/>
  <c r="F42" i="4"/>
  <c r="B13" i="2"/>
  <c r="F59" i="2"/>
  <c r="E59" i="2"/>
  <c r="H21" i="2"/>
  <c r="G21" i="2"/>
  <c r="F21" i="2"/>
  <c r="E21" i="2"/>
  <c r="D21" i="2"/>
  <c r="C21" i="2"/>
  <c r="C40" i="2"/>
  <c r="C56" i="2"/>
  <c r="F70" i="4" l="1"/>
  <c r="G42" i="4"/>
  <c r="F71" i="4"/>
  <c r="G43" i="4"/>
  <c r="B1973" i="1"/>
  <c r="R139" i="4" s="1"/>
  <c r="R157" i="4" s="1"/>
  <c r="B2044" i="1"/>
  <c r="R140" i="4" s="1"/>
  <c r="R158" i="4" s="1"/>
  <c r="B504" i="1"/>
  <c r="M131" i="4" s="1"/>
  <c r="M149" i="4" s="1"/>
  <c r="B1197" i="1"/>
  <c r="M135" i="4" s="1"/>
  <c r="M153" i="4" s="1"/>
  <c r="B647" i="1"/>
  <c r="M132" i="4" s="1"/>
  <c r="M150" i="4" s="1"/>
  <c r="B144" i="3"/>
  <c r="M141" i="4" s="1"/>
  <c r="M159" i="4" s="1"/>
  <c r="B850" i="1"/>
  <c r="M133" i="4" s="1"/>
  <c r="M151" i="4" s="1"/>
  <c r="B1745" i="1"/>
  <c r="M138" i="4" s="1"/>
  <c r="M156" i="4" s="1"/>
  <c r="B305" i="1"/>
  <c r="M130" i="4" s="1"/>
  <c r="M148" i="4" s="1"/>
  <c r="B208" i="3"/>
  <c r="M142" i="4" s="1"/>
  <c r="M160" i="4" s="1"/>
  <c r="B1014" i="1"/>
  <c r="M134" i="4" s="1"/>
  <c r="M152" i="4" s="1"/>
  <c r="B104" i="1"/>
  <c r="M129" i="4" s="1"/>
  <c r="M147" i="4" s="1"/>
  <c r="B1575" i="1"/>
  <c r="M137" i="4" s="1"/>
  <c r="M155" i="4" s="1"/>
  <c r="O160" i="4"/>
  <c r="P150" i="4"/>
  <c r="P149" i="4"/>
  <c r="O159" i="4"/>
  <c r="P159" i="4"/>
  <c r="O153" i="4"/>
  <c r="P151" i="4"/>
  <c r="O151" i="4"/>
  <c r="P156" i="4"/>
  <c r="O156" i="4"/>
  <c r="F117" i="4"/>
  <c r="P99" i="4"/>
  <c r="F118" i="4"/>
  <c r="P100" i="4"/>
  <c r="D47" i="2"/>
  <c r="D32" i="2"/>
  <c r="B48" i="2"/>
  <c r="D48" i="2" s="1"/>
  <c r="B45" i="2"/>
  <c r="G70" i="4" l="1"/>
  <c r="P70" i="4" s="1"/>
  <c r="P42" i="4"/>
  <c r="P43" i="4"/>
  <c r="G71" i="4"/>
  <c r="P71" i="4" s="1"/>
  <c r="G118" i="4"/>
  <c r="P118" i="4" s="1"/>
  <c r="O100" i="4"/>
  <c r="B1696" i="1" s="1"/>
  <c r="O42" i="4"/>
  <c r="B1552" i="1" s="1"/>
  <c r="O99" i="4"/>
  <c r="B1535" i="1" s="1"/>
  <c r="G117" i="4"/>
  <c r="P117" i="4" s="1"/>
  <c r="O43" i="4"/>
  <c r="B1716" i="1" s="1"/>
  <c r="F48" i="2"/>
  <c r="F47" i="2"/>
  <c r="G47" i="2"/>
  <c r="B1176" i="1" s="1"/>
  <c r="O118" i="4" l="1"/>
  <c r="O70" i="4"/>
  <c r="O71" i="4"/>
  <c r="O117" i="4"/>
  <c r="G48" i="2"/>
  <c r="B1178" i="1"/>
  <c r="B1177" i="1"/>
  <c r="H40" i="4" s="1"/>
  <c r="H68" i="4" s="1"/>
  <c r="B1160" i="1"/>
  <c r="B1158" i="1"/>
  <c r="B1159" i="1"/>
  <c r="H97" i="4" s="1"/>
  <c r="L97" i="4" s="1"/>
  <c r="B217" i="1"/>
  <c r="O6" i="4"/>
  <c r="O7" i="4"/>
  <c r="O11" i="4"/>
  <c r="H115" i="4" l="1"/>
  <c r="L115" i="4"/>
  <c r="B1179" i="1"/>
  <c r="M40" i="4" s="1"/>
  <c r="M68" i="4" s="1"/>
  <c r="F40" i="4"/>
  <c r="B1161" i="1"/>
  <c r="M97" i="4" s="1"/>
  <c r="M115" i="4" s="1"/>
  <c r="F97" i="4"/>
  <c r="G97" i="4" s="1"/>
  <c r="L40" i="4"/>
  <c r="L68" i="4" s="1"/>
  <c r="B181" i="3"/>
  <c r="B22" i="3"/>
  <c r="B23" i="3"/>
  <c r="B24" i="3"/>
  <c r="B116" i="3"/>
  <c r="B160" i="3"/>
  <c r="B85" i="2"/>
  <c r="G85" i="2" s="1"/>
  <c r="B117" i="3" s="1"/>
  <c r="B86" i="2"/>
  <c r="D86" i="2" s="1"/>
  <c r="D78" i="2"/>
  <c r="D79" i="2"/>
  <c r="B93" i="2" s="1"/>
  <c r="B76" i="3"/>
  <c r="K18" i="4" s="1"/>
  <c r="B75" i="3"/>
  <c r="B25" i="3"/>
  <c r="B21" i="3"/>
  <c r="K17" i="4" s="1"/>
  <c r="F17" i="4"/>
  <c r="J17" i="4" s="1"/>
  <c r="M17" i="4"/>
  <c r="B18" i="3"/>
  <c r="N17" i="4" s="1"/>
  <c r="B17" i="3"/>
  <c r="B16" i="3"/>
  <c r="B15" i="3"/>
  <c r="B14" i="3"/>
  <c r="L17" i="4" s="1"/>
  <c r="F68" i="4" l="1"/>
  <c r="G40" i="4"/>
  <c r="H103" i="4"/>
  <c r="L103" i="4" s="1"/>
  <c r="F18" i="4"/>
  <c r="J18" i="4" s="1"/>
  <c r="B94" i="2"/>
  <c r="D94" i="2" s="1"/>
  <c r="F115" i="4"/>
  <c r="P97" i="4"/>
  <c r="G86" i="2"/>
  <c r="B122" i="3"/>
  <c r="B118" i="3"/>
  <c r="B120" i="3"/>
  <c r="B119" i="3"/>
  <c r="B121" i="3"/>
  <c r="F86" i="2"/>
  <c r="G93" i="2"/>
  <c r="D93" i="2"/>
  <c r="F93" i="2" s="1"/>
  <c r="D85" i="2"/>
  <c r="F85" i="2" s="1"/>
  <c r="B33" i="2"/>
  <c r="B30" i="2"/>
  <c r="B29" i="1"/>
  <c r="B28" i="1"/>
  <c r="P16" i="4"/>
  <c r="G68" i="4" l="1"/>
  <c r="P68" i="4" s="1"/>
  <c r="P40" i="4"/>
  <c r="B162" i="3"/>
  <c r="B159" i="3"/>
  <c r="F104" i="4" s="1"/>
  <c r="G104" i="4" s="1"/>
  <c r="B180" i="3"/>
  <c r="B183" i="3"/>
  <c r="B140" i="3"/>
  <c r="B142" i="3"/>
  <c r="B141" i="3"/>
  <c r="B143" i="3"/>
  <c r="B139" i="3"/>
  <c r="L121" i="4"/>
  <c r="H121" i="4"/>
  <c r="G115" i="4"/>
  <c r="P115" i="4" s="1"/>
  <c r="O97" i="4"/>
  <c r="B1154" i="1" s="1"/>
  <c r="O40" i="4"/>
  <c r="B1172" i="1" s="1"/>
  <c r="B123" i="3"/>
  <c r="M46" i="4" s="1"/>
  <c r="M74" i="4" s="1"/>
  <c r="F46" i="4"/>
  <c r="D33" i="2"/>
  <c r="G32" i="2"/>
  <c r="B166" i="3"/>
  <c r="M104" i="4" s="1"/>
  <c r="M122" i="4" s="1"/>
  <c r="B163" i="3"/>
  <c r="B161" i="3"/>
  <c r="B100" i="3"/>
  <c r="B99" i="3"/>
  <c r="B101" i="3"/>
  <c r="B97" i="3"/>
  <c r="B98" i="3"/>
  <c r="B96" i="3"/>
  <c r="G94" i="2"/>
  <c r="B184" i="3"/>
  <c r="B182" i="3"/>
  <c r="F94" i="2"/>
  <c r="B17" i="1"/>
  <c r="I6" i="4" s="1"/>
  <c r="B392" i="1"/>
  <c r="I8" i="4" s="1"/>
  <c r="B1843" i="1"/>
  <c r="M16" i="4" s="1"/>
  <c r="B1842" i="1"/>
  <c r="N16" i="4" s="1"/>
  <c r="B1837" i="1"/>
  <c r="B1836" i="1"/>
  <c r="B1835" i="1"/>
  <c r="B8" i="2"/>
  <c r="B1650" i="1"/>
  <c r="M15" i="4" s="1"/>
  <c r="B1649" i="1"/>
  <c r="B1648" i="1"/>
  <c r="B1647" i="1"/>
  <c r="B1646" i="1"/>
  <c r="I15" i="4"/>
  <c r="B1643" i="1"/>
  <c r="H15" i="4" s="1"/>
  <c r="B1642" i="1"/>
  <c r="G15" i="4" s="1"/>
  <c r="B1641" i="1"/>
  <c r="F15" i="4" s="1"/>
  <c r="B1645" i="1"/>
  <c r="K15" i="4" s="1"/>
  <c r="B1489" i="1"/>
  <c r="M14" i="4" s="1"/>
  <c r="B1488" i="1"/>
  <c r="B1487" i="1"/>
  <c r="I14" i="4"/>
  <c r="B1484" i="1"/>
  <c r="H14" i="4" s="1"/>
  <c r="B1483" i="1"/>
  <c r="G14" i="4" s="1"/>
  <c r="B1482" i="1"/>
  <c r="F14" i="4" s="1"/>
  <c r="B1486" i="1"/>
  <c r="K14" i="4" s="1"/>
  <c r="B1287" i="1"/>
  <c r="K13" i="4" s="1"/>
  <c r="I13" i="4"/>
  <c r="B1104" i="1"/>
  <c r="K12" i="4" s="1"/>
  <c r="M12" i="4"/>
  <c r="N12" i="4"/>
  <c r="B1108" i="1"/>
  <c r="B1107" i="1"/>
  <c r="B1106" i="1"/>
  <c r="B1105" i="1"/>
  <c r="I12" i="4"/>
  <c r="B1102" i="1"/>
  <c r="H12" i="4" s="1"/>
  <c r="B1101" i="1"/>
  <c r="G12" i="4" s="1"/>
  <c r="B1100" i="1"/>
  <c r="F12" i="4" s="1"/>
  <c r="B1111" i="1"/>
  <c r="B590" i="1"/>
  <c r="K9" i="4" s="1"/>
  <c r="B937" i="1"/>
  <c r="K11" i="4" s="1"/>
  <c r="B734" i="1"/>
  <c r="K10" i="4" s="1"/>
  <c r="B393" i="1"/>
  <c r="K8" i="4" s="1"/>
  <c r="B191" i="1"/>
  <c r="K7" i="4" s="1"/>
  <c r="B18" i="1"/>
  <c r="K6" i="4" s="1"/>
  <c r="B589" i="1"/>
  <c r="F9" i="4" s="1"/>
  <c r="J9" i="4" s="1"/>
  <c r="B940" i="1"/>
  <c r="B939" i="1"/>
  <c r="B938" i="1"/>
  <c r="B936" i="1"/>
  <c r="F11" i="4" s="1"/>
  <c r="J11" i="4" s="1"/>
  <c r="B941" i="1"/>
  <c r="B740" i="1"/>
  <c r="B739" i="1"/>
  <c r="M10" i="4" s="1"/>
  <c r="B738" i="1"/>
  <c r="B737" i="1"/>
  <c r="B736" i="1"/>
  <c r="B735" i="1"/>
  <c r="I10" i="4"/>
  <c r="B732" i="1"/>
  <c r="F10" i="4" s="1"/>
  <c r="M8" i="4"/>
  <c r="B396" i="1"/>
  <c r="B395" i="1"/>
  <c r="B394" i="1"/>
  <c r="B391" i="1"/>
  <c r="F8" i="4" s="1"/>
  <c r="B24" i="1"/>
  <c r="B16" i="1"/>
  <c r="F6" i="4" s="1"/>
  <c r="M7" i="4"/>
  <c r="N7" i="4"/>
  <c r="B195" i="1"/>
  <c r="B194" i="1"/>
  <c r="B193" i="1"/>
  <c r="B192" i="1"/>
  <c r="B190" i="1"/>
  <c r="F7" i="4" s="1"/>
  <c r="J7" i="4" s="1"/>
  <c r="B23" i="1"/>
  <c r="M6" i="4" s="1"/>
  <c r="B22" i="1"/>
  <c r="B21" i="1"/>
  <c r="B20" i="1"/>
  <c r="B19" i="1"/>
  <c r="F74" i="4" l="1"/>
  <c r="G46" i="4"/>
  <c r="L14" i="4"/>
  <c r="J6" i="4"/>
  <c r="J8" i="4"/>
  <c r="J10" i="4"/>
  <c r="J12" i="4"/>
  <c r="J14" i="4"/>
  <c r="J15" i="4"/>
  <c r="B981" i="1"/>
  <c r="B817" i="1"/>
  <c r="B278" i="1"/>
  <c r="B276" i="1"/>
  <c r="B274" i="1"/>
  <c r="B475" i="1"/>
  <c r="B277" i="1"/>
  <c r="B476" i="1"/>
  <c r="H36" i="4" s="1"/>
  <c r="H64" i="4" s="1"/>
  <c r="B279" i="1"/>
  <c r="B275" i="1"/>
  <c r="H35" i="4" s="1"/>
  <c r="H63" i="4" s="1"/>
  <c r="B625" i="1"/>
  <c r="F47" i="4"/>
  <c r="B187" i="3"/>
  <c r="M47" i="4" s="1"/>
  <c r="M75" i="4" s="1"/>
  <c r="B1288" i="1"/>
  <c r="B1834" i="1"/>
  <c r="I16" i="4" s="1"/>
  <c r="B1283" i="1"/>
  <c r="F13" i="4" s="1"/>
  <c r="B1290" i="1"/>
  <c r="B1838" i="1"/>
  <c r="B1285" i="1"/>
  <c r="H13" i="4" s="1"/>
  <c r="B1289" i="1"/>
  <c r="B1840" i="1"/>
  <c r="B1284" i="1"/>
  <c r="G13" i="4" s="1"/>
  <c r="B1291" i="1"/>
  <c r="M13" i="4" s="1"/>
  <c r="B1839" i="1"/>
  <c r="D55" i="2"/>
  <c r="C55" i="2"/>
  <c r="F122" i="4"/>
  <c r="P104" i="4"/>
  <c r="B1833" i="1"/>
  <c r="H16" i="4" s="1"/>
  <c r="L12" i="4"/>
  <c r="L10" i="4"/>
  <c r="L11" i="4"/>
  <c r="L6" i="4"/>
  <c r="O68" i="4"/>
  <c r="O115" i="4"/>
  <c r="B102" i="3"/>
  <c r="M103" i="4" s="1"/>
  <c r="F103" i="4"/>
  <c r="G103" i="4" s="1"/>
  <c r="L15" i="4"/>
  <c r="K16" i="4"/>
  <c r="L7" i="4"/>
  <c r="L8" i="4"/>
  <c r="F33" i="2"/>
  <c r="F32" i="2"/>
  <c r="B1831" i="1"/>
  <c r="F16" i="4" s="1"/>
  <c r="B986" i="1"/>
  <c r="B982" i="1"/>
  <c r="H39" i="4" s="1"/>
  <c r="H67" i="4" s="1"/>
  <c r="B985" i="1"/>
  <c r="B983" i="1"/>
  <c r="B989" i="1"/>
  <c r="B988" i="1"/>
  <c r="B984" i="1"/>
  <c r="B987" i="1"/>
  <c r="B824" i="1"/>
  <c r="B627" i="1"/>
  <c r="B821" i="1"/>
  <c r="B280" i="1"/>
  <c r="B77" i="1"/>
  <c r="B480" i="1"/>
  <c r="B819" i="1"/>
  <c r="B75" i="1"/>
  <c r="B823" i="1"/>
  <c r="B72" i="1"/>
  <c r="H34" i="4" s="1"/>
  <c r="H62" i="4" s="1"/>
  <c r="B78" i="1"/>
  <c r="B820" i="1"/>
  <c r="B76" i="1"/>
  <c r="B818" i="1"/>
  <c r="H38" i="4" s="1"/>
  <c r="H66" i="4" s="1"/>
  <c r="B71" i="1"/>
  <c r="B478" i="1"/>
  <c r="B626" i="1"/>
  <c r="H37" i="4" s="1"/>
  <c r="H65" i="4" s="1"/>
  <c r="B477" i="1"/>
  <c r="B822" i="1"/>
  <c r="B79" i="1"/>
  <c r="B481" i="1"/>
  <c r="B479" i="1"/>
  <c r="B825" i="1"/>
  <c r="B73" i="1"/>
  <c r="B74" i="1"/>
  <c r="G33" i="2"/>
  <c r="B1832" i="1"/>
  <c r="G16" i="4" s="1"/>
  <c r="B1841" i="1"/>
  <c r="F75" i="4" l="1"/>
  <c r="G47" i="4"/>
  <c r="L16" i="4"/>
  <c r="P46" i="4"/>
  <c r="G74" i="4"/>
  <c r="P74" i="4" s="1"/>
  <c r="J13" i="4"/>
  <c r="J16" i="4"/>
  <c r="B1364" i="1"/>
  <c r="B1387" i="1"/>
  <c r="B1341" i="1"/>
  <c r="G122" i="4"/>
  <c r="P122" i="4" s="1"/>
  <c r="O104" i="4"/>
  <c r="B155" i="3" s="1"/>
  <c r="L13" i="4"/>
  <c r="B2034" i="1"/>
  <c r="B2011" i="1"/>
  <c r="B1988" i="1"/>
  <c r="B1963" i="1"/>
  <c r="B1940" i="1"/>
  <c r="B1917" i="1"/>
  <c r="M121" i="4"/>
  <c r="O46" i="4"/>
  <c r="B112" i="3" s="1"/>
  <c r="F121" i="4"/>
  <c r="P103" i="4"/>
  <c r="L36" i="4"/>
  <c r="L64" i="4" s="1"/>
  <c r="B281" i="1"/>
  <c r="M35" i="4" s="1"/>
  <c r="M63" i="4" s="1"/>
  <c r="F35" i="4"/>
  <c r="L37" i="4"/>
  <c r="L65" i="4" s="1"/>
  <c r="L34" i="4"/>
  <c r="L62" i="4" s="1"/>
  <c r="B990" i="1"/>
  <c r="M39" i="4" s="1"/>
  <c r="M67" i="4" s="1"/>
  <c r="F39" i="4"/>
  <c r="B629" i="1"/>
  <c r="M37" i="4" s="1"/>
  <c r="M65" i="4" s="1"/>
  <c r="F37" i="4"/>
  <c r="B826" i="1"/>
  <c r="M38" i="4" s="1"/>
  <c r="M66" i="4" s="1"/>
  <c r="F38" i="4"/>
  <c r="B80" i="1"/>
  <c r="M34" i="4" s="1"/>
  <c r="M62" i="4" s="1"/>
  <c r="F34" i="4"/>
  <c r="L39" i="4"/>
  <c r="L67" i="4" s="1"/>
  <c r="B482" i="1"/>
  <c r="M36" i="4" s="1"/>
  <c r="M64" i="4" s="1"/>
  <c r="F36" i="4"/>
  <c r="L38" i="4"/>
  <c r="L66" i="4" s="1"/>
  <c r="L35" i="4"/>
  <c r="L63" i="4" s="1"/>
  <c r="B959" i="1"/>
  <c r="B961" i="1"/>
  <c r="B957" i="1"/>
  <c r="B962" i="1"/>
  <c r="B960" i="1"/>
  <c r="B965" i="1"/>
  <c r="B963" i="1"/>
  <c r="B958" i="1"/>
  <c r="H96" i="4" s="1"/>
  <c r="L96" i="4" s="1"/>
  <c r="B964" i="1"/>
  <c r="B793" i="1"/>
  <c r="B796" i="1"/>
  <c r="B49" i="1"/>
  <c r="B254" i="1"/>
  <c r="B455" i="1"/>
  <c r="B799" i="1"/>
  <c r="B798" i="1"/>
  <c r="B53" i="1"/>
  <c r="B51" i="1"/>
  <c r="B456" i="1"/>
  <c r="B607" i="1"/>
  <c r="B794" i="1"/>
  <c r="H95" i="4" s="1"/>
  <c r="L95" i="4" s="1"/>
  <c r="B609" i="1"/>
  <c r="B48" i="1"/>
  <c r="B459" i="1"/>
  <c r="B454" i="1"/>
  <c r="H93" i="4" s="1"/>
  <c r="L93" i="4" s="1"/>
  <c r="B257" i="1"/>
  <c r="B47" i="1"/>
  <c r="H91" i="4" s="1"/>
  <c r="L91" i="4" s="1"/>
  <c r="B255" i="1"/>
  <c r="B797" i="1"/>
  <c r="B258" i="1"/>
  <c r="B608" i="1"/>
  <c r="H94" i="4" s="1"/>
  <c r="L94" i="4" s="1"/>
  <c r="B46" i="1"/>
  <c r="B253" i="1"/>
  <c r="H92" i="4" s="1"/>
  <c r="L92" i="4" s="1"/>
  <c r="B50" i="1"/>
  <c r="B256" i="1"/>
  <c r="B54" i="1"/>
  <c r="B453" i="1"/>
  <c r="B457" i="1"/>
  <c r="B52" i="1"/>
  <c r="B795" i="1"/>
  <c r="B801" i="1"/>
  <c r="B252" i="1"/>
  <c r="B458" i="1"/>
  <c r="B800" i="1"/>
  <c r="F65" i="4" l="1"/>
  <c r="G37" i="4"/>
  <c r="F67" i="4"/>
  <c r="G39" i="4"/>
  <c r="F64" i="4"/>
  <c r="G36" i="4"/>
  <c r="F66" i="4"/>
  <c r="G38" i="4"/>
  <c r="F63" i="4"/>
  <c r="G35" i="4"/>
  <c r="F62" i="4"/>
  <c r="G34" i="4"/>
  <c r="G75" i="4"/>
  <c r="P75" i="4" s="1"/>
  <c r="P47" i="4"/>
  <c r="F45" i="4"/>
  <c r="B2019" i="1"/>
  <c r="M45" i="4" s="1"/>
  <c r="M73" i="4" s="1"/>
  <c r="B2013" i="1"/>
  <c r="K45" i="4" s="1"/>
  <c r="K73" i="4" s="1"/>
  <c r="F44" i="4"/>
  <c r="B1948" i="1"/>
  <c r="M44" i="4" s="1"/>
  <c r="M72" i="4" s="1"/>
  <c r="B2042" i="1"/>
  <c r="M140" i="4" s="1"/>
  <c r="M158" i="4" s="1"/>
  <c r="F140" i="4"/>
  <c r="G140" i="4" s="1"/>
  <c r="B2046" i="1"/>
  <c r="W140" i="4" s="1"/>
  <c r="W158" i="4" s="1"/>
  <c r="B2036" i="1"/>
  <c r="K140" i="4" s="1"/>
  <c r="L140" i="4" s="1"/>
  <c r="O122" i="4"/>
  <c r="O47" i="4"/>
  <c r="B176" i="3" s="1"/>
  <c r="B1996" i="1"/>
  <c r="M102" i="4" s="1"/>
  <c r="M120" i="4" s="1"/>
  <c r="F102" i="4"/>
  <c r="G102" i="4" s="1"/>
  <c r="B1990" i="1"/>
  <c r="K102" i="4" s="1"/>
  <c r="L102" i="4" s="1"/>
  <c r="F136" i="4"/>
  <c r="G136" i="4" s="1"/>
  <c r="B1395" i="1"/>
  <c r="M136" i="4" s="1"/>
  <c r="M154" i="4" s="1"/>
  <c r="B1925" i="1"/>
  <c r="M101" i="4" s="1"/>
  <c r="M119" i="4" s="1"/>
  <c r="F101" i="4"/>
  <c r="G101" i="4" s="1"/>
  <c r="F41" i="4"/>
  <c r="B1372" i="1"/>
  <c r="M41" i="4" s="1"/>
  <c r="M69" i="4" s="1"/>
  <c r="B1971" i="1"/>
  <c r="M139" i="4" s="1"/>
  <c r="M157" i="4" s="1"/>
  <c r="F139" i="4"/>
  <c r="G139" i="4" s="1"/>
  <c r="B2045" i="1"/>
  <c r="V140" i="4" s="1"/>
  <c r="V158" i="4" s="1"/>
  <c r="B1974" i="1"/>
  <c r="V139" i="4" s="1"/>
  <c r="V157" i="4" s="1"/>
  <c r="B1349" i="1"/>
  <c r="M98" i="4" s="1"/>
  <c r="M116" i="4" s="1"/>
  <c r="F98" i="4"/>
  <c r="G98" i="4" s="1"/>
  <c r="O74" i="4"/>
  <c r="L110" i="4"/>
  <c r="H110" i="4"/>
  <c r="B966" i="1"/>
  <c r="M96" i="4" s="1"/>
  <c r="M114" i="4" s="1"/>
  <c r="F96" i="4"/>
  <c r="G96" i="4" s="1"/>
  <c r="H111" i="4"/>
  <c r="L111" i="4"/>
  <c r="B610" i="1"/>
  <c r="M94" i="4" s="1"/>
  <c r="M112" i="4" s="1"/>
  <c r="F94" i="4"/>
  <c r="G94" i="4" s="1"/>
  <c r="H109" i="4"/>
  <c r="L109" i="4"/>
  <c r="B55" i="1"/>
  <c r="M91" i="4" s="1"/>
  <c r="M109" i="4" s="1"/>
  <c r="F91" i="4"/>
  <c r="G91" i="4" s="1"/>
  <c r="G121" i="4"/>
  <c r="P121" i="4" s="1"/>
  <c r="O103" i="4"/>
  <c r="B91" i="3" s="1"/>
  <c r="B802" i="1"/>
  <c r="M95" i="4" s="1"/>
  <c r="M113" i="4" s="1"/>
  <c r="F95" i="4"/>
  <c r="G95" i="4" s="1"/>
  <c r="B259" i="1"/>
  <c r="M92" i="4" s="1"/>
  <c r="M110" i="4" s="1"/>
  <c r="F92" i="4"/>
  <c r="G92" i="4" s="1"/>
  <c r="L114" i="4"/>
  <c r="H114" i="4"/>
  <c r="L112" i="4"/>
  <c r="H112" i="4"/>
  <c r="B460" i="1"/>
  <c r="M93" i="4" s="1"/>
  <c r="M111" i="4" s="1"/>
  <c r="F93" i="4"/>
  <c r="G93" i="4" s="1"/>
  <c r="H113" i="4"/>
  <c r="L113" i="4"/>
  <c r="F73" i="4" l="1"/>
  <c r="G45" i="4"/>
  <c r="F72" i="4"/>
  <c r="G44" i="4"/>
  <c r="F69" i="4"/>
  <c r="G41" i="4"/>
  <c r="G67" i="4"/>
  <c r="P67" i="4" s="1"/>
  <c r="P39" i="4"/>
  <c r="G64" i="4"/>
  <c r="P64" i="4" s="1"/>
  <c r="P36" i="4"/>
  <c r="P35" i="4"/>
  <c r="G63" i="4"/>
  <c r="P63" i="4" s="1"/>
  <c r="P34" i="4"/>
  <c r="G62" i="4"/>
  <c r="P62" i="4" s="1"/>
  <c r="P38" i="4"/>
  <c r="G66" i="4"/>
  <c r="P66" i="4" s="1"/>
  <c r="P37" i="4"/>
  <c r="G65" i="4"/>
  <c r="P65" i="4" s="1"/>
  <c r="L45" i="4"/>
  <c r="L73" i="4" s="1"/>
  <c r="F154" i="4"/>
  <c r="P136" i="4"/>
  <c r="O75" i="4"/>
  <c r="F120" i="4"/>
  <c r="P102" i="4"/>
  <c r="F158" i="4"/>
  <c r="P140" i="4"/>
  <c r="F116" i="4"/>
  <c r="P98" i="4"/>
  <c r="F157" i="4"/>
  <c r="P139" i="4"/>
  <c r="P101" i="4"/>
  <c r="F119" i="4"/>
  <c r="K120" i="4"/>
  <c r="L120" i="4"/>
  <c r="K158" i="4"/>
  <c r="L158" i="4"/>
  <c r="F114" i="4"/>
  <c r="P96" i="4"/>
  <c r="F110" i="4"/>
  <c r="P92" i="4"/>
  <c r="O36" i="4"/>
  <c r="B471" i="1" s="1"/>
  <c r="O121" i="4"/>
  <c r="O39" i="4"/>
  <c r="B977" i="1" s="1"/>
  <c r="P94" i="4"/>
  <c r="F112" i="4"/>
  <c r="O37" i="4"/>
  <c r="B621" i="1" s="1"/>
  <c r="O38" i="4"/>
  <c r="B813" i="1" s="1"/>
  <c r="F109" i="4"/>
  <c r="P91" i="4"/>
  <c r="F111" i="4"/>
  <c r="P93" i="4"/>
  <c r="O34" i="4"/>
  <c r="B67" i="1" s="1"/>
  <c r="P95" i="4"/>
  <c r="F113" i="4"/>
  <c r="O35" i="4"/>
  <c r="B270" i="1" s="1"/>
  <c r="G72" i="4" l="1"/>
  <c r="P72" i="4" s="1"/>
  <c r="P44" i="4"/>
  <c r="P41" i="4"/>
  <c r="G69" i="4"/>
  <c r="P69" i="4" s="1"/>
  <c r="P45" i="4"/>
  <c r="G73" i="4"/>
  <c r="P73" i="4" s="1"/>
  <c r="O98" i="4"/>
  <c r="B1337" i="1" s="1"/>
  <c r="G116" i="4"/>
  <c r="P116" i="4" s="1"/>
  <c r="O101" i="4"/>
  <c r="B1913" i="1" s="1"/>
  <c r="G119" i="4"/>
  <c r="P119" i="4" s="1"/>
  <c r="O45" i="4"/>
  <c r="B2007" i="1" s="1"/>
  <c r="O139" i="4"/>
  <c r="B1959" i="1" s="1"/>
  <c r="G157" i="4"/>
  <c r="G158" i="4"/>
  <c r="O140" i="4"/>
  <c r="B2030" i="1" s="1"/>
  <c r="G120" i="4"/>
  <c r="P120" i="4" s="1"/>
  <c r="O102" i="4"/>
  <c r="B1984" i="1" s="1"/>
  <c r="O136" i="4"/>
  <c r="B1383" i="1" s="1"/>
  <c r="G154" i="4"/>
  <c r="O44" i="4"/>
  <c r="B1936" i="1" s="1"/>
  <c r="O41" i="4"/>
  <c r="B1360" i="1" s="1"/>
  <c r="G112" i="4"/>
  <c r="P112" i="4" s="1"/>
  <c r="O94" i="4"/>
  <c r="B603" i="1" s="1"/>
  <c r="O92" i="4"/>
  <c r="B248" i="1" s="1"/>
  <c r="G110" i="4"/>
  <c r="P110" i="4" s="1"/>
  <c r="G111" i="4"/>
  <c r="P111" i="4" s="1"/>
  <c r="O93" i="4"/>
  <c r="O63" i="4"/>
  <c r="O91" i="4"/>
  <c r="B42" i="1" s="1"/>
  <c r="G109" i="4"/>
  <c r="P109" i="4" s="1"/>
  <c r="O64" i="4"/>
  <c r="G113" i="4"/>
  <c r="P113" i="4" s="1"/>
  <c r="O95" i="4"/>
  <c r="B789" i="1" s="1"/>
  <c r="O62" i="4"/>
  <c r="O67" i="4"/>
  <c r="O66" i="4"/>
  <c r="O96" i="4"/>
  <c r="B953" i="1" s="1"/>
  <c r="G114" i="4"/>
  <c r="P114" i="4" s="1"/>
  <c r="O65" i="4"/>
  <c r="B449" i="1" l="1"/>
  <c r="B493" i="1"/>
  <c r="P157" i="4"/>
  <c r="O157" i="4"/>
  <c r="O73" i="4"/>
  <c r="O116" i="4"/>
  <c r="O72" i="4"/>
  <c r="O119" i="4"/>
  <c r="O120" i="4"/>
  <c r="O69" i="4"/>
  <c r="P154" i="4"/>
  <c r="O154" i="4"/>
  <c r="P158" i="4"/>
  <c r="O158" i="4"/>
  <c r="O111" i="4"/>
  <c r="O109" i="4"/>
  <c r="O114" i="4"/>
  <c r="O112" i="4"/>
  <c r="O110" i="4"/>
  <c r="O113" i="4"/>
</calcChain>
</file>

<file path=xl/comments1.xml><?xml version="1.0" encoding="utf-8"?>
<comments xmlns="http://schemas.openxmlformats.org/spreadsheetml/2006/main">
  <authors>
    <author>Sacchi Romain</author>
  </authors>
  <commentList>
    <comment ref="R6" authorId="0" shapeId="0">
      <text>
        <r>
          <rPr>
            <b/>
            <sz val="9"/>
            <color indexed="81"/>
            <rFont val="Tahoma"/>
            <family val="2"/>
          </rPr>
          <t>Sacchi Romain:</t>
        </r>
        <r>
          <rPr>
            <sz val="9"/>
            <color indexed="81"/>
            <rFont val="Tahoma"/>
            <family val="2"/>
          </rPr>
          <t xml:space="preserve">
Those LHVs are originally given in GREET as Btu/t, dry basis</t>
        </r>
      </text>
    </comment>
    <comment ref="M17" authorId="0" shapeId="0">
      <text>
        <r>
          <rPr>
            <b/>
            <sz val="9"/>
            <color indexed="81"/>
            <rFont val="Tahoma"/>
            <family val="2"/>
          </rPr>
          <t>Sacchi Romain:</t>
        </r>
        <r>
          <rPr>
            <sz val="9"/>
            <color indexed="81"/>
            <rFont val="Tahoma"/>
            <family val="2"/>
          </rPr>
          <t xml:space="preserve">
We use RED II value here.</t>
        </r>
      </text>
    </comment>
    <comment ref="Q17" authorId="0" shapeId="0">
      <text>
        <r>
          <rPr>
            <b/>
            <sz val="9"/>
            <color indexed="81"/>
            <rFont val="Tahoma"/>
            <family val="2"/>
          </rPr>
          <t>Sacchi Romain:</t>
        </r>
        <r>
          <rPr>
            <sz val="9"/>
            <color indexed="81"/>
            <rFont val="Tahoma"/>
            <family val="2"/>
          </rPr>
          <t xml:space="preserve">
Value taken from REDII</t>
        </r>
      </text>
    </comment>
    <comment ref="R17" authorId="0" shapeId="0">
      <text>
        <r>
          <rPr>
            <b/>
            <sz val="9"/>
            <color indexed="81"/>
            <rFont val="Tahoma"/>
            <family val="2"/>
          </rPr>
          <t>Sacchi Romain:</t>
        </r>
        <r>
          <rPr>
            <sz val="9"/>
            <color indexed="81"/>
            <rFont val="Tahoma"/>
            <family val="2"/>
          </rPr>
          <t xml:space="preserve">
Value taken from REDII</t>
        </r>
      </text>
    </comment>
    <comment ref="M22" authorId="0" shapeId="0">
      <text>
        <r>
          <rPr>
            <b/>
            <sz val="9"/>
            <color indexed="81"/>
            <rFont val="Tahoma"/>
            <family val="2"/>
          </rPr>
          <t>Sacchi Romain:</t>
        </r>
        <r>
          <rPr>
            <sz val="9"/>
            <color indexed="81"/>
            <rFont val="Tahoma"/>
            <family val="2"/>
          </rPr>
          <t xml:space="preserve">
From RED II.</t>
        </r>
      </text>
    </comment>
    <comment ref="M26" authorId="0" shapeId="0">
      <text>
        <r>
          <rPr>
            <b/>
            <sz val="9"/>
            <color indexed="81"/>
            <rFont val="Tahoma"/>
            <family val="2"/>
          </rPr>
          <t>Sacchi Romain:</t>
        </r>
        <r>
          <rPr>
            <sz val="9"/>
            <color indexed="81"/>
            <rFont val="Tahoma"/>
            <family val="2"/>
          </rPr>
          <t xml:space="preserve">
From RED II</t>
        </r>
      </text>
    </comment>
    <comment ref="Q26" authorId="0" shapeId="0">
      <text>
        <r>
          <rPr>
            <b/>
            <sz val="9"/>
            <color indexed="81"/>
            <rFont val="Tahoma"/>
            <family val="2"/>
          </rPr>
          <t>Sacchi Romain:</t>
        </r>
        <r>
          <rPr>
            <sz val="9"/>
            <color indexed="81"/>
            <rFont val="Tahoma"/>
            <family val="2"/>
          </rPr>
          <t xml:space="preserve">
Values from RED II</t>
        </r>
      </text>
    </comment>
    <comment ref="R26" authorId="0" shapeId="0">
      <text>
        <r>
          <rPr>
            <b/>
            <sz val="9"/>
            <color indexed="81"/>
            <rFont val="Tahoma"/>
            <family val="2"/>
          </rPr>
          <t>Sacchi Romain:</t>
        </r>
        <r>
          <rPr>
            <sz val="9"/>
            <color indexed="81"/>
            <rFont val="Tahoma"/>
            <family val="2"/>
          </rPr>
          <t xml:space="preserve">
Values from RED II</t>
        </r>
      </text>
    </comment>
    <comment ref="L41"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44"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45"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M91" authorId="0" shapeId="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<sst xmlns="http://schemas.openxmlformats.org/spreadsheetml/2006/main" count="15951" uniqueCount="1054">
  <si>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</si>
  <si>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</si>
  <si>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</si>
  <si>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</si>
  <si>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</si>
  <si>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</si>
  <si>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</si>
  <si>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</si>
  <si>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</si>
  <si>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</si>
  <si>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</si>
  <si>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</si>
  <si>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</si>
  <si>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</si>
  <si>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</si>
  <si>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</si>
  <si>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</si>
  <si>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</si>
  <si>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</si>
  <si>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</si>
  <si>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</si>
  <si>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</si>
  <si>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</si>
  <si>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</si>
  <si>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</si>
  <si>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</si>
  <si>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</si>
  <si>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</si>
  <si>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</si>
  <si>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</si>
  <si>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</si>
  <si>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</si>
  <si>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</si>
  <si>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</si>
  <si>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</si>
  <si>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</si>
  <si>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</si>
  <si>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</si>
  <si>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</si>
  <si>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</si>
  <si>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</si>
  <si>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</si>
  <si>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</si>
  <si>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</si>
  <si>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</si>
  <si>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</si>
  <si>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</si>
  <si>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</si>
  <si>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</si>
  <si>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</si>
  <si>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</si>
  <si>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</si>
  <si>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</si>
  <si>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</si>
  <si>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</si>
  <si>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</si>
  <si>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</si>
  <si>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</si>
  <si>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</si>
  <si>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</si>
  <si>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</si>
  <si>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</si>
  <si>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</si>
  <si>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</si>
  <si>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</si>
  <si>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</si>
  <si>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</si>
  <si>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</si>
  <si>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</si>
  <si>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</si>
  <si>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</si>
  <si>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</si>
  <si>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</si>
  <si>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</si>
  <si>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</si>
  <si>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</si>
  <si>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</si>
  <si>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</si>
  <si>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</si>
  <si>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</si>
  <si>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</si>
  <si>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</si>
  <si>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</si>
  <si>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</si>
  <si>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</si>
  <si>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</si>
  <si>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</si>
  <si>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</si>
  <si>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</si>
  <si>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</si>
  <si>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</si>
  <si>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</si>
  <si>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</si>
  <si>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</si>
  <si>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</si>
  <si>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</si>
  <si>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</si>
  <si>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</si>
  <si>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</si>
  <si>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</si>
  <si>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</si>
  <si>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</si>
  <si>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</si>
  <si>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</si>
  <si>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</si>
  <si>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</si>
  <si>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</si>
  <si>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</si>
  <si>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</si>
  <si>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</si>
  <si>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</si>
  <si>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</si>
  <si>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</si>
  <si>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</si>
  <si>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</si>
  <si>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</si>
  <si>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</si>
  <si>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</si>
  <si>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</si>
  <si>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</si>
  <si>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</si>
  <si>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</si>
  <si>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</si>
  <si>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</si>
  <si>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</si>
  <si>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</si>
  <si>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</si>
  <si>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</si>
  <si>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</si>
  <si>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</si>
  <si>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</si>
  <si>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</si>
  <si>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</si>
  <si>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</si>
  <si>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</si>
  <si>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</si>
  <si>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</si>
  <si>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</si>
  <si>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</si>
  <si>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</si>
  <si>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</si>
  <si>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</si>
  <si>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</si>
  <si>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</si>
  <si>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</si>
  <si>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</si>
  <si>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</si>
  <si>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</si>
  <si>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</si>
  <si>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</si>
  <si>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</si>
  <si>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</si>
  <si>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</si>
  <si>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</si>
  <si>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</si>
  <si>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</si>
  <si>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</si>
  <si>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</si>
  <si>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</si>
  <si>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</si>
  <si>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</si>
  <si>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</si>
  <si>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</si>
  <si>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</si>
  <si>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</si>
  <si>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</si>
  <si>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</si>
  <si>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</si>
  <si>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</si>
  <si>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</si>
  <si>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</si>
  <si>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</si>
  <si>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</si>
  <si>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</si>
  <si>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</si>
  <si>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</si>
  <si>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</si>
  <si>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</si>
  <si>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</si>
  <si>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</si>
  <si>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</si>
  <si>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</si>
  <si>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</si>
  <si>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</si>
  <si>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</si>
  <si>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</si>
  <si>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</si>
  <si>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</si>
  <si>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</si>
  <si>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</si>
  <si>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</si>
  <si>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</si>
  <si>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</si>
  <si>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</si>
  <si>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</si>
  <si>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</si>
  <si>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</si>
  <si>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</si>
  <si>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</si>
  <si>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</si>
  <si>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</si>
  <si>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</si>
  <si>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</si>
  <si>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</si>
  <si>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</si>
  <si>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</si>
  <si>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</si>
  <si>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</si>
  <si>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</si>
  <si>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</si>
  <si>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</si>
  <si>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</si>
  <si>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</si>
  <si>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</si>
  <si>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</si>
  <si>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</si>
  <si>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</si>
  <si>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</si>
  <si>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</si>
  <si>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</si>
  <si>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</si>
  <si>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</si>
  <si>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</si>
  <si>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</si>
  <si>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</si>
  <si>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</si>
  <si>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</si>
  <si>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</si>
  <si>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</si>
  <si>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</si>
  <si>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</si>
  <si>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</si>
  <si>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</si>
  <si>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</si>
  <si>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</si>
  <si>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</si>
  <si>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</si>
  <si>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</si>
  <si>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</si>
  <si>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</si>
  <si>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</si>
  <si>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</si>
  <si>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</si>
  <si>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</si>
  <si>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</si>
  <si>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</si>
  <si>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</si>
  <si>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</si>
  <si>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</si>
  <si>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</si>
  <si>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</si>
  <si>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</si>
  <si>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</si>
  <si>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</si>
  <si>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</si>
  <si>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</si>
  <si>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</si>
  <si>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</si>
  <si>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</si>
  <si>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</si>
  <si>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</si>
  <si>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</si>
  <si>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</si>
  <si>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</si>
  <si>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</si>
  <si>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</si>
  <si>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</si>
  <si>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</si>
  <si>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</si>
  <si>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</si>
  <si>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</si>
  <si>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</si>
  <si>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</si>
  <si>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</si>
  <si>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</si>
  <si>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</si>
  <si>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</si>
  <si>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</si>
  <si>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</si>
  <si>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</si>
  <si>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</si>
  <si>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</si>
  <si>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</si>
  <si>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</si>
  <si>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</si>
  <si>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</si>
  <si>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</si>
  <si>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</si>
  <si>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</si>
  <si>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</si>
  <si>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</si>
  <si>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</si>
  <si>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</si>
  <si>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</si>
  <si>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</si>
  <si>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</si>
  <si>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</si>
  <si>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</si>
  <si>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</si>
  <si>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</si>
  <si>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</si>
  <si>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</si>
  <si>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</si>
  <si>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</si>
  <si>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</si>
  <si>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</si>
  <si>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</si>
  <si>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</si>
  <si>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</si>
  <si>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</si>
  <si>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</si>
  <si>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</si>
  <si>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</si>
  <si>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</si>
  <si>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</si>
  <si>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</si>
  <si>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</si>
  <si>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</si>
  <si>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</si>
  <si>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</si>
  <si>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</si>
  <si>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</si>
  <si>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</si>
  <si>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</si>
  <si>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</si>
  <si>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</si>
  <si>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</si>
  <si>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</si>
  <si>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</si>
  <si>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</si>
  <si>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</si>
  <si>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</si>
  <si>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</si>
  <si>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</si>
  <si>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</si>
  <si>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</si>
  <si>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</si>
  <si>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</si>
  <si>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</si>
  <si>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</si>
  <si>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</si>
  <si>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</si>
  <si>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</si>
  <si>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</si>
  <si>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</si>
  <si>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</si>
  <si>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</si>
  <si>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</si>
  <si>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</si>
  <si>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</si>
  <si>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</si>
  <si>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</si>
  <si>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</si>
  <si>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</si>
  <si>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</si>
  <si>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</si>
  <si>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</si>
  <si>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</si>
  <si>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</si>
  <si>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</si>
  <si>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</si>
  <si>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</si>
  <si>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</si>
  <si>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</si>
  <si>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</si>
  <si>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</si>
  <si>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</si>
  <si>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</si>
  <si>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</si>
  <si>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</si>
  <si>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</si>
  <si>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</si>
  <si>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</si>
  <si>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</si>
  <si>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</si>
  <si>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</si>
  <si>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</si>
  <si>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</si>
  <si>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</si>
  <si>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</si>
  <si>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</si>
  <si>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</si>
  <si>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</si>
  <si>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</si>
  <si>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</si>
  <si>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</si>
  <si>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</si>
  <si>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</si>
  <si>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</si>
  <si>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</si>
  <si>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</si>
  <si>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</si>
  <si>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</si>
  <si>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</si>
  <si>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</si>
  <si>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</si>
  <si>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</si>
  <si>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</si>
  <si>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</si>
  <si>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</si>
  <si>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</si>
  <si>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</si>
  <si>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</si>
  <si>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</si>
  <si>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</si>
  <si>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</si>
  <si>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</si>
  <si>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</si>
  <si>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</si>
  <si>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</si>
  <si>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</si>
  <si>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</si>
  <si>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</si>
  <si>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</si>
  <si>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</si>
  <si>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</si>
  <si>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</si>
  <si>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</si>
  <si>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</si>
  <si>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</si>
  <si>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</si>
  <si>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</si>
  <si>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</si>
  <si>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</si>
  <si>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</si>
  <si>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</si>
  <si>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</si>
  <si>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</si>
  <si>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</si>
  <si>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</si>
  <si>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</si>
  <si>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</si>
  <si>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</si>
  <si>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</si>
  <si>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</si>
  <si>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</si>
  <si>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</si>
  <si>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</si>
  <si>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</si>
  <si>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</si>
  <si>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</si>
  <si>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</si>
  <si>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</si>
  <si>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</si>
  <si>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</si>
  <si>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</si>
  <si>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</si>
  <si>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</si>
  <si>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</si>
  <si>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</si>
  <si>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</si>
  <si>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</si>
  <si>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</si>
  <si>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</si>
  <si>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</si>
  <si>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</si>
  <si>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</si>
  <si>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</si>
  <si>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</si>
  <si>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</si>
  <si>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</si>
  <si>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</si>
  <si>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</si>
  <si>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</si>
  <si>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</si>
  <si>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</si>
  <si>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</si>
  <si>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</si>
  <si>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</si>
  <si>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</si>
  <si>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</si>
  <si>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</si>
  <si>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</si>
  <si>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</si>
  <si>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</si>
  <si>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</si>
  <si>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</si>
  <si>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</si>
  <si>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</si>
  <si>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</si>
  <si>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</si>
  <si>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</si>
  <si>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</si>
  <si>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</si>
  <si>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</si>
  <si>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</si>
  <si>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</si>
  <si>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</si>
  <si>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</si>
  <si>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</si>
  <si>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</si>
  <si>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</si>
  <si>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</si>
  <si>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</si>
  <si>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</si>
  <si>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</si>
  <si>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</si>
  <si>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</si>
  <si>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</si>
  <si>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</si>
  <si>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</si>
  <si>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</si>
  <si>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</si>
  <si>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</si>
  <si>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</si>
  <si>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</si>
  <si>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</si>
  <si>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</si>
  <si>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</si>
  <si>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</si>
  <si>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</si>
  <si>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</si>
  <si>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</si>
  <si>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</si>
  <si>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</si>
  <si>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</si>
  <si>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</si>
  <si>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</si>
  <si>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</si>
  <si>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</si>
  <si>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</si>
  <si>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</si>
  <si>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</si>
  <si>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</si>
  <si>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</si>
  <si>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</si>
  <si>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</si>
  <si>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</si>
  <si>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</si>
  <si>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</si>
  <si>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</si>
  <si>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</si>
  <si>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</si>
  <si>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</si>
  <si>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</si>
  <si>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</si>
  <si>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</si>
  <si>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</si>
  <si>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</si>
  <si>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</si>
  <si>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</si>
  <si>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</si>
  <si>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</si>
  <si>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</si>
  <si>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</si>
  <si>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</si>
  <si>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</si>
  <si>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</si>
  <si>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</si>
  <si>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</si>
  <si>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</si>
  <si>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</si>
  <si>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</si>
  <si>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</si>
  <si>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</si>
  <si>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Co-production of corn oil (0.54 lbs pe rbushel of corn). Displaces vegetal oil. Substitution ratio used: 1:1.</t>
  </si>
  <si>
    <t>Displaced vegetbale oil</t>
  </si>
  <si>
    <t>Ethanol production, via fermentation, from corn, with carbon capture, economic allocation</t>
  </si>
  <si>
    <t>Ethanol production, via fermentation, from corn, with carbon capture, energy allocation</t>
  </si>
  <si>
    <t>Ethanol production, via fermentation, from corn, with carbon capture, system expansion</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</si>
  <si>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</si>
  <si>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</si>
  <si>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</si>
  <si>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61% for ethanol.</t>
  </si>
  <si>
    <t>There is a net co-production of electricity (0.8 kWh per kg of ethanol produced). In this case, the carbon from fermentation CO2 is captured, by using additional electricity (180 kWh/t CO2). The captured CO2 becomes a co-product. It displaces demand for liquid carbon dioxide used in the chemical  industry. System expansion performed, giving an allocation factor of 91% for ethanol and 9% for electricity.</t>
  </si>
  <si>
    <t>market for carbon dioxide, in chemical industry</t>
  </si>
  <si>
    <t>Co-production of CO2</t>
  </si>
  <si>
    <t>carbon dioxide, in chemical industry</t>
  </si>
  <si>
    <t>Ethanol, from corn, with carbon capture, economic allocation, at fuelling station</t>
  </si>
  <si>
    <t>Ethanol, from corn, with carbon capture, energy allocation, at fuelling station</t>
  </si>
  <si>
    <t>Ethanol, from corn, with carbon capture, system expansion, at fuelling station</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</si>
  <si>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</si>
  <si>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</si>
  <si>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</si>
  <si>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</si>
  <si>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</si>
  <si>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</si>
  <si>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</si>
  <si>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</si>
  <si>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</si>
  <si>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</si>
  <si>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</si>
  <si>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</si>
  <si>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</si>
  <si>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</si>
  <si>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</si>
  <si>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</si>
  <si>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</si>
  <si>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</si>
  <si>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</si>
  <si>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</si>
  <si>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</si>
  <si>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</si>
  <si>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</si>
  <si>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</si>
  <si>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</si>
  <si>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</si>
  <si>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</si>
  <si>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</si>
  <si>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</si>
  <si>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</si>
  <si>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</si>
  <si>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</si>
  <si>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</si>
  <si>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</si>
  <si>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</si>
  <si>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</si>
  <si>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</si>
  <si>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</si>
  <si>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</si>
  <si>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</si>
  <si>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</si>
  <si>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</si>
  <si>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</si>
  <si>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</si>
  <si>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</si>
  <si>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</si>
  <si>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</si>
  <si>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</si>
  <si>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</si>
  <si>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</si>
  <si>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</si>
  <si>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</si>
  <si>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</si>
  <si>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</si>
  <si>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</si>
  <si>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</si>
  <si>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</si>
  <si>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</si>
  <si>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</si>
  <si>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</si>
  <si>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</si>
  <si>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</si>
  <si>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</si>
  <si>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</si>
  <si>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</si>
  <si>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</si>
  <si>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</si>
  <si>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</si>
  <si>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</si>
  <si>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</si>
  <si>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</si>
  <si>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</si>
  <si>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</si>
  <si>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</si>
  <si>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</si>
  <si>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</si>
  <si>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</si>
  <si>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</si>
  <si>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</si>
  <si>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</si>
  <si>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</si>
  <si>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</si>
  <si>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</si>
  <si>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</si>
  <si>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</si>
  <si>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</si>
  <si>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</si>
  <si>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</si>
  <si>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</si>
  <si>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</si>
  <si>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</si>
  <si>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</si>
  <si>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</si>
  <si>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</si>
  <si>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</si>
  <si>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</si>
  <si>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</si>
  <si>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</si>
  <si>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</si>
  <si>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</si>
  <si>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</si>
  <si>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</si>
  <si>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</si>
  <si>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</si>
  <si>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</si>
  <si>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</si>
  <si>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</si>
  <si>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</si>
  <si>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</si>
  <si>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</si>
  <si>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</si>
  <si>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</si>
  <si>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</si>
  <si>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</si>
  <si>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</si>
  <si>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</si>
  <si>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</si>
  <si>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</si>
  <si>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</si>
  <si>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</si>
  <si>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</si>
  <si>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</si>
  <si>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</si>
  <si>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</si>
  <si>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</si>
  <si>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</si>
  <si>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</si>
  <si>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</si>
  <si>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</si>
  <si>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</si>
  <si>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</si>
  <si>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</si>
  <si>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</si>
  <si>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</si>
  <si>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</si>
  <si>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</si>
  <si>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</si>
  <si>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</si>
  <si>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</si>
  <si>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</si>
  <si>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</si>
  <si>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</si>
  <si>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</si>
  <si>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</si>
  <si>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</si>
  <si>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</si>
  <si>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</si>
  <si>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</si>
  <si>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</si>
  <si>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</si>
  <si>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</si>
  <si>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</si>
  <si>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</si>
  <si>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</si>
  <si>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</si>
  <si>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</si>
  <si>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</si>
  <si>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</si>
  <si>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</si>
  <si>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</si>
  <si>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</si>
  <si>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</si>
  <si>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</si>
  <si>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</si>
  <si>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</si>
  <si>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</si>
  <si>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</si>
  <si>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</si>
  <si>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</si>
  <si>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</si>
  <si>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</si>
  <si>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</si>
  <si>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</si>
  <si>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</si>
  <si>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</si>
  <si>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</si>
  <si>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</si>
  <si>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</si>
  <si>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</si>
  <si>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</si>
  <si>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</si>
  <si>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</si>
  <si>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</si>
  <si>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</si>
  <si>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</si>
  <si>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</si>
  <si>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</si>
  <si>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</si>
  <si>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</si>
  <si>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</si>
  <si>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</si>
  <si>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</si>
  <si>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</si>
  <si>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</si>
  <si>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</si>
  <si>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</si>
  <si>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</si>
  <si>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</si>
  <si>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</si>
  <si>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</si>
  <si>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</si>
  <si>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</si>
  <si>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</si>
  <si>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</si>
  <si>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</si>
  <si>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</si>
  <si>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</si>
  <si>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</si>
  <si>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</si>
  <si>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</si>
  <si>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</si>
  <si>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</si>
  <si>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</si>
  <si>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</si>
  <si>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</si>
  <si>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</si>
  <si>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</si>
  <si>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</si>
  <si>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</si>
  <si>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</si>
  <si>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</si>
  <si>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</si>
  <si>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</si>
  <si>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</si>
  <si>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</si>
  <si>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</si>
  <si>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</si>
  <si>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</si>
  <si>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</si>
  <si>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</si>
  <si>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</si>
  <si>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</si>
  <si>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</si>
  <si>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</si>
  <si>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</si>
  <si>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</si>
  <si>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</si>
  <si>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</si>
  <si>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</si>
  <si>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</si>
  <si>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</si>
  <si>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</si>
  <si>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</si>
  <si>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</si>
  <si>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</si>
  <si>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</si>
  <si>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</si>
  <si>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</si>
  <si>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</si>
  <si>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</si>
  <si>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</si>
  <si>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</si>
  <si>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</si>
  <si>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</si>
  <si>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</si>
  <si>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</si>
  <si>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</si>
  <si>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</si>
  <si>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</si>
  <si>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</si>
  <si>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</si>
  <si>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</si>
  <si>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</si>
  <si>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</si>
  <si>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</si>
  <si>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</si>
  <si>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</si>
  <si>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</si>
  <si>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</si>
  <si>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</si>
  <si>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</si>
  <si>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</si>
  <si>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</si>
  <si>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</si>
  <si>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</si>
  <si>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</si>
  <si>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</si>
  <si>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</si>
  <si>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</si>
  <si>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</si>
  <si>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</si>
  <si>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</si>
  <si>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</si>
  <si>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</si>
  <si>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</si>
  <si>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</si>
  <si>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</si>
  <si>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</si>
  <si>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</si>
  <si>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</si>
  <si>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</si>
  <si>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</si>
  <si>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</si>
  <si>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</si>
  <si>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</si>
  <si>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</si>
  <si>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</si>
  <si>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</si>
  <si>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</si>
  <si>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</si>
  <si>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</si>
  <si>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</si>
  <si>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</si>
  <si>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</si>
  <si>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</si>
  <si>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</si>
  <si>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</si>
  <si>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</si>
  <si>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</si>
  <si>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</si>
  <si>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</si>
  <si>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</si>
  <si>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</si>
  <si>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</si>
  <si>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</si>
  <si>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</si>
  <si>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</si>
  <si>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</si>
  <si>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</si>
  <si>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</si>
  <si>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</si>
  <si>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</si>
  <si>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</si>
  <si>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</si>
  <si>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</si>
  <si>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</si>
  <si>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</si>
  <si>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</si>
  <si>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</si>
  <si>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</si>
  <si>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</si>
  <si>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</si>
  <si>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</si>
  <si>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</si>
  <si>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</si>
  <si>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</si>
  <si>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</si>
  <si>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</si>
  <si>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</si>
  <si>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</si>
  <si>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</si>
  <si>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</si>
  <si>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</si>
  <si>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</si>
  <si>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</si>
  <si>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</si>
  <si>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</si>
  <si>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</si>
  <si>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</si>
  <si>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</si>
  <si>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</si>
  <si>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</si>
  <si>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</si>
  <si>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</si>
  <si>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</si>
  <si>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</si>
  <si>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</si>
  <si>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</si>
  <si>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</si>
  <si>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</si>
  <si>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</si>
  <si>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</si>
  <si>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</si>
  <si>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</si>
  <si>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</si>
  <si>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</si>
  <si>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</si>
  <si>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</si>
  <si>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</si>
  <si>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</si>
  <si>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</si>
  <si>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</si>
  <si>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</si>
  <si>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</si>
  <si>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</si>
  <si>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</si>
  <si>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</si>
  <si>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</si>
  <si>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</si>
  <si>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</si>
  <si>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</si>
  <si>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Based on an annual production of 7.129 t/ha. Assumes 0.6-year rotation.</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</si>
  <si>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</si>
  <si>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</si>
  <si>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</si>
  <si>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</si>
  <si>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</si>
  <si>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</si>
  <si>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</si>
  <si>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</si>
  <si>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</si>
  <si>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</si>
  <si>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</si>
  <si>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</si>
  <si>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</si>
  <si>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</si>
  <si>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</si>
  <si>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</si>
  <si>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</si>
  <si>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</si>
  <si>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</si>
  <si>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</si>
  <si>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</si>
  <si>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</si>
  <si>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</si>
  <si>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</si>
  <si>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</si>
  <si>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</si>
  <si>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</si>
  <si>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</si>
  <si>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</si>
  <si>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</si>
  <si>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</si>
  <si>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</si>
  <si>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</si>
  <si>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</si>
  <si>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</si>
  <si>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</si>
  <si>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</si>
  <si>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</si>
  <si>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</si>
  <si>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</si>
  <si>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4.4 kg CO2 from urea use per ton, 1.266 kg CO2 from CaCO3 use per ton</t>
  </si>
  <si>
    <t>Nitric oxide</t>
  </si>
  <si>
    <t>112.207 g/ton of Nox from fertilizer use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</si>
  <si>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</si>
  <si>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</si>
  <si>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</si>
  <si>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</si>
  <si>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</si>
  <si>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</si>
  <si>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</si>
  <si>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</si>
  <si>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</si>
  <si>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</si>
  <si>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</si>
  <si>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</si>
  <si>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</si>
  <si>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</si>
  <si>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</si>
  <si>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</si>
  <si>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</si>
  <si>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</si>
  <si>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</si>
  <si>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</si>
  <si>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</si>
  <si>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</si>
  <si>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.348 kg CO2 from urea use per ton, .279 kg CO2 from CaCO2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</si>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</sst>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
    <numFmt numFmtId="165" formatCode="0.000"/>
    <numFmt numFmtId="166" formatCode="#,##0.000"/>
    <numFmt numFmtId="167" formatCode="#,##0.0"/>
    <numFmt numFmtId="168" formatCode="[$€-2]\ #,##0;[Red]\-[$€-2]\ #,##0"/>
    <numFmt numFmtId="169" formatCode="0.0"/>
  </numFmts>
  <fonts count="11"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79">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4" fillId="0" borderId="0" xfId="2"/>
    <xf numFmtId="0" fontId="5"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6" fillId="0" borderId="5" xfId="1" applyNumberFormat="1" applyFont="1" applyFill="1" applyBorder="1" applyAlignment="1"/>
    <xf numFmtId="166" fontId="6" fillId="0" borderId="0" xfId="1" applyNumberFormat="1" applyFont="1" applyFill="1" applyBorder="1" applyAlignment="1"/>
    <xf numFmtId="166" fontId="0" fillId="0" borderId="0" xfId="0" applyNumberFormat="1" applyFont="1" applyFill="1" applyBorder="1" applyAlignment="1"/>
    <xf numFmtId="167" fontId="6" fillId="0" borderId="3" xfId="1" applyNumberFormat="1" applyFont="1" applyFill="1" applyBorder="1" applyAlignment="1"/>
    <xf numFmtId="167" fontId="6"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6" fontId="0" fillId="0" borderId="8" xfId="0" applyNumberFormat="1" applyFont="1" applyFill="1" applyBorder="1" applyAlignment="1"/>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6" fillId="0" borderId="5" xfId="1" applyNumberFormat="1" applyFont="1" applyFill="1" applyBorder="1" applyAlignment="1"/>
    <xf numFmtId="3" fontId="6" fillId="0" borderId="5" xfId="1" applyNumberFormat="1" applyFont="1" applyFill="1" applyBorder="1" applyAlignment="1"/>
    <xf numFmtId="167" fontId="6"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167" fontId="0" fillId="0" borderId="8" xfId="0" applyNumberFormat="1" applyFont="1" applyFill="1" applyBorder="1" applyAlignment="1"/>
    <xf numFmtId="0" fontId="0" fillId="0" borderId="9" xfId="0" applyNumberFormat="1" applyFont="1" applyFill="1" applyBorder="1" applyAlignment="1"/>
    <xf numFmtId="167" fontId="6"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9"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0" fillId="0" borderId="0" xfId="0" applyFont="1" applyAlignment="1">
      <alignment horizontal="left" vertical="center" wrapText="1"/>
    </xf>
    <xf numFmtId="0" fontId="10" fillId="0" borderId="0" xfId="0" applyFont="1" applyAlignment="1">
      <alignment horizontal="left" vertical="center"/>
    </xf>
    <xf numFmtId="9" fontId="0" fillId="0" borderId="0" xfId="0" applyNumberFormat="1"/>
    <xf numFmtId="11" fontId="2" fillId="0" borderId="0" xfId="0" applyNumberFormat="1" applyFont="1"/>
    <xf numFmtId="11" fontId="3" fillId="0" borderId="0" xfId="0" applyNumberFormat="1" applyFont="1"/>
    <xf numFmtId="11" fontId="0" fillId="0" borderId="0" xfId="1" applyNumberFormat="1" applyFont="1"/>
    <xf numFmtId="11" fontId="10" fillId="0" borderId="12" xfId="0" applyNumberFormat="1" applyFont="1" applyBorder="1" applyAlignment="1">
      <alignment vertical="center" wrapText="1"/>
    </xf>
    <xf numFmtId="11" fontId="10" fillId="0" borderId="0" xfId="0" applyNumberFormat="1" applyFont="1" applyAlignment="1">
      <alignment vertical="center" wrapText="1"/>
    </xf>
    <xf numFmtId="2" fontId="0" fillId="0" borderId="0" xfId="1"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0"/>
  <sheetViews>
    <sheetView showZeros="0" topLeftCell="A8" zoomScale="85" zoomScaleNormal="85" workbookViewId="0">
      <selection activeCell="B10" sqref="B10"/>
    </sheetView>
  </sheetViews>
  <sheetFormatPr defaultRowHeight="14.4" x14ac:dyDescent="0.3"/>
  <cols>
    <col min="1" max="1" width="4.109375" bestFit="1" customWidth="1"/>
    <col min="2" max="2" width="60.33203125" bestFit="1" customWidth="1"/>
    <col min="3" max="3" width="8.10937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546875" bestFit="1" customWidth="1"/>
    <col min="11" max="11" width="11.33203125" customWidth="1"/>
    <col min="12" max="12" width="14.6640625" bestFit="1" customWidth="1"/>
    <col min="13" max="13" width="16.5546875" customWidth="1"/>
    <col min="14" max="14" width="13" bestFit="1" customWidth="1"/>
    <col min="15" max="15" width="27.5546875" bestFit="1" customWidth="1"/>
    <col min="16" max="16" width="13.109375" bestFit="1" customWidth="1"/>
    <col min="17" max="17" width="19.33203125" bestFit="1" customWidth="1"/>
    <col min="18" max="18" width="25.33203125" bestFit="1" customWidth="1"/>
    <col min="19" max="19" width="18.44140625" customWidth="1"/>
    <col min="20" max="21" width="15.5546875" bestFit="1" customWidth="1"/>
    <col min="22" max="22" width="21" bestFit="1" customWidth="1"/>
  </cols>
  <sheetData>
    <row r="1" spans="1:19" x14ac:dyDescent="0.3">
      <c r="A1" t="s">
        <v>24</v>
      </c>
    </row>
    <row r="3" spans="1:19" x14ac:dyDescent="0.3">
      <c r="B3" s="9" t="s">
        <v>474</v>
      </c>
    </row>
    <row r="4" spans="1:19" x14ac:dyDescent="0.3">
      <c r="B4" t="s">
        <v>1</v>
      </c>
      <c r="C4" t="s">
        <v>459</v>
      </c>
      <c r="D4" t="s">
        <v>460</v>
      </c>
      <c r="E4" t="s">
        <v>461</v>
      </c>
      <c r="F4" t="s">
        <v>462</v>
      </c>
      <c r="G4" t="s">
        <v>470</v>
      </c>
      <c r="H4" t="s">
        <v>471</v>
      </c>
      <c r="I4" t="s">
        <v>247</v>
      </c>
      <c r="J4" t="s">
        <v>472</v>
      </c>
      <c r="K4" t="s">
        <v>263</v>
      </c>
      <c r="L4" t="s">
        <v>473</v>
      </c>
      <c r="M4" t="s">
        <v>465</v>
      </c>
      <c r="N4" t="s">
        <v>466</v>
      </c>
      <c r="O4" t="s">
        <v>1039</v>
      </c>
      <c r="P4" t="s">
        <v>467</v>
      </c>
      <c r="Q4" t="s">
        <v>475</v>
      </c>
      <c r="R4" t="s">
        <v>1033</v>
      </c>
      <c r="S4" t="s">
        <v>1033</v>
      </c>
    </row>
    <row r="5" spans="1:19" x14ac:dyDescent="0.3">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3">
      <c r="B6" t="s">
        <v>63</v>
      </c>
      <c r="C6" t="s">
        <v>1050</v>
      </c>
      <c r="D6" t="s">
        <v>21</v>
      </c>
      <c r="E6">
        <v>1</v>
      </c>
      <c r="F6" s="4">
        <f>GREET!B16</f>
        <v>6.606549034619999E-2</v>
      </c>
      <c r="G6" s="4"/>
      <c r="H6" s="4"/>
      <c r="I6" s="3">
        <f>GREET!B17</f>
        <v>1.4237393228333332E-3</v>
      </c>
      <c r="J6" s="5">
        <f>SUM(F6:H6)+(I6*3.6)</f>
        <v>7.1190951908399996E-2</v>
      </c>
      <c r="K6" s="4">
        <f>GREET!B18</f>
        <v>8.5330000000000003E-2</v>
      </c>
      <c r="L6" s="44">
        <f>SUM(GREET!B19:B21)*1000</f>
        <v>10.383999999999999</v>
      </c>
      <c r="M6" s="44">
        <f>SUM(GREET!B23)*1000000</f>
        <v>53.1</v>
      </c>
      <c r="N6" s="43"/>
      <c r="O6" s="5">
        <f>GREET!B25</f>
        <v>1.4523666666666668</v>
      </c>
      <c r="P6" s="5">
        <f>GREET!B27</f>
        <v>1.0117499999999999</v>
      </c>
      <c r="Q6" s="30">
        <v>0.12</v>
      </c>
      <c r="R6" s="43">
        <f>14447000/1000*Parameters!B3</f>
        <v>15.242392587299999</v>
      </c>
      <c r="S6" s="43">
        <f>R6*(1-Q6)</f>
        <v>13.413305476824</v>
      </c>
    </row>
    <row r="7" spans="1:19" x14ac:dyDescent="0.3">
      <c r="B7" t="s">
        <v>64</v>
      </c>
      <c r="C7" t="s">
        <v>1050</v>
      </c>
      <c r="D7" t="s">
        <v>21</v>
      </c>
      <c r="E7">
        <v>1</v>
      </c>
      <c r="F7" s="4">
        <f>GREET!B190</f>
        <v>0.28338484957229998</v>
      </c>
      <c r="G7" s="4"/>
      <c r="H7" s="4"/>
      <c r="I7" s="3"/>
      <c r="J7" s="5">
        <f t="shared" ref="J7:J28" si="0">SUM(F7:H7)+(I7*3.6)</f>
        <v>0.28338484957229998</v>
      </c>
      <c r="K7" s="4">
        <f>GREET!B191</f>
        <v>8.0500000000000002E-2</v>
      </c>
      <c r="L7" s="44">
        <f>SUM(GREET!B192:B194)*1000</f>
        <v>3.0834999999999999</v>
      </c>
      <c r="M7" s="44">
        <f>GREET!B197*1000000</f>
        <v>70.338000000000008</v>
      </c>
      <c r="N7" s="43">
        <f>GREET!B196*1000000</f>
        <v>13.406399999999998</v>
      </c>
      <c r="O7" s="5">
        <f>GREET!B209</f>
        <v>1.56145</v>
      </c>
      <c r="P7" s="5">
        <f>GREET!B230</f>
        <v>0.92522000000000004</v>
      </c>
      <c r="Q7" s="30">
        <v>0.12</v>
      </c>
      <c r="R7" s="43">
        <f>15929000/1000*Parameters!B3</f>
        <v>16.805985431099998</v>
      </c>
      <c r="S7" s="43">
        <f t="shared" ref="S7:S28" si="1">R7*(1-Q7)</f>
        <v>14.789267179367998</v>
      </c>
    </row>
    <row r="8" spans="1:19" x14ac:dyDescent="0.3">
      <c r="B8" t="s">
        <v>65</v>
      </c>
      <c r="C8" t="s">
        <v>1050</v>
      </c>
      <c r="D8" t="s">
        <v>21</v>
      </c>
      <c r="E8">
        <v>1</v>
      </c>
      <c r="F8" s="4">
        <f>GREET!B391</f>
        <v>0.1951853415</v>
      </c>
      <c r="G8" s="4"/>
      <c r="H8" s="4"/>
      <c r="I8" s="3">
        <f>GREET!B392</f>
        <v>1.2162449958333332E-4</v>
      </c>
      <c r="J8" s="5">
        <f t="shared" si="0"/>
        <v>0.19562318969850001</v>
      </c>
      <c r="K8" s="4">
        <f>GREET!B393</f>
        <v>8.0500000000000002E-2</v>
      </c>
      <c r="L8" s="44">
        <f>SUM(GREET!B394:B396)*1000</f>
        <v>3.1140000000000003</v>
      </c>
      <c r="M8" s="44">
        <f>GREET!B397*1000000</f>
        <v>18.331199999999995</v>
      </c>
      <c r="N8" s="43"/>
      <c r="O8" s="5">
        <f>GREET!B410</f>
        <v>1.758866488192</v>
      </c>
      <c r="P8" s="5">
        <f>GREET!B431</f>
        <v>0.92522000000000004</v>
      </c>
      <c r="Q8" s="30">
        <v>0.12</v>
      </c>
      <c r="R8" s="43">
        <f>15396000/1000*Parameters!B3</f>
        <v>16.243640636399999</v>
      </c>
      <c r="S8" s="43">
        <f t="shared" si="1"/>
        <v>14.294403760031999</v>
      </c>
    </row>
    <row r="9" spans="1:19" x14ac:dyDescent="0.3">
      <c r="B9" t="s">
        <v>69</v>
      </c>
      <c r="C9" t="s">
        <v>1050</v>
      </c>
      <c r="D9" t="s">
        <v>21</v>
      </c>
      <c r="E9">
        <v>1</v>
      </c>
      <c r="F9" s="4">
        <f>GREET!B589</f>
        <v>0.13945728886199998</v>
      </c>
      <c r="G9" s="4"/>
      <c r="H9" s="4"/>
      <c r="I9" s="3"/>
      <c r="J9" s="5">
        <f t="shared" si="0"/>
        <v>0.13945728886199998</v>
      </c>
      <c r="K9" s="4">
        <f>GREET!B590</f>
        <v>0.1449</v>
      </c>
      <c r="L9" s="44"/>
      <c r="M9" s="44"/>
      <c r="N9" s="43"/>
      <c r="O9" s="5">
        <f>GREET!B591</f>
        <v>1.81</v>
      </c>
      <c r="P9" s="5"/>
      <c r="Q9" s="30">
        <v>0</v>
      </c>
      <c r="R9" s="43">
        <f>17289000/1000*Parameters!B3</f>
        <v>18.240861455099999</v>
      </c>
      <c r="S9" s="43">
        <f t="shared" si="1"/>
        <v>18.240861455099999</v>
      </c>
    </row>
    <row r="10" spans="1:19" x14ac:dyDescent="0.3">
      <c r="B10" t="s">
        <v>66</v>
      </c>
      <c r="C10" t="s">
        <v>1050</v>
      </c>
      <c r="D10" t="s">
        <v>21</v>
      </c>
      <c r="E10">
        <v>1</v>
      </c>
      <c r="F10" s="4">
        <f>GREET!B732</f>
        <v>5.0564609063399997E-2</v>
      </c>
      <c r="G10" s="4"/>
      <c r="H10" s="4"/>
      <c r="I10" s="3">
        <f>GREET!B733</f>
        <v>1.0896382878333333E-3</v>
      </c>
      <c r="J10" s="5">
        <f t="shared" si="0"/>
        <v>5.4487306899599998E-2</v>
      </c>
      <c r="K10" s="4">
        <f>GREET!B734</f>
        <v>5.9569999999999998E-2</v>
      </c>
      <c r="L10" s="44">
        <f>SUM(GREET!B735:B737)*1000</f>
        <v>8.5560000000000009</v>
      </c>
      <c r="M10" s="44">
        <f>GREET!B739*1000000</f>
        <v>28.72</v>
      </c>
      <c r="N10" s="43"/>
      <c r="O10" s="5">
        <f>GREET!B752</f>
        <v>1.7590123356145999</v>
      </c>
      <c r="P10" s="5">
        <f>GREET!B771</f>
        <v>0.64656000000000002</v>
      </c>
      <c r="Q10" s="30">
        <v>0.15</v>
      </c>
      <c r="R10" s="43">
        <f>15342000/1000*Parameters!B3</f>
        <v>16.186667617799998</v>
      </c>
      <c r="S10" s="43">
        <f t="shared" si="1"/>
        <v>13.758667475129998</v>
      </c>
    </row>
    <row r="11" spans="1:19" x14ac:dyDescent="0.3">
      <c r="B11" t="s">
        <v>67</v>
      </c>
      <c r="C11" t="s">
        <v>1050</v>
      </c>
      <c r="D11" t="s">
        <v>21</v>
      </c>
      <c r="E11">
        <v>1</v>
      </c>
      <c r="F11" s="4">
        <f>GREET!B936</f>
        <v>0.23590205879279999</v>
      </c>
      <c r="G11" s="4"/>
      <c r="H11" s="4"/>
      <c r="I11" s="3"/>
      <c r="J11" s="5">
        <f t="shared" si="0"/>
        <v>0.23590205879279999</v>
      </c>
      <c r="K11" s="4">
        <f>GREET!B937</f>
        <v>8.5330000000000003E-2</v>
      </c>
      <c r="L11" s="44">
        <f>SUM(GREET!B938:B940)*1000</f>
        <v>19.096999999999998</v>
      </c>
      <c r="M11" s="44"/>
      <c r="N11" s="43"/>
      <c r="O11" s="5">
        <f>GREET!B942</f>
        <v>1.7167333333333332</v>
      </c>
      <c r="P11" s="5"/>
      <c r="Q11" s="30">
        <v>0.12</v>
      </c>
      <c r="R11" s="43">
        <f>14716000/1000*Parameters!B3</f>
        <v>15.5262026244</v>
      </c>
      <c r="S11" s="43">
        <f t="shared" si="1"/>
        <v>13.663058309472</v>
      </c>
    </row>
    <row r="12" spans="1:19" x14ac:dyDescent="0.3">
      <c r="B12" t="s">
        <v>76</v>
      </c>
      <c r="C12" t="s">
        <v>1050</v>
      </c>
      <c r="D12" t="s">
        <v>21</v>
      </c>
      <c r="E12">
        <v>1</v>
      </c>
      <c r="F12" s="4">
        <f>GREET!B1100</f>
        <v>3.8388208921499994E-2</v>
      </c>
      <c r="G12" s="4">
        <f>GREET!B1101</f>
        <v>1.2328328191499999E-2</v>
      </c>
      <c r="H12" s="4">
        <f>GREET!B1102</f>
        <v>4.0392815131500004E-2</v>
      </c>
      <c r="I12" s="3">
        <f>GREET!B1103</f>
        <v>2.5057577624999997E-3</v>
      </c>
      <c r="J12" s="5">
        <f t="shared" si="0"/>
        <v>0.1001300801895</v>
      </c>
      <c r="K12" s="4">
        <f>GREET!B1104</f>
        <v>1.932E-2</v>
      </c>
      <c r="L12" s="44">
        <f>SUM(GREET!B1105:B1107)*1000</f>
        <v>2.8113000000000001</v>
      </c>
      <c r="M12" s="44">
        <f>GREET!B1110*1000000</f>
        <v>51.3</v>
      </c>
      <c r="N12" s="43">
        <f>GREET!B1109*1000000</f>
        <v>2.8499999999999996</v>
      </c>
      <c r="O12" s="5">
        <f>GREET!B1123</f>
        <v>0.44</v>
      </c>
      <c r="P12" s="5">
        <f>GREET!B1135</f>
        <v>0.13575000000000001</v>
      </c>
      <c r="Q12" s="30">
        <v>0.75</v>
      </c>
      <c r="R12" s="43">
        <f>12381771.3119168/1000*Parameters!B3</f>
        <v>13.063460875088559</v>
      </c>
      <c r="S12" s="43">
        <f t="shared" si="1"/>
        <v>3.2658652187721398</v>
      </c>
    </row>
    <row r="13" spans="1:19" x14ac:dyDescent="0.3">
      <c r="B13" t="s">
        <v>85</v>
      </c>
      <c r="C13" t="s">
        <v>1050</v>
      </c>
      <c r="D13" t="s">
        <v>21</v>
      </c>
      <c r="E13">
        <v>1</v>
      </c>
      <c r="F13" s="4">
        <f>GREET!B1283</f>
        <v>0.24851916633468898</v>
      </c>
      <c r="G13" s="4">
        <f>GREET!B1284</f>
        <v>0.12876640742729997</v>
      </c>
      <c r="H13" s="4">
        <f>GREET!B1285</f>
        <v>0.31759611328681792</v>
      </c>
      <c r="I13" s="3">
        <f>GREET!B1286</f>
        <v>4.1029951666666666E-6</v>
      </c>
      <c r="J13" s="5">
        <f t="shared" si="0"/>
        <v>0.69489645783140686</v>
      </c>
      <c r="K13" s="4">
        <f>GREET!B1287</f>
        <v>3.2199999999999999E-2</v>
      </c>
      <c r="L13" s="44">
        <f>SUM(GREET!B1288:B1290)*1000</f>
        <v>26.177112999999995</v>
      </c>
      <c r="M13" s="44">
        <f>GREET!B1291*1000000</f>
        <v>1128.7379000000001</v>
      </c>
      <c r="N13" s="43"/>
      <c r="O13" s="5">
        <f>GREET!B1320</f>
        <v>1.4410000000000001</v>
      </c>
      <c r="P13" s="5">
        <f>GREET!B1326</f>
        <v>0.64451037545981105</v>
      </c>
      <c r="Q13" s="30">
        <v>0.2</v>
      </c>
      <c r="R13" s="43">
        <f>12781599.3438641/1000*Parameters!B3</f>
        <v>13.485301799179947</v>
      </c>
      <c r="S13" s="43">
        <f t="shared" si="1"/>
        <v>10.788241439343958</v>
      </c>
    </row>
    <row r="14" spans="1:19" x14ac:dyDescent="0.3">
      <c r="B14" t="s">
        <v>87</v>
      </c>
      <c r="C14" t="s">
        <v>1050</v>
      </c>
      <c r="D14" t="s">
        <v>21</v>
      </c>
      <c r="E14">
        <v>1</v>
      </c>
      <c r="F14" s="4">
        <f>GREET!B1482</f>
        <v>4.0196574734099995E-2</v>
      </c>
      <c r="G14" s="4">
        <f>GREET!B1483</f>
        <v>1.2908608936499999E-2</v>
      </c>
      <c r="H14" s="4">
        <f>GREET!B1484</f>
        <v>4.22950809192E-2</v>
      </c>
      <c r="I14" s="3">
        <f>GREET!B1485</f>
        <v>2.6238654090833331E-3</v>
      </c>
      <c r="J14" s="5">
        <f t="shared" si="0"/>
        <v>0.1048461800625</v>
      </c>
      <c r="K14" s="4">
        <f>GREET!B1486</f>
        <v>3.2199999999999999E-2</v>
      </c>
      <c r="L14" s="44">
        <f>SUM(GREET!B1487:B1488)*1000</f>
        <v>1.6589999999999998</v>
      </c>
      <c r="M14" s="44">
        <f>GREET!B1489*1000000</f>
        <v>71.910000000000011</v>
      </c>
      <c r="N14" s="43"/>
      <c r="O14" s="5">
        <f>GREET!B1518</f>
        <v>0.43120000000000003</v>
      </c>
      <c r="P14" s="5">
        <f>GREET!B1524</f>
        <v>6.9244916371715204E-2</v>
      </c>
      <c r="Q14" s="30">
        <v>0.72</v>
      </c>
      <c r="R14" s="43">
        <f>14409931.2481657/1000*Parameters!B3</f>
        <v>15.203282981971585</v>
      </c>
      <c r="S14" s="43">
        <f t="shared" si="1"/>
        <v>4.2569192349520444</v>
      </c>
    </row>
    <row r="15" spans="1:19" x14ac:dyDescent="0.3">
      <c r="B15" t="s">
        <v>91</v>
      </c>
      <c r="C15" t="s">
        <v>1050</v>
      </c>
      <c r="D15" t="s">
        <v>21</v>
      </c>
      <c r="E15">
        <v>1</v>
      </c>
      <c r="F15" s="4">
        <f>GREET!B1641</f>
        <v>2.5393085401199996E-2</v>
      </c>
      <c r="G15" s="4">
        <f>GREET!B1642</f>
        <v>8.1545270510999992E-3</v>
      </c>
      <c r="H15" s="4">
        <f>GREET!B1643</f>
        <v>2.6719290667499996E-2</v>
      </c>
      <c r="I15" s="3">
        <f>GREET!B1644</f>
        <v>1.6576100473333331E-3</v>
      </c>
      <c r="J15" s="5">
        <f t="shared" si="0"/>
        <v>6.6234299290199986E-2</v>
      </c>
      <c r="K15" s="4">
        <f>GREET!B1645</f>
        <v>3.2199999999999999E-2</v>
      </c>
      <c r="L15" s="44">
        <f>SUM(GREET!B1646:B1648)*1000</f>
        <v>2.9289999999999998</v>
      </c>
      <c r="M15" s="44">
        <f>GREET!B1650*1000000</f>
        <v>23.96</v>
      </c>
      <c r="N15" s="43"/>
      <c r="O15" s="5">
        <f>GREET!B1679</f>
        <v>0.4158</v>
      </c>
      <c r="P15" s="5">
        <f>GREET!B1685</f>
        <v>6.9244916371715204E-2</v>
      </c>
      <c r="Q15" s="30">
        <v>0.73</v>
      </c>
      <c r="R15" s="43">
        <f>14409931.2481657/1000*Parameters!B3</f>
        <v>15.203282981971585</v>
      </c>
      <c r="S15" s="43">
        <f t="shared" si="1"/>
        <v>4.1048864051323282</v>
      </c>
    </row>
    <row r="16" spans="1:19" x14ac:dyDescent="0.3">
      <c r="B16" t="s">
        <v>96</v>
      </c>
      <c r="C16" t="s">
        <v>1050</v>
      </c>
      <c r="D16" t="s">
        <v>21</v>
      </c>
      <c r="E16">
        <v>1</v>
      </c>
      <c r="F16" s="4">
        <f>GREET!B1831</f>
        <v>0.14160151061924697</v>
      </c>
      <c r="G16" s="4">
        <f>GREET!B1832</f>
        <v>4.2285226697093996E-2</v>
      </c>
      <c r="H16" s="4">
        <f>GREET!B1833</f>
        <v>9.0551860706939991E-2</v>
      </c>
      <c r="I16" s="3">
        <f>GREET!B1834</f>
        <v>3.6691503191649999E-3</v>
      </c>
      <c r="J16" s="5">
        <f t="shared" si="0"/>
        <v>0.28764753917227498</v>
      </c>
      <c r="K16" s="4">
        <f>SUM(GREET!B1835:B1837)</f>
        <v>1.288</v>
      </c>
      <c r="L16" s="44">
        <f>SUM(GREET!B1838:B1840)*1000</f>
        <v>26.299159999999997</v>
      </c>
      <c r="M16" s="44">
        <f>GREET!B1843*1000000</f>
        <v>230.31449999999995</v>
      </c>
      <c r="N16" s="43">
        <f>GREET!B1842*1000000</f>
        <v>0.39369999999999994</v>
      </c>
      <c r="O16" s="5">
        <f>GREET!B1847</f>
        <v>1.4762999999999999</v>
      </c>
      <c r="P16" s="5">
        <f>GREET!B1857</f>
        <v>0.95982162650602398</v>
      </c>
      <c r="Q16" s="30">
        <v>0.14000000000000001</v>
      </c>
      <c r="R16" s="43">
        <f>6810*Parameters!B3/Parameters!B6</f>
        <v>15.839794265873016</v>
      </c>
      <c r="S16" s="43">
        <f t="shared" si="1"/>
        <v>13.622223068650793</v>
      </c>
    </row>
    <row r="17" spans="2:19" x14ac:dyDescent="0.3">
      <c r="B17" t="s">
        <v>76</v>
      </c>
      <c r="C17" t="s">
        <v>264</v>
      </c>
      <c r="D17" t="s">
        <v>1040</v>
      </c>
      <c r="E17">
        <v>1</v>
      </c>
      <c r="F17" s="4">
        <f>'Pereira et al. 2019'!B20</f>
        <v>8.1699999999999995E-2</v>
      </c>
      <c r="G17" s="4"/>
      <c r="H17" s="4"/>
      <c r="I17" s="3"/>
      <c r="J17" s="5">
        <f t="shared" si="0"/>
        <v>8.1699999999999995E-2</v>
      </c>
      <c r="K17" s="4">
        <f>'Pereira et al. 2019'!B21</f>
        <v>2.7300000000000001E-2</v>
      </c>
      <c r="L17" s="44">
        <f>SUM('Pereira et al. 2019'!B14:B16)*1000</f>
        <v>2.68</v>
      </c>
      <c r="M17" s="44">
        <f>'Pereira et al. 2019'!B19*1000000</f>
        <v>36.96</v>
      </c>
      <c r="N17" s="43">
        <f>'Pereira et al. 2019'!B18*1000000</f>
        <v>2.6720000000000002</v>
      </c>
      <c r="O17" s="5">
        <f>'Pereira et al. 2019'!B54</f>
        <v>0.49888461538461598</v>
      </c>
      <c r="P17" s="5">
        <f>'Pereira et al. 2019'!B35</f>
        <v>0.18014772113132799</v>
      </c>
      <c r="Q17" s="30">
        <v>0.73</v>
      </c>
      <c r="R17">
        <v>19.600000000000001</v>
      </c>
      <c r="S17" s="43">
        <f t="shared" si="1"/>
        <v>5.2920000000000007</v>
      </c>
    </row>
    <row r="18" spans="2:19" x14ac:dyDescent="0.3">
      <c r="B18" t="s">
        <v>266</v>
      </c>
      <c r="C18" t="s">
        <v>264</v>
      </c>
      <c r="D18" t="s">
        <v>469</v>
      </c>
      <c r="E18">
        <v>1</v>
      </c>
      <c r="F18" s="4">
        <f>'Pereira et al. 2019'!B74</f>
        <v>8.1699999999999995E-2</v>
      </c>
      <c r="G18" s="4"/>
      <c r="H18" s="4"/>
      <c r="I18" s="3"/>
      <c r="J18" s="5">
        <f t="shared" si="0"/>
        <v>8.1699999999999995E-2</v>
      </c>
      <c r="K18" s="4">
        <f>'Pereira et al. 2019'!B76</f>
        <v>4.4999999999999998E-2</v>
      </c>
      <c r="L18" s="44"/>
      <c r="M18" s="44"/>
      <c r="N18" s="43"/>
      <c r="O18" s="5">
        <f>'Pereira et al. 2019'!B77</f>
        <v>1.4320899999999999</v>
      </c>
      <c r="P18" s="5">
        <f>'Pereira et al. 2019'!B79</f>
        <v>1.6930220883534137</v>
      </c>
      <c r="Q18" s="30">
        <v>0.15</v>
      </c>
      <c r="R18">
        <v>16.600000000000001</v>
      </c>
      <c r="S18" s="43">
        <f t="shared" si="1"/>
        <v>14.110000000000001</v>
      </c>
    </row>
    <row r="19" spans="2:19" x14ac:dyDescent="0.3">
      <c r="B19" t="s">
        <v>576</v>
      </c>
      <c r="C19" t="s">
        <v>577</v>
      </c>
      <c r="D19" t="s">
        <v>630</v>
      </c>
      <c r="E19">
        <v>1</v>
      </c>
      <c r="F19" s="4">
        <f>'Gonzalez-Garcia et al. 2012'!B17</f>
        <v>0.71379999999999999</v>
      </c>
      <c r="I19" s="3">
        <f>'Gonzalez-Garcia et al. 2012'!B18</f>
        <v>1.4237393228333332E-3</v>
      </c>
      <c r="J19" s="5">
        <f t="shared" si="0"/>
        <v>0.71892546156219994</v>
      </c>
      <c r="K19" s="4">
        <f>'Gonzalez-Garcia et al. 2012'!B19</f>
        <v>0.05</v>
      </c>
      <c r="L19" s="44">
        <f>SUM('Gonzalez-Garcia et al. 2012'!B20:B22)*1000</f>
        <v>4.2699999999999996</v>
      </c>
      <c r="M19" s="44">
        <f>'Gonzalez-Garcia et al. 2012'!B23*1000000</f>
        <v>346.2</v>
      </c>
      <c r="O19" s="5">
        <f>'Gonzalez-Garcia et al. 2012'!B25</f>
        <v>1.0980000000000001</v>
      </c>
      <c r="P19" s="5">
        <f>'Gonzalez-Garcia et al. 2012'!B27</f>
        <v>5.7692307692307683</v>
      </c>
      <c r="Q19" s="30">
        <v>0.4</v>
      </c>
      <c r="R19" s="43">
        <f>'Gonzalez-Garcia et al. 2012'!B9</f>
        <v>18.850000000000001</v>
      </c>
      <c r="S19" s="43">
        <f t="shared" si="1"/>
        <v>11.31</v>
      </c>
    </row>
    <row r="20" spans="2:19" x14ac:dyDescent="0.3">
      <c r="B20" t="s">
        <v>852</v>
      </c>
      <c r="C20" t="s">
        <v>581</v>
      </c>
      <c r="D20" t="s">
        <v>854</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4">
        <f>SUM('Cozzolini 2018'!B16,'Cozzolini 2018'!B18:B19)*1000</f>
        <v>23.588550000000001</v>
      </c>
      <c r="M20" s="44"/>
      <c r="N20" s="43">
        <f>'Cozzolini 2018'!B17*1000000</f>
        <v>0.88036915646023683</v>
      </c>
      <c r="O20" s="5">
        <f>'Cozzolini 2018'!B28</f>
        <v>1.4526233333333334</v>
      </c>
      <c r="P20" s="5">
        <f>'Cozzolini 2018'!B29</f>
        <v>1.4921511126444715</v>
      </c>
      <c r="Q20" s="30">
        <v>0.13500000000000001</v>
      </c>
      <c r="R20" s="43">
        <v>15.15</v>
      </c>
      <c r="S20" s="43">
        <f t="shared" si="1"/>
        <v>13.104750000000001</v>
      </c>
    </row>
    <row r="21" spans="2:19" x14ac:dyDescent="0.3">
      <c r="B21" t="s">
        <v>866</v>
      </c>
      <c r="C21" t="s">
        <v>581</v>
      </c>
      <c r="D21" t="s">
        <v>854</v>
      </c>
      <c r="E21">
        <v>1</v>
      </c>
      <c r="F21" s="4">
        <f>'Cozzolini 2018'!B189</f>
        <v>3.6585432000000003E-3</v>
      </c>
      <c r="H21" s="4"/>
      <c r="I21" s="3">
        <f>'Cozzolini 2018'!B185</f>
        <v>8.6068800000000015E-2</v>
      </c>
      <c r="J21" s="5">
        <f t="shared" si="0"/>
        <v>0.31350622320000004</v>
      </c>
      <c r="K21" s="4">
        <f>'Cozzolini 2018'!B184</f>
        <v>5.4180000000000006E-2</v>
      </c>
      <c r="L21" s="44"/>
      <c r="M21" s="44"/>
      <c r="N21" s="43"/>
      <c r="O21" s="5">
        <f>'Cozzolini 2018'!B190</f>
        <v>1.518</v>
      </c>
      <c r="P21" s="5"/>
      <c r="Q21" s="30">
        <f>'Cozzolini 2018'!B179</f>
        <v>0.1</v>
      </c>
      <c r="R21" s="43">
        <f>'Cozzolini 2018'!B178</f>
        <v>17.2</v>
      </c>
      <c r="S21" s="43">
        <f t="shared" si="1"/>
        <v>15.48</v>
      </c>
    </row>
    <row r="22" spans="2:19" x14ac:dyDescent="0.3">
      <c r="B22" t="s">
        <v>96</v>
      </c>
      <c r="C22" t="s">
        <v>581</v>
      </c>
      <c r="D22" t="s">
        <v>1044</v>
      </c>
      <c r="E22">
        <v>1</v>
      </c>
      <c r="F22" s="4">
        <f>'Cozzolini 2018'!B268</f>
        <v>0.55718582999999999</v>
      </c>
      <c r="H22" s="4">
        <f>'Cozzolini 2018'!B261*50</f>
        <v>0.1691192</v>
      </c>
      <c r="I22" s="3">
        <f>SUM('Cozzolini 2018'!B269:B270)</f>
        <v>9.4050180000000011E-3</v>
      </c>
      <c r="J22" s="5">
        <f t="shared" si="0"/>
        <v>0.76016309479999999</v>
      </c>
      <c r="K22" s="4">
        <f>'Cozzolini 2018'!B272</f>
        <v>0.05</v>
      </c>
      <c r="L22" s="44">
        <f>SUM('Cozzolini 2018'!B262,'Cozzolini 2018'!B265:B266)*1000</f>
        <v>30.43</v>
      </c>
      <c r="M22" s="44">
        <f>'Cozzolini 2018'!B264*1000000</f>
        <v>985.99999999999989</v>
      </c>
      <c r="N22" s="43">
        <f>'Cozzolini 2018'!B263*1000000</f>
        <v>1.79</v>
      </c>
      <c r="O22" s="5">
        <f>'Cozzolini 2018'!B274</f>
        <v>1.40008</v>
      </c>
      <c r="P22" s="5">
        <f>'Cozzolini 2018'!B275</f>
        <v>1.4027212792818067</v>
      </c>
      <c r="Q22" s="30">
        <f>'Cozzolini 2018'!B253</f>
        <v>0.14000000000000001</v>
      </c>
      <c r="R22" s="43">
        <f>'Cozzolini 2018'!B252</f>
        <v>17.325581395348838</v>
      </c>
      <c r="S22" s="43">
        <f t="shared" si="1"/>
        <v>14.9</v>
      </c>
    </row>
    <row r="23" spans="2:19" x14ac:dyDescent="0.3">
      <c r="B23" t="s">
        <v>871</v>
      </c>
      <c r="C23" t="s">
        <v>581</v>
      </c>
      <c r="D23" t="s">
        <v>854</v>
      </c>
      <c r="E23">
        <v>1</v>
      </c>
      <c r="F23" s="4">
        <f>'Cozzolini 2018'!B405</f>
        <v>0.17115000000000002</v>
      </c>
      <c r="H23" s="4"/>
      <c r="I23" s="3">
        <f>SUM('Cozzolini 2018'!B406:B407)</f>
        <v>6.7498300000000001E-3</v>
      </c>
      <c r="J23" s="5">
        <f t="shared" si="0"/>
        <v>0.19544938800000003</v>
      </c>
      <c r="K23" s="4">
        <f>'Cozzolini 2018'!B409</f>
        <v>0.05</v>
      </c>
      <c r="L23" s="44">
        <f>SUM('Cozzolini 2018'!B399,'Cozzolini 2018'!B401:B402)*1000</f>
        <v>3.097</v>
      </c>
      <c r="M23" s="44"/>
      <c r="N23" s="43">
        <f>'Cozzolini 2018'!B400*1000000</f>
        <v>0.20374999999999999</v>
      </c>
      <c r="O23" s="5">
        <f>'Cozzolini 2018'!B410</f>
        <v>0.40791666666666665</v>
      </c>
      <c r="P23" s="5">
        <f>'Cozzolini 2018'!B411</f>
        <v>7.4294205052005929E-2</v>
      </c>
      <c r="Q23" s="30">
        <f>'Cozzolini 2018'!B393</f>
        <v>0.75</v>
      </c>
      <c r="R23" s="43">
        <f>'Cozzolini 2018'!B392</f>
        <v>16.3</v>
      </c>
      <c r="S23" s="43">
        <f t="shared" si="1"/>
        <v>4.0750000000000002</v>
      </c>
    </row>
    <row r="24" spans="2:19" x14ac:dyDescent="0.3">
      <c r="B24" t="s">
        <v>69</v>
      </c>
      <c r="C24" t="s">
        <v>581</v>
      </c>
      <c r="D24" t="s">
        <v>854</v>
      </c>
      <c r="E24">
        <v>1</v>
      </c>
      <c r="J24" s="5">
        <f t="shared" si="0"/>
        <v>0</v>
      </c>
      <c r="K24" s="4">
        <f>SUM('Cozzolini 2018'!B518:B519)</f>
        <v>2.5</v>
      </c>
      <c r="O24" s="5">
        <f>'Cozzolini 2018'!B521</f>
        <v>1.8186666666666667</v>
      </c>
      <c r="Q24">
        <f>'Cozzolini 2018'!B511</f>
        <v>0</v>
      </c>
      <c r="R24">
        <f>'Cozzolini 2018'!B510</f>
        <v>19</v>
      </c>
      <c r="S24" s="43">
        <f t="shared" si="1"/>
        <v>19</v>
      </c>
    </row>
    <row r="25" spans="2:19" x14ac:dyDescent="0.3">
      <c r="B25" t="s">
        <v>884</v>
      </c>
      <c r="C25" t="s">
        <v>581</v>
      </c>
      <c r="D25" t="s">
        <v>854</v>
      </c>
      <c r="E25">
        <v>1</v>
      </c>
      <c r="I25" s="3">
        <f>'Cozzolini 2018'!B587</f>
        <v>9.9079200000000006E-3</v>
      </c>
      <c r="J25" s="5">
        <f t="shared" si="0"/>
        <v>3.5668512000000006E-2</v>
      </c>
      <c r="K25" s="4">
        <f>SUM('Cozzolini 2018'!B585:B586)</f>
        <v>7.6071600000000004</v>
      </c>
      <c r="O25" s="5">
        <f>'Cozzolini 2018'!B588</f>
        <v>1.9066666666666667</v>
      </c>
      <c r="R25">
        <f>'Cozzolini 2018'!B576</f>
        <v>39.6</v>
      </c>
      <c r="S25" s="43">
        <f t="shared" si="1"/>
        <v>39.6</v>
      </c>
    </row>
    <row r="26" spans="2:19" x14ac:dyDescent="0.3">
      <c r="B26" t="s">
        <v>889</v>
      </c>
      <c r="C26" t="s">
        <v>581</v>
      </c>
      <c r="D26" t="s">
        <v>1044</v>
      </c>
      <c r="E26">
        <v>1</v>
      </c>
      <c r="F26" s="4">
        <f>'Cozzolini 2018'!B660</f>
        <v>0.97220991758241904</v>
      </c>
      <c r="G26" s="4">
        <f>'Cozzolini 2018'!B662</f>
        <v>3.851312637362637E-3</v>
      </c>
      <c r="H26" s="4">
        <f>'Cozzolini 2018'!B653</f>
        <v>3.3196796703296701E-3</v>
      </c>
      <c r="I26" s="3">
        <f>'Cozzolini 2018'!B661</f>
        <v>2.1103407692307695E-2</v>
      </c>
      <c r="J26" s="5">
        <f t="shared" si="0"/>
        <v>1.055353177582419</v>
      </c>
      <c r="K26" s="4"/>
      <c r="L26" s="44">
        <f>SUM('Cozzolini 2018'!B654,'Cozzolini 2018'!B656:B657)*1000</f>
        <v>70.867582417582412</v>
      </c>
      <c r="M26" s="5">
        <f>'Cozzolini 2018'!B663*1000000</f>
        <v>2099</v>
      </c>
      <c r="N26" s="43">
        <f>'Cozzolini 2018'!B655*1000000</f>
        <v>2.2697802197802202</v>
      </c>
      <c r="O26" s="5">
        <f>'Cozzolini 2018'!B667</f>
        <v>1.6674166666666665</v>
      </c>
      <c r="P26" s="5">
        <f>'Cozzolini 2018'!B668</f>
        <v>3.58</v>
      </c>
      <c r="Q26" s="72">
        <v>0.09</v>
      </c>
      <c r="R26" s="43">
        <v>26.9</v>
      </c>
      <c r="S26" s="43">
        <f t="shared" si="1"/>
        <v>24.478999999999999</v>
      </c>
    </row>
    <row r="27" spans="2:19" x14ac:dyDescent="0.3">
      <c r="B27" t="s">
        <v>896</v>
      </c>
      <c r="C27" t="s">
        <v>581</v>
      </c>
      <c r="D27" t="s">
        <v>854</v>
      </c>
      <c r="E27">
        <v>1</v>
      </c>
      <c r="F27" s="4">
        <f>'Cozzolini 2018'!B827</f>
        <v>0.118300224</v>
      </c>
      <c r="G27" s="4"/>
      <c r="H27" s="4"/>
      <c r="I27" s="3"/>
      <c r="J27" s="5">
        <f t="shared" si="0"/>
        <v>0.118300224</v>
      </c>
      <c r="K27" s="4"/>
      <c r="L27" s="44">
        <f>SUM('Cozzolini 2018'!B823,'Cozzolini 2018'!B825:B826)*1000</f>
        <v>22.080000000000002</v>
      </c>
      <c r="N27" s="43">
        <f>'Cozzolini 2018'!B824*1000000</f>
        <v>1.1039999999999999</v>
      </c>
      <c r="O27" s="5">
        <f>'Cozzolini 2018'!B833</f>
        <v>1.7069066666666668</v>
      </c>
      <c r="P27" s="5">
        <f>'Cozzolini 2018'!B834</f>
        <v>0.59589999999999999</v>
      </c>
      <c r="Q27" s="72">
        <f>'Cozzolini 2018'!B817</f>
        <v>0.08</v>
      </c>
      <c r="R27" s="43">
        <f>'Cozzolini 2018'!B816</f>
        <v>24</v>
      </c>
      <c r="S27" s="43">
        <f t="shared" si="1"/>
        <v>22.080000000000002</v>
      </c>
    </row>
    <row r="28" spans="2:19" x14ac:dyDescent="0.3">
      <c r="B28" t="s">
        <v>897</v>
      </c>
      <c r="C28" t="s">
        <v>581</v>
      </c>
      <c r="D28" t="s">
        <v>854</v>
      </c>
      <c r="E28">
        <v>1</v>
      </c>
      <c r="F28" s="4"/>
      <c r="G28" s="4"/>
      <c r="H28" s="4"/>
      <c r="I28" s="3">
        <f>'Cozzolini 2018'!B969+'Cozzolini 2018'!B980</f>
        <v>1.1348685764000002</v>
      </c>
      <c r="J28" s="5">
        <f t="shared" si="0"/>
        <v>4.0855268750400011</v>
      </c>
      <c r="K28" s="4"/>
      <c r="L28" s="44">
        <f>('Cozzolini 2018'!B975+'Cozzolini 2018'!B976)*1000</f>
        <v>19.367110599999997</v>
      </c>
      <c r="N28" s="43"/>
      <c r="O28" s="5">
        <f>'Cozzolini 2018'!B971</f>
        <v>1.9433333333333334</v>
      </c>
      <c r="P28" s="5"/>
      <c r="Q28" s="72">
        <v>0</v>
      </c>
      <c r="R28" s="43">
        <f>'Cozzolini 2018'!B970</f>
        <v>13.6</v>
      </c>
      <c r="S28" s="43">
        <f t="shared" si="1"/>
        <v>13.6</v>
      </c>
    </row>
    <row r="30" spans="2:19" ht="21" x14ac:dyDescent="0.4">
      <c r="B30" s="64" t="s">
        <v>271</v>
      </c>
      <c r="C30" s="65"/>
      <c r="D30" s="65"/>
      <c r="E30" s="65"/>
      <c r="F30" s="65"/>
      <c r="G30" s="65"/>
      <c r="H30" s="65"/>
      <c r="I30" s="65"/>
      <c r="J30" s="65"/>
      <c r="K30" s="65"/>
      <c r="L30" s="65"/>
      <c r="M30" s="65"/>
      <c r="N30" s="65"/>
      <c r="O30" s="65"/>
      <c r="P30" s="65"/>
      <c r="Q30" s="65"/>
    </row>
    <row r="31" spans="2:19" x14ac:dyDescent="0.3">
      <c r="B31" s="9" t="s">
        <v>480</v>
      </c>
    </row>
    <row r="32" spans="2:19" x14ac:dyDescent="0.3">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3">
      <c r="B33" t="s">
        <v>7</v>
      </c>
      <c r="E33" t="s">
        <v>8</v>
      </c>
      <c r="F33" t="s">
        <v>107</v>
      </c>
      <c r="G33" t="s">
        <v>463</v>
      </c>
      <c r="H33" t="s">
        <v>463</v>
      </c>
      <c r="I33" t="s">
        <v>463</v>
      </c>
      <c r="J33" t="s">
        <v>463</v>
      </c>
      <c r="K33" t="s">
        <v>248</v>
      </c>
      <c r="L33" t="s">
        <v>463</v>
      </c>
      <c r="M33" t="s">
        <v>8</v>
      </c>
      <c r="N33" t="s">
        <v>463</v>
      </c>
      <c r="O33" t="s">
        <v>476</v>
      </c>
      <c r="P33" t="s">
        <v>476</v>
      </c>
    </row>
    <row r="34" spans="2:17" x14ac:dyDescent="0.3">
      <c r="B34" t="s">
        <v>481</v>
      </c>
      <c r="C34" t="s">
        <v>1050</v>
      </c>
      <c r="D34" t="s">
        <v>21</v>
      </c>
      <c r="E34">
        <v>1</v>
      </c>
      <c r="F34" s="43">
        <f>GREET!B71</f>
        <v>3.5882226085354634</v>
      </c>
      <c r="G34" s="44">
        <f>F34*R6</f>
        <v>54.693097689923214</v>
      </c>
      <c r="H34" s="5">
        <f>GREET!B72</f>
        <v>5.7922364134825585E-2</v>
      </c>
      <c r="I34" s="5"/>
      <c r="J34" s="5"/>
      <c r="K34" s="5"/>
      <c r="L34" s="5">
        <f>SUM(H34:K34)</f>
        <v>5.7922364134825585E-2</v>
      </c>
      <c r="M34" s="5">
        <f>GREET!B80</f>
        <v>3.2974149092166236</v>
      </c>
      <c r="N34">
        <v>29.7</v>
      </c>
      <c r="O34" s="30">
        <f t="shared" ref="O34:O47" si="2">N34/G34</f>
        <v>0.54303013093866137</v>
      </c>
      <c r="P34" s="30">
        <f>N34/SUM(G34,L34)</f>
        <v>0.54245564686604764</v>
      </c>
    </row>
    <row r="35" spans="2:17" x14ac:dyDescent="0.3">
      <c r="B35" t="s">
        <v>482</v>
      </c>
      <c r="C35" t="s">
        <v>1050</v>
      </c>
      <c r="D35" t="s">
        <v>21</v>
      </c>
      <c r="E35">
        <v>1</v>
      </c>
      <c r="F35" s="43">
        <f>GREET!B274</f>
        <v>3.5882226085354634</v>
      </c>
      <c r="G35" s="44">
        <f t="shared" ref="G35:G57" si="3">F35*R7</f>
        <v>60.303616882590632</v>
      </c>
      <c r="H35" s="5">
        <f>GREET!B275</f>
        <v>0.1084435372968679</v>
      </c>
      <c r="I35" s="5"/>
      <c r="J35" s="5"/>
      <c r="K35" s="5"/>
      <c r="L35" s="5">
        <f t="shared" ref="L35:L47" si="4">SUM(H35:K35)</f>
        <v>0.1084435372968679</v>
      </c>
      <c r="M35" s="5">
        <f>GREET!B281</f>
        <v>3.6888301920976998</v>
      </c>
      <c r="N35">
        <v>29.7</v>
      </c>
      <c r="O35" s="30">
        <f t="shared" si="2"/>
        <v>0.49250777209309066</v>
      </c>
      <c r="P35" s="30">
        <f t="shared" ref="P35:P55" si="5">N35/SUM(G35,L35)</f>
        <v>0.49162368893848934</v>
      </c>
    </row>
    <row r="36" spans="2:17" x14ac:dyDescent="0.3">
      <c r="B36" t="s">
        <v>483</v>
      </c>
      <c r="C36" t="s">
        <v>1050</v>
      </c>
      <c r="D36" t="s">
        <v>21</v>
      </c>
      <c r="E36">
        <v>1</v>
      </c>
      <c r="F36" s="43">
        <f>GREET!B475</f>
        <v>3.5882226085354634</v>
      </c>
      <c r="G36" s="44">
        <f t="shared" si="3"/>
        <v>58.285798576455861</v>
      </c>
      <c r="H36" s="5">
        <f>GREET!B476</f>
        <v>0.1084435372968679</v>
      </c>
      <c r="I36" s="5"/>
      <c r="J36" s="5"/>
      <c r="K36" s="5"/>
      <c r="L36" s="5">
        <f t="shared" si="4"/>
        <v>0.1084435372968679</v>
      </c>
      <c r="M36" s="5">
        <f>GREET!B482</f>
        <v>4.397204498325908</v>
      </c>
      <c r="N36">
        <v>29.7</v>
      </c>
      <c r="O36" s="30">
        <f t="shared" si="2"/>
        <v>0.50955808662450253</v>
      </c>
      <c r="P36" s="30">
        <f t="shared" si="5"/>
        <v>0.50861178987722833</v>
      </c>
    </row>
    <row r="37" spans="2:17" x14ac:dyDescent="0.3">
      <c r="B37" t="s">
        <v>484</v>
      </c>
      <c r="C37" t="s">
        <v>1050</v>
      </c>
      <c r="D37" t="s">
        <v>21</v>
      </c>
      <c r="E37">
        <v>1</v>
      </c>
      <c r="F37" s="43">
        <f>GREET!B625</f>
        <v>3.5882226085354634</v>
      </c>
      <c r="G37" s="44">
        <f t="shared" si="3"/>
        <v>65.452271472352905</v>
      </c>
      <c r="H37" s="5">
        <f>GREET!B626</f>
        <v>0.1084435372968679</v>
      </c>
      <c r="I37" s="5"/>
      <c r="J37" s="5"/>
      <c r="K37" s="5"/>
      <c r="L37" s="5">
        <f t="shared" si="4"/>
        <v>0.1084435372968679</v>
      </c>
      <c r="M37" s="5">
        <f>GREET!B629</f>
        <v>4.5806829214491893</v>
      </c>
      <c r="N37">
        <v>29.7</v>
      </c>
      <c r="O37" s="30">
        <f t="shared" si="2"/>
        <v>0.45376576445548272</v>
      </c>
      <c r="P37" s="30">
        <f t="shared" si="5"/>
        <v>0.45301519355956549</v>
      </c>
    </row>
    <row r="38" spans="2:17" x14ac:dyDescent="0.3">
      <c r="B38" t="s">
        <v>485</v>
      </c>
      <c r="C38" t="s">
        <v>1050</v>
      </c>
      <c r="D38" t="s">
        <v>21</v>
      </c>
      <c r="E38">
        <v>1</v>
      </c>
      <c r="F38" s="43">
        <f>GREET!B817</f>
        <v>3.5882226085354634</v>
      </c>
      <c r="G38" s="44">
        <f t="shared" si="3"/>
        <v>58.081366703038825</v>
      </c>
      <c r="H38" s="5">
        <f>GREET!B818</f>
        <v>5.7922364134825585E-2</v>
      </c>
      <c r="I38" s="5"/>
      <c r="J38" s="5"/>
      <c r="K38" s="5"/>
      <c r="L38" s="5">
        <f t="shared" si="4"/>
        <v>5.7922364134825585E-2</v>
      </c>
      <c r="M38" s="5">
        <f>GREET!B826</f>
        <v>4.3977278313450778</v>
      </c>
      <c r="N38">
        <v>29.7</v>
      </c>
      <c r="O38" s="30">
        <f t="shared" si="2"/>
        <v>0.5113516035504394</v>
      </c>
      <c r="P38" s="30">
        <f t="shared" si="5"/>
        <v>0.51084215986344217</v>
      </c>
    </row>
    <row r="39" spans="2:17" x14ac:dyDescent="0.3">
      <c r="B39" t="s">
        <v>486</v>
      </c>
      <c r="C39" t="s">
        <v>1050</v>
      </c>
      <c r="D39" t="s">
        <v>21</v>
      </c>
      <c r="E39">
        <v>1</v>
      </c>
      <c r="F39" s="43">
        <f>GREET!B981</f>
        <v>3.5882226085354634</v>
      </c>
      <c r="G39" s="44">
        <f t="shared" si="3"/>
        <v>55.711471281574724</v>
      </c>
      <c r="H39" s="5">
        <f>GREET!B982</f>
        <v>5.7922364134825585E-2</v>
      </c>
      <c r="I39" s="5"/>
      <c r="J39" s="5"/>
      <c r="K39" s="5"/>
      <c r="L39" s="5">
        <f t="shared" si="4"/>
        <v>5.7922364134825585E-2</v>
      </c>
      <c r="M39" s="5">
        <f>GREET!B990</f>
        <v>4.2460213594931142</v>
      </c>
      <c r="N39">
        <v>29.7</v>
      </c>
      <c r="O39" s="30">
        <f t="shared" si="2"/>
        <v>0.53310385306271002</v>
      </c>
      <c r="P39" s="30">
        <f t="shared" si="5"/>
        <v>0.53255016880186001</v>
      </c>
    </row>
    <row r="40" spans="2:17" x14ac:dyDescent="0.3">
      <c r="B40" t="s">
        <v>487</v>
      </c>
      <c r="C40" t="s">
        <v>1050</v>
      </c>
      <c r="D40" t="s">
        <v>21</v>
      </c>
      <c r="E40">
        <v>1</v>
      </c>
      <c r="F40" s="43">
        <f>GREET!B1176</f>
        <v>13.698636033825473</v>
      </c>
      <c r="G40" s="44">
        <f>F40*S12</f>
        <v>44.737898967489343</v>
      </c>
      <c r="H40" s="5">
        <f>GREET!B1177</f>
        <v>9.2787147859805866E-2</v>
      </c>
      <c r="I40" s="5"/>
      <c r="J40" s="5"/>
      <c r="K40" s="5"/>
      <c r="L40" s="5">
        <f t="shared" si="4"/>
        <v>9.2787147859805866E-2</v>
      </c>
      <c r="M40" s="5">
        <f>GREET!B1179</f>
        <v>4.113399854883208</v>
      </c>
      <c r="N40">
        <v>29.7</v>
      </c>
      <c r="O40" s="30">
        <f t="shared" si="2"/>
        <v>0.66386666976879583</v>
      </c>
      <c r="P40" s="30">
        <f t="shared" si="5"/>
        <v>0.66249264897668603</v>
      </c>
    </row>
    <row r="41" spans="2:17" x14ac:dyDescent="0.3">
      <c r="B41" t="s">
        <v>488</v>
      </c>
      <c r="C41" t="s">
        <v>1050</v>
      </c>
      <c r="D41" t="s">
        <v>21</v>
      </c>
      <c r="E41">
        <v>1</v>
      </c>
      <c r="F41" s="43">
        <f>GREET!B1364</f>
        <v>1.8433282158587381</v>
      </c>
      <c r="G41" s="44">
        <f t="shared" si="3"/>
        <v>24.857837305799002</v>
      </c>
      <c r="H41" s="5"/>
      <c r="I41" s="5">
        <f>GREET!B1365</f>
        <v>5.7136355631557425</v>
      </c>
      <c r="J41" s="5"/>
      <c r="K41" s="5">
        <f>GREET!B1366</f>
        <v>0.14947242037217484</v>
      </c>
      <c r="L41" s="5">
        <f t="shared" si="4"/>
        <v>5.8631079835279172</v>
      </c>
      <c r="M41" s="5">
        <f>GREET!B1372</f>
        <v>0.74223595905244166</v>
      </c>
      <c r="N41">
        <v>29.7</v>
      </c>
      <c r="O41" s="30">
        <f t="shared" si="2"/>
        <v>1.1947942065366799</v>
      </c>
      <c r="P41" s="30">
        <f t="shared" si="5"/>
        <v>0.96676712647635821</v>
      </c>
    </row>
    <row r="42" spans="2:17" x14ac:dyDescent="0.3">
      <c r="B42" t="s">
        <v>489</v>
      </c>
      <c r="C42" t="s">
        <v>1050</v>
      </c>
      <c r="D42" t="s">
        <v>21</v>
      </c>
      <c r="E42">
        <v>1</v>
      </c>
      <c r="F42" s="43">
        <f>GREET!B1556</f>
        <v>21.623881376803233</v>
      </c>
      <c r="G42" s="44">
        <f>F42*S14</f>
        <v>92.051116567234985</v>
      </c>
      <c r="H42" s="5"/>
      <c r="I42" s="5"/>
      <c r="J42" s="5"/>
      <c r="K42" s="5"/>
      <c r="L42" s="5">
        <f t="shared" si="4"/>
        <v>0</v>
      </c>
      <c r="M42" s="5">
        <f>GREET!B1558</f>
        <v>7.4102176496775556</v>
      </c>
      <c r="N42">
        <v>29.7</v>
      </c>
      <c r="O42" s="30">
        <f t="shared" si="2"/>
        <v>0.32264681958862329</v>
      </c>
      <c r="P42" s="30">
        <f t="shared" si="5"/>
        <v>0.32264681958862329</v>
      </c>
    </row>
    <row r="43" spans="2:17" x14ac:dyDescent="0.3">
      <c r="B43" t="s">
        <v>490</v>
      </c>
      <c r="C43" t="s">
        <v>1050</v>
      </c>
      <c r="D43" t="s">
        <v>21</v>
      </c>
      <c r="E43">
        <v>1</v>
      </c>
      <c r="F43" s="43">
        <f>GREET!B1720</f>
        <v>16.84617093768475</v>
      </c>
      <c r="G43" s="44">
        <f>F43*S15</f>
        <v>69.15161806063746</v>
      </c>
      <c r="H43" s="5"/>
      <c r="I43" s="5"/>
      <c r="J43" s="5"/>
      <c r="K43" s="5"/>
      <c r="L43" s="5">
        <f t="shared" si="4"/>
        <v>0</v>
      </c>
      <c r="M43" s="5">
        <f>GREET!B1725</f>
        <v>5.0906378758893194</v>
      </c>
      <c r="N43">
        <v>29.7</v>
      </c>
      <c r="O43" s="30">
        <f t="shared" si="2"/>
        <v>0.42949103481507478</v>
      </c>
      <c r="P43" s="30">
        <f t="shared" si="5"/>
        <v>0.42949103481507478</v>
      </c>
    </row>
    <row r="44" spans="2:17" x14ac:dyDescent="0.3">
      <c r="B44" t="s">
        <v>491</v>
      </c>
      <c r="C44" t="s">
        <v>1050</v>
      </c>
      <c r="D44" t="s">
        <v>1041</v>
      </c>
      <c r="E44">
        <v>1</v>
      </c>
      <c r="F44" s="43">
        <f>GREET!B1940</f>
        <v>1.8111021980989699</v>
      </c>
      <c r="G44" s="44">
        <f t="shared" si="3"/>
        <v>28.687486212358078</v>
      </c>
      <c r="H44" s="5"/>
      <c r="I44" s="5">
        <f>GREET!B1941</f>
        <v>5.6693137930845685</v>
      </c>
      <c r="J44" s="5"/>
      <c r="K44" s="5">
        <f>GREET!B1942</f>
        <v>0.14995054086916701</v>
      </c>
      <c r="L44" s="5">
        <f t="shared" si="4"/>
        <v>5.8192643339537353</v>
      </c>
      <c r="M44" s="5">
        <f>GREET!B1948</f>
        <v>0.75973017505350904</v>
      </c>
      <c r="N44">
        <v>29.7</v>
      </c>
      <c r="O44" s="30">
        <f t="shared" si="2"/>
        <v>1.0352946152251481</v>
      </c>
      <c r="P44" s="30">
        <f t="shared" si="5"/>
        <v>0.86070115353630205</v>
      </c>
    </row>
    <row r="45" spans="2:17" x14ac:dyDescent="0.3">
      <c r="B45" t="s">
        <v>571</v>
      </c>
      <c r="C45" t="s">
        <v>1050</v>
      </c>
      <c r="D45" t="s">
        <v>21</v>
      </c>
      <c r="E45">
        <v>1</v>
      </c>
      <c r="F45" s="43">
        <f>GREET!B2011</f>
        <v>1.8111021980989699</v>
      </c>
      <c r="G45" s="44">
        <f>F45*R16</f>
        <v>28.687486212358078</v>
      </c>
      <c r="H45" s="5"/>
      <c r="I45" s="5">
        <f>GREET!B2012</f>
        <v>5.1340100846521439</v>
      </c>
      <c r="J45" s="5"/>
      <c r="K45" s="5">
        <f>GREET!B2013</f>
        <v>0.23323216265853267</v>
      </c>
      <c r="L45" s="5">
        <f t="shared" ref="L45" si="6">SUM(H45:K45)</f>
        <v>5.3672422473106769</v>
      </c>
      <c r="M45" s="5">
        <f>GREET!B2019</f>
        <v>1.8993254376337743E-2</v>
      </c>
      <c r="N45">
        <v>29.7</v>
      </c>
      <c r="O45" s="30">
        <f t="shared" ref="O45" si="7">N45/G45</f>
        <v>1.0352946152251481</v>
      </c>
      <c r="P45" s="30">
        <f t="shared" si="5"/>
        <v>0.87212558559008668</v>
      </c>
    </row>
    <row r="46" spans="2:17" x14ac:dyDescent="0.3">
      <c r="B46" t="s">
        <v>487</v>
      </c>
      <c r="C46" t="s">
        <v>264</v>
      </c>
      <c r="D46" t="s">
        <v>469</v>
      </c>
      <c r="E46">
        <v>1</v>
      </c>
      <c r="F46" s="43">
        <f>'Pereira et al. 2019'!B117</f>
        <v>15.575994374364498</v>
      </c>
      <c r="G46" s="44">
        <f>F46*S17</f>
        <v>82.42816222913693</v>
      </c>
      <c r="H46" s="5">
        <f>'Pereira et al. 2019'!B113</f>
        <v>0</v>
      </c>
      <c r="I46" s="5"/>
      <c r="J46" s="5"/>
      <c r="K46" s="5"/>
      <c r="L46" s="5">
        <f t="shared" si="4"/>
        <v>0</v>
      </c>
      <c r="M46" s="5">
        <f>'Pereira et al. 2019'!B123</f>
        <v>5.8566239626877756</v>
      </c>
      <c r="N46">
        <v>29.7</v>
      </c>
      <c r="O46" s="30">
        <f t="shared" si="2"/>
        <v>0.36031374710792186</v>
      </c>
      <c r="P46" s="30">
        <f t="shared" si="5"/>
        <v>0.36031374710792186</v>
      </c>
    </row>
    <row r="47" spans="2:17" x14ac:dyDescent="0.3">
      <c r="B47" t="s">
        <v>492</v>
      </c>
      <c r="C47" t="s">
        <v>264</v>
      </c>
      <c r="D47" t="s">
        <v>469</v>
      </c>
      <c r="E47">
        <v>1</v>
      </c>
      <c r="F47" s="43">
        <f>'Pereira et al. 2019'!B180</f>
        <v>3.8248041349292712</v>
      </c>
      <c r="G47" s="44">
        <f>F47*S18</f>
        <v>53.967986343852019</v>
      </c>
      <c r="H47" s="5"/>
      <c r="I47" s="5"/>
      <c r="J47" s="5"/>
      <c r="K47" s="5"/>
      <c r="L47" s="5">
        <f t="shared" si="4"/>
        <v>0</v>
      </c>
      <c r="M47" s="5">
        <f>'Pereira et al. 2019'!B187</f>
        <v>3.5634637535908595</v>
      </c>
      <c r="N47">
        <v>29.7</v>
      </c>
      <c r="O47" s="30">
        <f t="shared" si="2"/>
        <v>0.55032625843716321</v>
      </c>
      <c r="P47" s="30">
        <f t="shared" si="5"/>
        <v>0.55032625843716321</v>
      </c>
    </row>
    <row r="48" spans="2:17" x14ac:dyDescent="0.3">
      <c r="B48" t="s">
        <v>620</v>
      </c>
      <c r="C48" t="s">
        <v>577</v>
      </c>
      <c r="D48" t="s">
        <v>630</v>
      </c>
      <c r="E48">
        <v>1</v>
      </c>
      <c r="F48" s="43">
        <f>'Gonzalez-Garcia et al. 2012'!B78</f>
        <v>5.74</v>
      </c>
      <c r="G48" s="44">
        <f>F48*S19</f>
        <v>64.91940000000001</v>
      </c>
      <c r="H48" s="5"/>
      <c r="I48" s="5"/>
      <c r="J48" s="5"/>
      <c r="K48" s="5"/>
      <c r="L48" s="5">
        <f t="shared" ref="L48:L57" si="8">SUM(H48:J48)+(K48*3.6)</f>
        <v>0</v>
      </c>
      <c r="M48" s="5">
        <f>'Gonzalez-Garcia et al. 2012'!B90</f>
        <v>4.2</v>
      </c>
      <c r="N48">
        <v>29.7</v>
      </c>
      <c r="O48" s="30">
        <f>N48/G48</f>
        <v>0.45749036497564666</v>
      </c>
      <c r="P48" s="30">
        <f t="shared" si="5"/>
        <v>0.45749036497564666</v>
      </c>
      <c r="Q48" s="44"/>
    </row>
    <row r="49" spans="2:17" x14ac:dyDescent="0.3">
      <c r="B49" t="s">
        <v>859</v>
      </c>
      <c r="C49" t="s">
        <v>581</v>
      </c>
      <c r="D49" t="s">
        <v>854</v>
      </c>
      <c r="E49">
        <v>1</v>
      </c>
      <c r="F49" s="43">
        <f>'Cozzolini 2018'!B134</f>
        <v>2.2311604570861712</v>
      </c>
      <c r="G49" s="44">
        <f t="shared" si="3"/>
        <v>38.375959861882144</v>
      </c>
      <c r="H49" s="5"/>
      <c r="I49" s="5"/>
      <c r="J49" s="5"/>
      <c r="K49" s="5">
        <f>SUM('Cozzolini 2018'!B145:B146)</f>
        <v>0.24616121600000002</v>
      </c>
      <c r="L49" s="5">
        <f t="shared" si="8"/>
        <v>0.88618037760000012</v>
      </c>
      <c r="M49" s="5">
        <f>'Cozzolini 2018'!B147</f>
        <v>1.7807807440264034</v>
      </c>
      <c r="N49">
        <v>26.8</v>
      </c>
      <c r="O49" s="30">
        <f>N49/G49</f>
        <v>0.69835386779783848</v>
      </c>
      <c r="P49" s="30">
        <f t="shared" si="5"/>
        <v>0.68259141851492422</v>
      </c>
      <c r="Q49" s="44"/>
    </row>
    <row r="50" spans="2:17" x14ac:dyDescent="0.3">
      <c r="B50" t="s">
        <v>870</v>
      </c>
      <c r="C50" t="s">
        <v>581</v>
      </c>
      <c r="D50" t="s">
        <v>854</v>
      </c>
      <c r="E50">
        <v>1</v>
      </c>
      <c r="F50" s="43">
        <f>'Cozzolini 2018'!B203</f>
        <v>3.3487885658914727</v>
      </c>
      <c r="G50" s="44">
        <f t="shared" si="3"/>
        <v>58.019708874166213</v>
      </c>
      <c r="H50" s="5"/>
      <c r="I50" s="5"/>
      <c r="J50" s="5"/>
      <c r="K50" s="5">
        <f>SUM('Cozzolini 2018'!B217:B218)</f>
        <v>3.1589696E-2</v>
      </c>
      <c r="L50" s="5">
        <f t="shared" si="8"/>
        <v>0.11372290560000001</v>
      </c>
      <c r="M50" s="5">
        <f>'Cozzolini 2018'!B219</f>
        <v>3.881145589046513</v>
      </c>
      <c r="N50">
        <v>26.8</v>
      </c>
      <c r="O50" s="30">
        <f>N50/G50</f>
        <v>0.46191200404200816</v>
      </c>
      <c r="P50" s="30">
        <f t="shared" si="5"/>
        <v>0.46100839361298374</v>
      </c>
      <c r="Q50" s="44"/>
    </row>
    <row r="51" spans="2:17" x14ac:dyDescent="0.3">
      <c r="B51" t="s">
        <v>862</v>
      </c>
      <c r="C51" t="s">
        <v>581</v>
      </c>
      <c r="D51" t="s">
        <v>854</v>
      </c>
      <c r="E51">
        <v>1</v>
      </c>
      <c r="F51" s="43">
        <f>'Cozzolini 2018'!B343</f>
        <v>2.0213589710276736</v>
      </c>
      <c r="G51" s="44">
        <f t="shared" si="3"/>
        <v>32.948151227751083</v>
      </c>
      <c r="H51" s="5"/>
      <c r="I51" s="5">
        <f>'Cozzolini 2018'!B345</f>
        <v>6.2462400000000002</v>
      </c>
      <c r="J51" s="5"/>
      <c r="K51" s="5">
        <f>SUM('Cozzolini 2018'!B357:B359)</f>
        <v>0.22721796240000006</v>
      </c>
      <c r="L51" s="5">
        <f t="shared" si="8"/>
        <v>7.0642246646400002</v>
      </c>
      <c r="M51" s="5">
        <f>'Cozzolini 2018'!B360</f>
        <v>1.3122732656983251</v>
      </c>
      <c r="N51">
        <v>26.8</v>
      </c>
      <c r="O51" s="30">
        <f>N51/G51</f>
        <v>0.81339920454860881</v>
      </c>
      <c r="P51" s="30">
        <f t="shared" si="5"/>
        <v>0.6697927679194976</v>
      </c>
      <c r="Q51" s="44"/>
    </row>
    <row r="52" spans="2:17" x14ac:dyDescent="0.3">
      <c r="B52" t="s">
        <v>875</v>
      </c>
      <c r="C52" t="s">
        <v>581</v>
      </c>
      <c r="D52" t="s">
        <v>854</v>
      </c>
      <c r="E52">
        <v>1</v>
      </c>
      <c r="F52" s="43">
        <f>'Cozzolini 2018'!B469</f>
        <v>8.6286134969325143</v>
      </c>
      <c r="G52" s="44">
        <f t="shared" si="3"/>
        <v>163.94365644171776</v>
      </c>
      <c r="H52" s="5"/>
      <c r="I52" s="5">
        <f>'Cozzolini 2018'!B470</f>
        <v>1.9939199999999999</v>
      </c>
      <c r="J52" s="5"/>
      <c r="K52" s="5">
        <f>'Cozzolini 2018'!B477+'Cozzolini 2018'!B478</f>
        <v>0.24318105600000003</v>
      </c>
      <c r="L52" s="5">
        <f t="shared" si="8"/>
        <v>2.8693718015999998</v>
      </c>
      <c r="M52" s="5">
        <f>'Cozzolini 2018'!B479</f>
        <v>2.0985209914110428</v>
      </c>
      <c r="N52">
        <v>26.8</v>
      </c>
      <c r="O52" s="30">
        <f t="shared" ref="O52:O55" si="9">N52/G52</f>
        <v>0.16347079589216948</v>
      </c>
      <c r="P52" s="30">
        <f t="shared" si="5"/>
        <v>0.1606589142480456</v>
      </c>
      <c r="Q52" s="44"/>
    </row>
    <row r="53" spans="2:17" x14ac:dyDescent="0.3">
      <c r="B53" t="s">
        <v>484</v>
      </c>
      <c r="C53" t="s">
        <v>581</v>
      </c>
      <c r="D53" t="s">
        <v>854</v>
      </c>
      <c r="E53">
        <v>1</v>
      </c>
      <c r="F53" s="43">
        <f>'Cozzolini 2018'!B535</f>
        <v>3.0842105263157897</v>
      </c>
      <c r="G53" s="44">
        <f t="shared" si="3"/>
        <v>122.13473684210528</v>
      </c>
      <c r="H53" s="5"/>
      <c r="I53" s="5"/>
      <c r="J53" s="5"/>
      <c r="K53" s="5">
        <f>'Cozzolini 2018'!B544</f>
        <v>3.1589696E-2</v>
      </c>
      <c r="L53" s="5">
        <f t="shared" si="8"/>
        <v>0.11372290560000001</v>
      </c>
      <c r="M53" s="5">
        <f>'Cozzolini 2018'!B545</f>
        <v>4.4804320000000013</v>
      </c>
      <c r="N53">
        <v>26.8</v>
      </c>
      <c r="O53" s="30">
        <f t="shared" si="9"/>
        <v>0.21942979280863237</v>
      </c>
      <c r="P53" s="30">
        <f t="shared" si="5"/>
        <v>0.21922566595366091</v>
      </c>
      <c r="Q53" s="44"/>
    </row>
    <row r="54" spans="2:17" ht="15.6" x14ac:dyDescent="0.3">
      <c r="B54" s="2" t="s">
        <v>888</v>
      </c>
      <c r="C54" t="s">
        <v>581</v>
      </c>
      <c r="D54" t="s">
        <v>854</v>
      </c>
      <c r="E54">
        <v>1</v>
      </c>
      <c r="F54" s="43">
        <f>'Cozzolini 2018'!B601</f>
        <v>1.0256410256410258</v>
      </c>
      <c r="G54" s="44">
        <f t="shared" si="3"/>
        <v>27.589743589743591</v>
      </c>
      <c r="H54" s="5"/>
      <c r="I54" s="5"/>
      <c r="J54" s="5"/>
      <c r="K54" s="5">
        <f>SUM('Cozzolini 2018'!B612:B614)</f>
        <v>8.5938696000000009E-2</v>
      </c>
      <c r="L54" s="5">
        <f t="shared" si="8"/>
        <v>0.30937930560000004</v>
      </c>
      <c r="M54" s="5">
        <f>'Cozzolini 2018'!B615*-1</f>
        <v>-0.89444444444444415</v>
      </c>
      <c r="N54">
        <v>37.200000000000003</v>
      </c>
      <c r="O54" s="30">
        <f t="shared" si="9"/>
        <v>1.3483271375464685</v>
      </c>
      <c r="P54" s="30">
        <f t="shared" si="5"/>
        <v>1.3333752512416346</v>
      </c>
      <c r="Q54" s="44"/>
    </row>
    <row r="55" spans="2:17" ht="15.6" x14ac:dyDescent="0.3">
      <c r="B55" s="2" t="s">
        <v>893</v>
      </c>
      <c r="C55" t="s">
        <v>581</v>
      </c>
      <c r="D55" t="s">
        <v>854</v>
      </c>
      <c r="E55">
        <v>1</v>
      </c>
      <c r="F55" s="43">
        <f>'Cozzolini 2018'!B771*'Cozzolini 2018'!B754*'Cozzolini 2018'!B734</f>
        <v>2.6969842112944966</v>
      </c>
      <c r="G55" s="44">
        <f t="shared" si="3"/>
        <v>64.727621071067915</v>
      </c>
      <c r="H55" s="5"/>
      <c r="I55" s="5">
        <f>'Cozzolini 2018'!B772</f>
        <v>1.2276000000000002</v>
      </c>
      <c r="J55" s="5"/>
      <c r="K55" s="5">
        <f>SUM('Cozzolini 2018'!B782:B784)</f>
        <v>8.5731864000000005E-2</v>
      </c>
      <c r="L55" s="5">
        <f t="shared" si="8"/>
        <v>1.5362347104000003</v>
      </c>
      <c r="M55" s="5">
        <f>'Cozzolini 2018'!B785</f>
        <v>2.2765759229602005</v>
      </c>
      <c r="N55">
        <v>37.200000000000003</v>
      </c>
      <c r="O55" s="30">
        <f t="shared" si="9"/>
        <v>0.57471600816529522</v>
      </c>
      <c r="P55" s="30">
        <f t="shared" si="5"/>
        <v>0.5613920222614599</v>
      </c>
      <c r="Q55" s="44"/>
    </row>
    <row r="56" spans="2:17" ht="15.6" x14ac:dyDescent="0.3">
      <c r="B56" s="2" t="s">
        <v>895</v>
      </c>
      <c r="C56" t="s">
        <v>581</v>
      </c>
      <c r="D56" t="s">
        <v>854</v>
      </c>
      <c r="E56">
        <v>1</v>
      </c>
      <c r="F56" s="43">
        <f>'Cozzolini 2018'!B922*'Cozzolini 2018'!B902*'Cozzolini 2018'!B883</f>
        <v>3.201548559774154</v>
      </c>
      <c r="G56" s="44">
        <f t="shared" si="3"/>
        <v>43.541060412928495</v>
      </c>
      <c r="H56" s="5"/>
      <c r="I56" s="5">
        <f>'Cozzolini 2018'!B923</f>
        <v>1.2290000000000001</v>
      </c>
      <c r="J56" s="5"/>
      <c r="K56" s="5">
        <f>SUM('Cozzolini 2018'!B932:B934)</f>
        <v>8.5731864000000005E-2</v>
      </c>
      <c r="L56" s="5">
        <f t="shared" si="8"/>
        <v>1.5376347104000001</v>
      </c>
      <c r="M56" s="5">
        <f>'Cozzolini 2018'!B935</f>
        <v>3.3798088215825497</v>
      </c>
      <c r="N56">
        <v>37.200000000000003</v>
      </c>
      <c r="O56" s="30">
        <f t="shared" ref="O56" si="10">N56/G56</f>
        <v>0.85436596277646781</v>
      </c>
      <c r="P56" s="30">
        <f t="shared" ref="P56" si="11">N56/SUM(G56,L56)</f>
        <v>0.82522353183086661</v>
      </c>
      <c r="Q56" s="44"/>
    </row>
    <row r="57" spans="2:17" ht="15.6" x14ac:dyDescent="0.3">
      <c r="B57" s="2" t="s">
        <v>898</v>
      </c>
      <c r="C57" t="s">
        <v>581</v>
      </c>
      <c r="D57" t="s">
        <v>854</v>
      </c>
      <c r="E57">
        <v>1</v>
      </c>
      <c r="F57" s="43">
        <f>'Cozzolini 2018'!B993</f>
        <v>2.2084524000000001</v>
      </c>
      <c r="G57" s="44">
        <f t="shared" si="3"/>
        <v>0</v>
      </c>
      <c r="H57" s="5"/>
      <c r="I57" s="5">
        <f>SUM('Cozzolini 2018'!B995:B998)</f>
        <v>5.5887419999999999</v>
      </c>
      <c r="J57" s="5"/>
      <c r="K57" s="5">
        <f>SUM('Cozzolini 2018'!B1005:B1008)</f>
        <v>0.24906702</v>
      </c>
      <c r="L57" s="5">
        <f t="shared" si="8"/>
        <v>6.485383272</v>
      </c>
      <c r="M57" s="5">
        <f>'Cozzolini 2018'!B1009</f>
        <v>1.441759164</v>
      </c>
      <c r="N57">
        <v>37.200000000000003</v>
      </c>
      <c r="O57" s="30" t="e">
        <f t="shared" ref="O57" si="12">N57/G57</f>
        <v>#DIV/0!</v>
      </c>
      <c r="P57" s="30">
        <f t="shared" ref="P57" si="13">N57/SUM(G57,L57)</f>
        <v>5.7359755684151033</v>
      </c>
      <c r="Q57" s="44"/>
    </row>
    <row r="59" spans="2:17" x14ac:dyDescent="0.3">
      <c r="B59" s="9" t="s">
        <v>499</v>
      </c>
    </row>
    <row r="60" spans="2:17" x14ac:dyDescent="0.3">
      <c r="B60" t="s">
        <v>1</v>
      </c>
      <c r="C60" t="s">
        <v>459</v>
      </c>
      <c r="D60" t="s">
        <v>460</v>
      </c>
      <c r="E60" t="s">
        <v>461</v>
      </c>
      <c r="F60" t="s">
        <v>493</v>
      </c>
      <c r="G60" t="s">
        <v>493</v>
      </c>
      <c r="H60" t="s">
        <v>462</v>
      </c>
      <c r="I60" t="s">
        <v>471</v>
      </c>
      <c r="J60" t="s">
        <v>496</v>
      </c>
      <c r="K60" t="s">
        <v>247</v>
      </c>
      <c r="L60" t="s">
        <v>472</v>
      </c>
      <c r="M60" t="s">
        <v>428</v>
      </c>
      <c r="N60" t="s">
        <v>494</v>
      </c>
      <c r="O60" t="s">
        <v>497</v>
      </c>
      <c r="P60" t="s">
        <v>498</v>
      </c>
    </row>
    <row r="61" spans="2:17" x14ac:dyDescent="0.3">
      <c r="B61" t="s">
        <v>7</v>
      </c>
      <c r="E61" t="s">
        <v>19</v>
      </c>
      <c r="F61" t="s">
        <v>107</v>
      </c>
      <c r="G61" t="s">
        <v>463</v>
      </c>
      <c r="H61" t="s">
        <v>463</v>
      </c>
      <c r="I61" t="s">
        <v>463</v>
      </c>
      <c r="J61" t="s">
        <v>463</v>
      </c>
      <c r="K61" t="s">
        <v>248</v>
      </c>
      <c r="L61" t="s">
        <v>463</v>
      </c>
      <c r="M61" t="s">
        <v>8</v>
      </c>
      <c r="N61" t="s">
        <v>463</v>
      </c>
      <c r="O61" t="s">
        <v>476</v>
      </c>
      <c r="P61" t="s">
        <v>476</v>
      </c>
    </row>
    <row r="62" spans="2:17" x14ac:dyDescent="0.3">
      <c r="B62" t="s">
        <v>481</v>
      </c>
      <c r="C62" t="s">
        <v>1050</v>
      </c>
      <c r="D62" t="s">
        <v>21</v>
      </c>
      <c r="E62">
        <v>1</v>
      </c>
      <c r="F62" s="5">
        <f>F34/N34</f>
        <v>0.1208155760449651</v>
      </c>
      <c r="G62" s="5">
        <f>G34/N34</f>
        <v>1.8415184407381553</v>
      </c>
      <c r="H62" s="4">
        <f>H34/N34</f>
        <v>1.9502479506675282E-3</v>
      </c>
      <c r="I62" s="4">
        <f>I34/N34</f>
        <v>0</v>
      </c>
      <c r="J62" s="4">
        <f>J34/N34</f>
        <v>0</v>
      </c>
      <c r="K62" s="4">
        <f>K34/N34</f>
        <v>0</v>
      </c>
      <c r="L62" s="4">
        <f>L34/N34</f>
        <v>1.9502479506675282E-3</v>
      </c>
      <c r="M62" s="4">
        <f>M34/N34</f>
        <v>0.11102407101739474</v>
      </c>
      <c r="N62" s="43">
        <f>N34/N34</f>
        <v>1</v>
      </c>
      <c r="O62" s="30">
        <f t="shared" ref="O62:O75" si="14">N62/G62</f>
        <v>0.54303013093866137</v>
      </c>
      <c r="P62" s="30">
        <f t="shared" ref="P62:P80" si="15">N62/SUM(G62,L62)</f>
        <v>0.54245564686604764</v>
      </c>
    </row>
    <row r="63" spans="2:17" x14ac:dyDescent="0.3">
      <c r="B63" t="s">
        <v>482</v>
      </c>
      <c r="C63" t="s">
        <v>1050</v>
      </c>
      <c r="D63" t="s">
        <v>21</v>
      </c>
      <c r="E63">
        <v>1</v>
      </c>
      <c r="F63" s="5">
        <f t="shared" ref="F63:F80" si="16">F35/N35</f>
        <v>0.1208155760449651</v>
      </c>
      <c r="G63" s="5">
        <f t="shared" ref="G63:G80" si="17">G35/N35</f>
        <v>2.0304248108616374</v>
      </c>
      <c r="H63" s="4">
        <f t="shared" ref="H63:H80" si="18">H35/N35</f>
        <v>3.6512975520830945E-3</v>
      </c>
      <c r="I63" s="4">
        <f t="shared" ref="I63:I80" si="19">I35/N35</f>
        <v>0</v>
      </c>
      <c r="J63" s="4">
        <f t="shared" ref="J63:J80" si="20">J35/N35</f>
        <v>0</v>
      </c>
      <c r="K63" s="4">
        <f t="shared" ref="K63:K80" si="21">K35/N35</f>
        <v>0</v>
      </c>
      <c r="L63" s="4">
        <f t="shared" ref="L63:L80" si="22">L35/N35</f>
        <v>3.6512975520830945E-3</v>
      </c>
      <c r="M63" s="4">
        <f t="shared" ref="M63:M85" si="23">M35/N35</f>
        <v>0.12420303677096632</v>
      </c>
      <c r="N63" s="43">
        <f t="shared" ref="N63:N85" si="24">N35/N35</f>
        <v>1</v>
      </c>
      <c r="O63" s="30">
        <f t="shared" si="14"/>
        <v>0.49250777209309066</v>
      </c>
      <c r="P63" s="30">
        <f t="shared" si="15"/>
        <v>0.49162368893848946</v>
      </c>
    </row>
    <row r="64" spans="2:17" x14ac:dyDescent="0.3">
      <c r="B64" t="s">
        <v>483</v>
      </c>
      <c r="C64" t="s">
        <v>1050</v>
      </c>
      <c r="D64" t="s">
        <v>21</v>
      </c>
      <c r="E64">
        <v>1</v>
      </c>
      <c r="F64" s="5">
        <f t="shared" si="16"/>
        <v>0.1208155760449651</v>
      </c>
      <c r="G64" s="5">
        <f t="shared" si="17"/>
        <v>1.9624848005540694</v>
      </c>
      <c r="H64" s="4">
        <f t="shared" si="18"/>
        <v>3.6512975520830945E-3</v>
      </c>
      <c r="I64" s="4">
        <f t="shared" si="19"/>
        <v>0</v>
      </c>
      <c r="J64" s="4">
        <f t="shared" si="20"/>
        <v>0</v>
      </c>
      <c r="K64" s="4">
        <f t="shared" si="21"/>
        <v>0</v>
      </c>
      <c r="L64" s="4">
        <f t="shared" si="22"/>
        <v>3.6512975520830945E-3</v>
      </c>
      <c r="M64" s="4">
        <f t="shared" si="23"/>
        <v>0.14805402351265684</v>
      </c>
      <c r="N64" s="43">
        <f t="shared" si="24"/>
        <v>1</v>
      </c>
      <c r="O64" s="30">
        <f t="shared" si="14"/>
        <v>0.50955808662450253</v>
      </c>
      <c r="P64" s="30">
        <f t="shared" si="15"/>
        <v>0.50861178987722833</v>
      </c>
    </row>
    <row r="65" spans="2:16" x14ac:dyDescent="0.3">
      <c r="B65" t="s">
        <v>484</v>
      </c>
      <c r="C65" t="s">
        <v>1050</v>
      </c>
      <c r="D65" t="s">
        <v>21</v>
      </c>
      <c r="E65">
        <v>1</v>
      </c>
      <c r="F65" s="5">
        <f t="shared" si="16"/>
        <v>0.1208155760449651</v>
      </c>
      <c r="G65" s="5">
        <f t="shared" si="17"/>
        <v>2.2037801842543066</v>
      </c>
      <c r="H65" s="4">
        <f t="shared" si="18"/>
        <v>3.6512975520830945E-3</v>
      </c>
      <c r="I65" s="4">
        <f t="shared" si="19"/>
        <v>0</v>
      </c>
      <c r="J65" s="4">
        <f t="shared" si="20"/>
        <v>0</v>
      </c>
      <c r="K65" s="4">
        <f t="shared" si="21"/>
        <v>0</v>
      </c>
      <c r="L65" s="4">
        <f t="shared" si="22"/>
        <v>3.6512975520830945E-3</v>
      </c>
      <c r="M65" s="4">
        <f t="shared" si="23"/>
        <v>0.15423174819694241</v>
      </c>
      <c r="N65" s="43">
        <f t="shared" si="24"/>
        <v>1</v>
      </c>
      <c r="O65" s="30">
        <f t="shared" si="14"/>
        <v>0.45376576445548272</v>
      </c>
      <c r="P65" s="30">
        <f t="shared" si="15"/>
        <v>0.45301519355956549</v>
      </c>
    </row>
    <row r="66" spans="2:16" x14ac:dyDescent="0.3">
      <c r="B66" t="s">
        <v>485</v>
      </c>
      <c r="C66" t="s">
        <v>1050</v>
      </c>
      <c r="D66" t="s">
        <v>21</v>
      </c>
      <c r="E66">
        <v>1</v>
      </c>
      <c r="F66" s="5">
        <f t="shared" si="16"/>
        <v>0.1208155760449651</v>
      </c>
      <c r="G66" s="5">
        <f t="shared" si="17"/>
        <v>1.9556015724928897</v>
      </c>
      <c r="H66" s="4">
        <f t="shared" si="18"/>
        <v>1.9502479506675282E-3</v>
      </c>
      <c r="I66" s="4">
        <f t="shared" si="19"/>
        <v>0</v>
      </c>
      <c r="J66" s="4">
        <f t="shared" si="20"/>
        <v>0</v>
      </c>
      <c r="K66" s="4">
        <f t="shared" si="21"/>
        <v>0</v>
      </c>
      <c r="L66" s="4">
        <f t="shared" si="22"/>
        <v>1.9502479506675282E-3</v>
      </c>
      <c r="M66" s="4">
        <f t="shared" si="23"/>
        <v>0.14807164415303292</v>
      </c>
      <c r="N66" s="43">
        <f t="shared" si="24"/>
        <v>1</v>
      </c>
      <c r="O66" s="30">
        <f t="shared" si="14"/>
        <v>0.5113516035504394</v>
      </c>
      <c r="P66" s="30">
        <f t="shared" si="15"/>
        <v>0.51084215986344228</v>
      </c>
    </row>
    <row r="67" spans="2:16" x14ac:dyDescent="0.3">
      <c r="B67" t="s">
        <v>486</v>
      </c>
      <c r="C67" t="s">
        <v>1050</v>
      </c>
      <c r="D67" t="s">
        <v>21</v>
      </c>
      <c r="E67">
        <v>1</v>
      </c>
      <c r="F67" s="5">
        <f t="shared" si="16"/>
        <v>0.1208155760449651</v>
      </c>
      <c r="G67" s="5">
        <f t="shared" si="17"/>
        <v>1.8758071138577348</v>
      </c>
      <c r="H67" s="4">
        <f t="shared" si="18"/>
        <v>1.9502479506675282E-3</v>
      </c>
      <c r="I67" s="4">
        <f t="shared" si="19"/>
        <v>0</v>
      </c>
      <c r="J67" s="4">
        <f t="shared" si="20"/>
        <v>0</v>
      </c>
      <c r="K67" s="4">
        <f t="shared" si="21"/>
        <v>0</v>
      </c>
      <c r="L67" s="4">
        <f t="shared" si="22"/>
        <v>1.9502479506675282E-3</v>
      </c>
      <c r="M67" s="4">
        <f t="shared" si="23"/>
        <v>0.1429636821378153</v>
      </c>
      <c r="N67" s="43">
        <f t="shared" si="24"/>
        <v>1</v>
      </c>
      <c r="O67" s="30">
        <f t="shared" si="14"/>
        <v>0.53310385306271002</v>
      </c>
      <c r="P67" s="30">
        <f t="shared" si="15"/>
        <v>0.53255016880186001</v>
      </c>
    </row>
    <row r="68" spans="2:16" x14ac:dyDescent="0.3">
      <c r="B68" t="s">
        <v>487</v>
      </c>
      <c r="C68" t="s">
        <v>1050</v>
      </c>
      <c r="D68" t="s">
        <v>21</v>
      </c>
      <c r="E68">
        <v>1</v>
      </c>
      <c r="F68" s="5">
        <f t="shared" si="16"/>
        <v>0.46123353649244014</v>
      </c>
      <c r="G68" s="5">
        <f t="shared" si="17"/>
        <v>1.5063265645619308</v>
      </c>
      <c r="H68" s="4">
        <f t="shared" si="18"/>
        <v>3.1241463925860561E-3</v>
      </c>
      <c r="I68" s="4">
        <f t="shared" si="19"/>
        <v>0</v>
      </c>
      <c r="J68" s="4">
        <f t="shared" si="20"/>
        <v>0</v>
      </c>
      <c r="K68" s="4">
        <f t="shared" si="21"/>
        <v>0</v>
      </c>
      <c r="L68" s="4">
        <f t="shared" si="22"/>
        <v>3.1241463925860561E-3</v>
      </c>
      <c r="M68" s="4">
        <f t="shared" si="23"/>
        <v>0.13849831161222922</v>
      </c>
      <c r="N68" s="43">
        <f t="shared" si="24"/>
        <v>1</v>
      </c>
      <c r="O68" s="30">
        <f t="shared" si="14"/>
        <v>0.66386666976879583</v>
      </c>
      <c r="P68" s="30">
        <f t="shared" si="15"/>
        <v>0.66249264897668614</v>
      </c>
    </row>
    <row r="69" spans="2:16" x14ac:dyDescent="0.3">
      <c r="B69" t="s">
        <v>488</v>
      </c>
      <c r="C69" t="s">
        <v>1050</v>
      </c>
      <c r="D69" t="s">
        <v>21</v>
      </c>
      <c r="E69">
        <v>1</v>
      </c>
      <c r="F69" s="5">
        <f t="shared" si="16"/>
        <v>6.2064923092886803E-2</v>
      </c>
      <c r="G69" s="5">
        <f t="shared" si="17"/>
        <v>0.83696421905047147</v>
      </c>
      <c r="H69" s="4">
        <f t="shared" si="18"/>
        <v>0</v>
      </c>
      <c r="I69" s="4">
        <f t="shared" si="19"/>
        <v>0.19237830178975565</v>
      </c>
      <c r="J69" s="4">
        <f t="shared" si="20"/>
        <v>0</v>
      </c>
      <c r="K69" s="4">
        <f t="shared" si="21"/>
        <v>5.0327414266725535E-3</v>
      </c>
      <c r="L69" s="4">
        <f t="shared" si="22"/>
        <v>0.19741104321642819</v>
      </c>
      <c r="M69" s="4">
        <f t="shared" si="23"/>
        <v>2.4991109732405443E-2</v>
      </c>
      <c r="N69" s="43">
        <f t="shared" si="24"/>
        <v>1</v>
      </c>
      <c r="O69" s="30">
        <f t="shared" si="14"/>
        <v>1.1947942065366799</v>
      </c>
      <c r="P69" s="30">
        <f t="shared" si="15"/>
        <v>0.96676712647635832</v>
      </c>
    </row>
    <row r="70" spans="2:16" x14ac:dyDescent="0.3">
      <c r="B70" t="s">
        <v>489</v>
      </c>
      <c r="C70" t="s">
        <v>1050</v>
      </c>
      <c r="D70" t="s">
        <v>21</v>
      </c>
      <c r="E70">
        <v>1</v>
      </c>
      <c r="F70" s="5">
        <f t="shared" si="16"/>
        <v>0.72807681403377889</v>
      </c>
      <c r="G70" s="5">
        <f t="shared" si="17"/>
        <v>3.0993641941829964</v>
      </c>
      <c r="H70" s="4">
        <f t="shared" si="18"/>
        <v>0</v>
      </c>
      <c r="I70" s="4">
        <f t="shared" si="19"/>
        <v>0</v>
      </c>
      <c r="J70" s="4">
        <f t="shared" si="20"/>
        <v>0</v>
      </c>
      <c r="K70" s="4">
        <f t="shared" si="21"/>
        <v>0</v>
      </c>
      <c r="L70" s="4">
        <f t="shared" si="22"/>
        <v>0</v>
      </c>
      <c r="M70" s="4">
        <f t="shared" si="23"/>
        <v>0.24950227776692108</v>
      </c>
      <c r="N70" s="43">
        <f t="shared" si="24"/>
        <v>1</v>
      </c>
      <c r="O70" s="30">
        <f t="shared" si="14"/>
        <v>0.32264681958862329</v>
      </c>
      <c r="P70" s="30">
        <f t="shared" si="15"/>
        <v>0.32264681958862329</v>
      </c>
    </row>
    <row r="71" spans="2:16" x14ac:dyDescent="0.3">
      <c r="B71" t="s">
        <v>490</v>
      </c>
      <c r="C71" t="s">
        <v>1050</v>
      </c>
      <c r="D71" t="s">
        <v>21</v>
      </c>
      <c r="E71">
        <v>1</v>
      </c>
      <c r="F71" s="5">
        <f t="shared" si="16"/>
        <v>0.56721114268298822</v>
      </c>
      <c r="G71" s="5">
        <f t="shared" si="17"/>
        <v>2.3283373084389716</v>
      </c>
      <c r="H71" s="4">
        <f t="shared" si="18"/>
        <v>0</v>
      </c>
      <c r="I71" s="4">
        <f t="shared" si="19"/>
        <v>0</v>
      </c>
      <c r="J71" s="4">
        <f t="shared" si="20"/>
        <v>0</v>
      </c>
      <c r="K71" s="4">
        <f t="shared" si="21"/>
        <v>0</v>
      </c>
      <c r="L71" s="4">
        <f t="shared" si="22"/>
        <v>0</v>
      </c>
      <c r="M71" s="4">
        <f t="shared" si="23"/>
        <v>0.17140194868314207</v>
      </c>
      <c r="N71" s="43">
        <f t="shared" si="24"/>
        <v>1</v>
      </c>
      <c r="O71" s="30">
        <f t="shared" si="14"/>
        <v>0.42949103481507483</v>
      </c>
      <c r="P71" s="30">
        <f t="shared" si="15"/>
        <v>0.42949103481507483</v>
      </c>
    </row>
    <row r="72" spans="2:16" x14ac:dyDescent="0.3">
      <c r="B72" t="s">
        <v>491</v>
      </c>
      <c r="C72" t="s">
        <v>1050</v>
      </c>
      <c r="D72" t="s">
        <v>1041</v>
      </c>
      <c r="E72">
        <v>1</v>
      </c>
      <c r="F72" s="5">
        <f t="shared" si="16"/>
        <v>6.0979871989864307E-2</v>
      </c>
      <c r="G72" s="5">
        <f t="shared" si="17"/>
        <v>0.96590862667872313</v>
      </c>
      <c r="H72" s="4">
        <f t="shared" si="18"/>
        <v>0</v>
      </c>
      <c r="I72" s="4">
        <f t="shared" si="19"/>
        <v>0.19088598629914372</v>
      </c>
      <c r="J72" s="4">
        <f t="shared" si="20"/>
        <v>0</v>
      </c>
      <c r="K72" s="4">
        <f t="shared" si="21"/>
        <v>5.0488397599046135E-3</v>
      </c>
      <c r="L72" s="4">
        <f t="shared" si="22"/>
        <v>0.19593482605904833</v>
      </c>
      <c r="M72" s="4">
        <f t="shared" si="23"/>
        <v>2.5580140574192223E-2</v>
      </c>
      <c r="N72" s="43">
        <f t="shared" si="24"/>
        <v>1</v>
      </c>
      <c r="O72" s="30">
        <f t="shared" si="14"/>
        <v>1.0352946152251483</v>
      </c>
      <c r="P72" s="30">
        <f t="shared" si="15"/>
        <v>0.86070115353630217</v>
      </c>
    </row>
    <row r="73" spans="2:16" x14ac:dyDescent="0.3">
      <c r="B73" t="s">
        <v>571</v>
      </c>
      <c r="C73" t="s">
        <v>1050</v>
      </c>
      <c r="D73" t="s">
        <v>21</v>
      </c>
      <c r="E73">
        <v>1</v>
      </c>
      <c r="F73" s="5">
        <f t="shared" si="16"/>
        <v>6.0979871989864307E-2</v>
      </c>
      <c r="G73" s="5">
        <f t="shared" si="17"/>
        <v>0.96590862667872313</v>
      </c>
      <c r="H73" s="4">
        <f t="shared" si="18"/>
        <v>0</v>
      </c>
      <c r="I73" s="4">
        <f t="shared" si="19"/>
        <v>0.17286229241253009</v>
      </c>
      <c r="J73" s="4">
        <f t="shared" si="20"/>
        <v>0</v>
      </c>
      <c r="K73" s="4">
        <f t="shared" si="21"/>
        <v>7.8529347696475651E-3</v>
      </c>
      <c r="L73" s="4">
        <f t="shared" si="22"/>
        <v>0.18071522718217767</v>
      </c>
      <c r="M73" s="4">
        <f t="shared" si="23"/>
        <v>6.3950351435480618E-4</v>
      </c>
      <c r="N73" s="43">
        <f t="shared" si="24"/>
        <v>1</v>
      </c>
      <c r="O73" s="30">
        <f t="shared" ref="O73" si="25">N73/G73</f>
        <v>1.0352946152251483</v>
      </c>
      <c r="P73" s="30">
        <f t="shared" si="15"/>
        <v>0.87212558559008657</v>
      </c>
    </row>
    <row r="74" spans="2:16" x14ac:dyDescent="0.3">
      <c r="B74" t="s">
        <v>487</v>
      </c>
      <c r="C74" t="s">
        <v>264</v>
      </c>
      <c r="D74" t="s">
        <v>469</v>
      </c>
      <c r="E74">
        <v>1</v>
      </c>
      <c r="F74" s="5">
        <f t="shared" si="16"/>
        <v>0.52444425502910774</v>
      </c>
      <c r="G74" s="5">
        <f t="shared" si="17"/>
        <v>2.7753589976140383</v>
      </c>
      <c r="H74" s="4">
        <f t="shared" si="18"/>
        <v>0</v>
      </c>
      <c r="I74" s="4">
        <f t="shared" si="19"/>
        <v>0</v>
      </c>
      <c r="J74" s="4">
        <f t="shared" si="20"/>
        <v>0</v>
      </c>
      <c r="K74" s="4">
        <f t="shared" si="21"/>
        <v>0</v>
      </c>
      <c r="L74" s="4">
        <f t="shared" si="22"/>
        <v>0</v>
      </c>
      <c r="M74" s="4">
        <f t="shared" si="23"/>
        <v>0.19719272601642343</v>
      </c>
      <c r="N74" s="43">
        <f t="shared" si="24"/>
        <v>1</v>
      </c>
      <c r="O74" s="30">
        <f t="shared" si="14"/>
        <v>0.3603137471079218</v>
      </c>
      <c r="P74" s="30">
        <f t="shared" si="15"/>
        <v>0.3603137471079218</v>
      </c>
    </row>
    <row r="75" spans="2:16" x14ac:dyDescent="0.3">
      <c r="B75" t="s">
        <v>492</v>
      </c>
      <c r="C75" t="s">
        <v>264</v>
      </c>
      <c r="D75" t="s">
        <v>469</v>
      </c>
      <c r="E75">
        <v>1</v>
      </c>
      <c r="F75" s="5">
        <f t="shared" si="16"/>
        <v>0.12878128400435257</v>
      </c>
      <c r="G75" s="5">
        <f t="shared" si="17"/>
        <v>1.8171039173014147</v>
      </c>
      <c r="H75" s="4">
        <f t="shared" si="18"/>
        <v>0</v>
      </c>
      <c r="I75" s="4">
        <f t="shared" si="19"/>
        <v>0</v>
      </c>
      <c r="J75" s="4">
        <f t="shared" si="20"/>
        <v>0</v>
      </c>
      <c r="K75" s="4">
        <f t="shared" si="21"/>
        <v>0</v>
      </c>
      <c r="L75" s="4">
        <f t="shared" si="22"/>
        <v>0</v>
      </c>
      <c r="M75" s="4">
        <f t="shared" si="23"/>
        <v>0.1199819445653488</v>
      </c>
      <c r="N75" s="43">
        <f t="shared" si="24"/>
        <v>1</v>
      </c>
      <c r="O75" s="30">
        <f t="shared" si="14"/>
        <v>0.55032625843716321</v>
      </c>
      <c r="P75" s="30">
        <f t="shared" si="15"/>
        <v>0.55032625843716321</v>
      </c>
    </row>
    <row r="76" spans="2:16" x14ac:dyDescent="0.3">
      <c r="B76" t="s">
        <v>620</v>
      </c>
      <c r="C76" t="s">
        <v>577</v>
      </c>
      <c r="D76" t="s">
        <v>630</v>
      </c>
      <c r="E76">
        <v>1</v>
      </c>
      <c r="F76" s="5">
        <f t="shared" si="16"/>
        <v>0.19326599326599328</v>
      </c>
      <c r="G76" s="5">
        <f t="shared" si="17"/>
        <v>2.1858383838383841</v>
      </c>
      <c r="H76" s="4">
        <f t="shared" si="18"/>
        <v>0</v>
      </c>
      <c r="I76" s="4">
        <f t="shared" si="19"/>
        <v>0</v>
      </c>
      <c r="J76" s="4">
        <f t="shared" si="20"/>
        <v>0</v>
      </c>
      <c r="K76" s="4">
        <f t="shared" si="21"/>
        <v>0</v>
      </c>
      <c r="L76" s="4">
        <f t="shared" si="22"/>
        <v>0</v>
      </c>
      <c r="M76" s="4">
        <f t="shared" si="23"/>
        <v>0.14141414141414144</v>
      </c>
      <c r="N76" s="43">
        <f t="shared" si="24"/>
        <v>1</v>
      </c>
      <c r="O76" s="30">
        <f t="shared" ref="O76" si="26">N76/G76</f>
        <v>0.45749036497564666</v>
      </c>
      <c r="P76" s="30">
        <f t="shared" si="15"/>
        <v>0.45749036497564666</v>
      </c>
    </row>
    <row r="77" spans="2:16" x14ac:dyDescent="0.3">
      <c r="B77" t="s">
        <v>859</v>
      </c>
      <c r="C77" t="s">
        <v>581</v>
      </c>
      <c r="D77" t="s">
        <v>854</v>
      </c>
      <c r="E77">
        <v>1</v>
      </c>
      <c r="F77" s="5">
        <f t="shared" si="16"/>
        <v>8.325225586142429E-2</v>
      </c>
      <c r="G77" s="5">
        <f t="shared" si="17"/>
        <v>1.4319388008164979</v>
      </c>
      <c r="H77" s="4">
        <f t="shared" si="18"/>
        <v>0</v>
      </c>
      <c r="I77" s="4">
        <f t="shared" si="19"/>
        <v>0</v>
      </c>
      <c r="J77" s="4">
        <f t="shared" si="20"/>
        <v>0</v>
      </c>
      <c r="K77" s="4">
        <f t="shared" si="21"/>
        <v>9.1851199999999997E-3</v>
      </c>
      <c r="L77" s="4">
        <f t="shared" si="22"/>
        <v>3.3066432000000007E-2</v>
      </c>
      <c r="M77" s="4">
        <f t="shared" si="23"/>
        <v>6.644704268755236E-2</v>
      </c>
      <c r="N77" s="43">
        <f t="shared" si="24"/>
        <v>1</v>
      </c>
      <c r="O77" s="30">
        <f t="shared" ref="O77" si="27">N77/G77</f>
        <v>0.69835386779783848</v>
      </c>
      <c r="P77" s="30">
        <f t="shared" si="15"/>
        <v>0.68259141851492411</v>
      </c>
    </row>
    <row r="78" spans="2:16" x14ac:dyDescent="0.3">
      <c r="B78" t="s">
        <v>870</v>
      </c>
      <c r="C78" t="s">
        <v>581</v>
      </c>
      <c r="D78" t="s">
        <v>854</v>
      </c>
      <c r="E78">
        <v>1</v>
      </c>
      <c r="F78" s="5">
        <f t="shared" si="16"/>
        <v>0.12495479723475644</v>
      </c>
      <c r="G78" s="5">
        <f t="shared" si="17"/>
        <v>2.1649145102300826</v>
      </c>
      <c r="H78" s="4">
        <f t="shared" si="18"/>
        <v>0</v>
      </c>
      <c r="I78" s="4">
        <f t="shared" si="19"/>
        <v>0</v>
      </c>
      <c r="J78" s="4">
        <f t="shared" si="20"/>
        <v>0</v>
      </c>
      <c r="K78" s="4">
        <f t="shared" si="21"/>
        <v>1.1787200000000001E-3</v>
      </c>
      <c r="L78" s="4">
        <f t="shared" si="22"/>
        <v>4.2433920000000003E-3</v>
      </c>
      <c r="M78" s="4">
        <f t="shared" si="23"/>
        <v>0.14481886526292959</v>
      </c>
      <c r="N78" s="43">
        <f t="shared" si="24"/>
        <v>1</v>
      </c>
      <c r="O78" s="30">
        <f t="shared" ref="O78" si="28">N78/G78</f>
        <v>0.46191200404200816</v>
      </c>
      <c r="P78" s="30">
        <f t="shared" si="15"/>
        <v>0.46100839361298379</v>
      </c>
    </row>
    <row r="79" spans="2:16" x14ac:dyDescent="0.3">
      <c r="B79" t="s">
        <v>862</v>
      </c>
      <c r="C79" t="s">
        <v>581</v>
      </c>
      <c r="D79" t="s">
        <v>854</v>
      </c>
      <c r="E79">
        <v>1</v>
      </c>
      <c r="F79" s="5">
        <f t="shared" si="16"/>
        <v>7.5423842202525126E-2</v>
      </c>
      <c r="G79" s="5">
        <f t="shared" si="17"/>
        <v>1.2294086279011598</v>
      </c>
      <c r="H79" s="4">
        <f t="shared" si="18"/>
        <v>0</v>
      </c>
      <c r="I79" s="4">
        <f t="shared" si="19"/>
        <v>0.23306865671641791</v>
      </c>
      <c r="J79" s="4">
        <f t="shared" si="20"/>
        <v>0</v>
      </c>
      <c r="K79" s="4">
        <f t="shared" si="21"/>
        <v>8.4782821791044797E-3</v>
      </c>
      <c r="L79" s="4">
        <f t="shared" si="22"/>
        <v>0.26359047256119406</v>
      </c>
      <c r="M79" s="4">
        <f t="shared" si="23"/>
        <v>4.8965420361877801E-2</v>
      </c>
      <c r="N79" s="43">
        <f t="shared" si="24"/>
        <v>1</v>
      </c>
      <c r="O79" s="30">
        <f t="shared" ref="O79" si="29">N79/G79</f>
        <v>0.81339920454860881</v>
      </c>
      <c r="P79" s="30">
        <f t="shared" si="15"/>
        <v>0.6697927679194976</v>
      </c>
    </row>
    <row r="80" spans="2:16" x14ac:dyDescent="0.3">
      <c r="B80" t="s">
        <v>875</v>
      </c>
      <c r="C80" t="s">
        <v>581</v>
      </c>
      <c r="D80" t="s">
        <v>854</v>
      </c>
      <c r="E80">
        <v>1</v>
      </c>
      <c r="F80" s="5">
        <f t="shared" si="16"/>
        <v>0.32196319018404901</v>
      </c>
      <c r="G80" s="5">
        <f t="shared" si="17"/>
        <v>6.1173006134969317</v>
      </c>
      <c r="H80" s="4">
        <f t="shared" si="18"/>
        <v>0</v>
      </c>
      <c r="I80" s="4">
        <f t="shared" si="19"/>
        <v>7.4399999999999994E-2</v>
      </c>
      <c r="J80" s="4">
        <f t="shared" si="20"/>
        <v>0</v>
      </c>
      <c r="K80" s="4">
        <f t="shared" si="21"/>
        <v>9.0739200000000009E-3</v>
      </c>
      <c r="L80" s="4">
        <f t="shared" si="22"/>
        <v>0.10706611199999999</v>
      </c>
      <c r="M80" s="4">
        <f t="shared" si="23"/>
        <v>7.8303022067576222E-2</v>
      </c>
      <c r="N80" s="43">
        <f t="shared" si="24"/>
        <v>1</v>
      </c>
      <c r="O80" s="30">
        <f t="shared" ref="O80" si="30">N80/G80</f>
        <v>0.16347079589216948</v>
      </c>
      <c r="P80" s="30">
        <f t="shared" si="15"/>
        <v>0.1606589142480456</v>
      </c>
    </row>
    <row r="81" spans="2:17" x14ac:dyDescent="0.3">
      <c r="B81" t="s">
        <v>484</v>
      </c>
      <c r="C81" t="s">
        <v>581</v>
      </c>
      <c r="D81" t="s">
        <v>854</v>
      </c>
      <c r="E81">
        <v>1</v>
      </c>
      <c r="F81" s="5">
        <f t="shared" ref="F81" si="31">F53/N53</f>
        <v>0.11508248232521603</v>
      </c>
      <c r="G81" s="5">
        <f t="shared" ref="G81" si="32">G53/N53</f>
        <v>4.5572663000785552</v>
      </c>
      <c r="H81" s="4">
        <f t="shared" ref="H81" si="33">H53/N53</f>
        <v>0</v>
      </c>
      <c r="I81" s="4">
        <f t="shared" ref="I81" si="34">I53/N53</f>
        <v>0</v>
      </c>
      <c r="J81" s="4">
        <f t="shared" ref="J81" si="35">J53/N53</f>
        <v>0</v>
      </c>
      <c r="K81" s="4">
        <f t="shared" ref="K81" si="36">K53/N53</f>
        <v>1.1787200000000001E-3</v>
      </c>
      <c r="L81" s="4">
        <f t="shared" ref="L81" si="37">L53/N53</f>
        <v>4.2433920000000003E-3</v>
      </c>
      <c r="M81" s="4">
        <f t="shared" si="23"/>
        <v>0.16718029850746274</v>
      </c>
      <c r="N81" s="43">
        <f t="shared" si="24"/>
        <v>1</v>
      </c>
      <c r="O81" s="30">
        <f t="shared" ref="O81" si="38">N81/G81</f>
        <v>0.21942979280863237</v>
      </c>
      <c r="P81" s="30">
        <f t="shared" ref="P81" si="39">N81/SUM(G81,L81)</f>
        <v>0.21922566595366091</v>
      </c>
    </row>
    <row r="82" spans="2:17" ht="15.6" x14ac:dyDescent="0.3">
      <c r="B82" s="2" t="s">
        <v>888</v>
      </c>
      <c r="C82" t="s">
        <v>581</v>
      </c>
      <c r="D82" t="s">
        <v>854</v>
      </c>
      <c r="E82">
        <v>1</v>
      </c>
      <c r="F82" s="5">
        <f t="shared" ref="F82" si="40">F54/N54</f>
        <v>2.7570995312930797E-2</v>
      </c>
      <c r="G82" s="5">
        <f t="shared" ref="G82" si="41">G54/N54</f>
        <v>0.74165977391783844</v>
      </c>
      <c r="H82" s="4">
        <f t="shared" ref="H82" si="42">H54/N54</f>
        <v>0</v>
      </c>
      <c r="I82" s="4">
        <f t="shared" ref="I82" si="43">I54/N54</f>
        <v>0</v>
      </c>
      <c r="J82" s="4">
        <f t="shared" ref="J82" si="44">J54/N54</f>
        <v>0</v>
      </c>
      <c r="K82" s="4">
        <f t="shared" ref="K82" si="45">K54/N54</f>
        <v>2.3101800000000002E-3</v>
      </c>
      <c r="L82" s="4">
        <f t="shared" ref="L82" si="46">L54/N54</f>
        <v>8.3166480000000011E-3</v>
      </c>
      <c r="M82" s="4">
        <f t="shared" si="23"/>
        <v>-2.4044205495818389E-2</v>
      </c>
      <c r="N82" s="43">
        <f t="shared" si="24"/>
        <v>1</v>
      </c>
      <c r="O82" s="30">
        <f t="shared" ref="O82" si="47">N82/G82</f>
        <v>1.3483271375464685</v>
      </c>
      <c r="P82" s="30">
        <f t="shared" ref="P82" si="48">N82/SUM(G82,L82)</f>
        <v>1.3333752512416346</v>
      </c>
    </row>
    <row r="83" spans="2:17" ht="15.6" x14ac:dyDescent="0.3">
      <c r="B83" s="2" t="s">
        <v>893</v>
      </c>
      <c r="C83" t="s">
        <v>581</v>
      </c>
      <c r="D83" t="s">
        <v>854</v>
      </c>
      <c r="E83">
        <v>1</v>
      </c>
      <c r="F83" s="5">
        <f t="shared" ref="F83" si="49">F55/N55</f>
        <v>7.2499575572432695E-2</v>
      </c>
      <c r="G83" s="5">
        <f t="shared" ref="G83" si="50">G55/N55</f>
        <v>1.7399898137383847</v>
      </c>
      <c r="H83" s="4">
        <f t="shared" ref="H83" si="51">H55/N55</f>
        <v>0</v>
      </c>
      <c r="I83" s="4">
        <f t="shared" ref="I83" si="52">I55/N55</f>
        <v>3.3000000000000002E-2</v>
      </c>
      <c r="J83" s="4">
        <f t="shared" ref="J83" si="53">J55/N55</f>
        <v>0</v>
      </c>
      <c r="K83" s="4">
        <f t="shared" ref="K83" si="54">K55/N55</f>
        <v>2.3046199999999998E-3</v>
      </c>
      <c r="L83" s="4">
        <f t="shared" ref="L83" si="55">L55/N55</f>
        <v>4.1296632000000007E-2</v>
      </c>
      <c r="M83" s="4">
        <f t="shared" si="23"/>
        <v>6.1198277498930115E-2</v>
      </c>
      <c r="N83" s="43">
        <f t="shared" si="24"/>
        <v>1</v>
      </c>
      <c r="O83" s="30">
        <f t="shared" ref="O83" si="56">N83/G83</f>
        <v>0.57471600816529522</v>
      </c>
      <c r="P83" s="30">
        <f t="shared" ref="P83" si="57">N83/SUM(G83,L83)</f>
        <v>0.5613920222614599</v>
      </c>
    </row>
    <row r="84" spans="2:17" ht="15.6" x14ac:dyDescent="0.3">
      <c r="B84" s="2" t="s">
        <v>895</v>
      </c>
      <c r="C84" t="s">
        <v>581</v>
      </c>
      <c r="D84" t="s">
        <v>854</v>
      </c>
      <c r="E84">
        <v>1</v>
      </c>
      <c r="F84" s="5">
        <f t="shared" ref="F84" si="58">F56/N56</f>
        <v>8.6063133327262203E-2</v>
      </c>
      <c r="G84" s="5">
        <f t="shared" ref="G84" si="59">G56/N56</f>
        <v>1.1704586132507659</v>
      </c>
      <c r="H84" s="4">
        <f t="shared" ref="H84" si="60">H56/N56</f>
        <v>0</v>
      </c>
      <c r="I84" s="4">
        <f t="shared" ref="I84" si="61">I56/N56</f>
        <v>3.3037634408602148E-2</v>
      </c>
      <c r="J84" s="4">
        <f t="shared" ref="J84" si="62">J56/N56</f>
        <v>0</v>
      </c>
      <c r="K84" s="4">
        <f t="shared" ref="K84" si="63">K56/N56</f>
        <v>2.3046199999999998E-3</v>
      </c>
      <c r="L84" s="4">
        <f t="shared" ref="L84" si="64">L56/N56</f>
        <v>4.1334266408602154E-2</v>
      </c>
      <c r="M84" s="4">
        <f t="shared" si="23"/>
        <v>9.0855075848993258E-2</v>
      </c>
      <c r="N84" s="43">
        <f t="shared" si="24"/>
        <v>1</v>
      </c>
      <c r="O84" s="30">
        <f t="shared" ref="O84" si="65">N84/G84</f>
        <v>0.85436596277646781</v>
      </c>
      <c r="P84" s="30">
        <f t="shared" ref="P84" si="66">N84/SUM(G84,L84)</f>
        <v>0.82522353183086661</v>
      </c>
    </row>
    <row r="85" spans="2:17" ht="15.6" x14ac:dyDescent="0.3">
      <c r="B85" s="2" t="s">
        <v>898</v>
      </c>
      <c r="C85" t="s">
        <v>581</v>
      </c>
      <c r="D85" t="s">
        <v>854</v>
      </c>
      <c r="E85">
        <v>1</v>
      </c>
      <c r="F85" s="5">
        <f t="shared" ref="F85" si="67">F57/N57</f>
        <v>5.9366999999999996E-2</v>
      </c>
      <c r="G85" s="5">
        <f t="shared" ref="G85" si="68">G57/N57</f>
        <v>0</v>
      </c>
      <c r="H85" s="4">
        <f t="shared" ref="H85" si="69">H57/N57</f>
        <v>0</v>
      </c>
      <c r="I85" s="4">
        <f t="shared" ref="I85" si="70">I57/N57</f>
        <v>0.15023499999999998</v>
      </c>
      <c r="J85" s="4">
        <f t="shared" ref="J85" si="71">J57/N57</f>
        <v>0</v>
      </c>
      <c r="K85" s="4">
        <f t="shared" ref="K85" si="72">K57/N57</f>
        <v>6.6953499999999992E-3</v>
      </c>
      <c r="L85" s="4">
        <f t="shared" ref="L85" si="73">L57/N57</f>
        <v>0.17433825999999999</v>
      </c>
      <c r="M85" s="4">
        <f t="shared" si="23"/>
        <v>3.8756966774193546E-2</v>
      </c>
      <c r="N85" s="43">
        <f t="shared" si="24"/>
        <v>1</v>
      </c>
      <c r="O85" s="30" t="e">
        <f t="shared" ref="O85" si="74">N85/G85</f>
        <v>#DIV/0!</v>
      </c>
      <c r="P85" s="30">
        <f t="shared" ref="P85" si="75">N85/SUM(G85,L85)</f>
        <v>5.7359755684151033</v>
      </c>
    </row>
    <row r="87" spans="2:17" ht="21" x14ac:dyDescent="0.4">
      <c r="B87" s="64" t="s">
        <v>270</v>
      </c>
      <c r="C87" s="65"/>
      <c r="D87" s="65"/>
      <c r="E87" s="65"/>
      <c r="F87" s="65"/>
      <c r="G87" s="65"/>
      <c r="H87" s="65"/>
      <c r="I87" s="65"/>
      <c r="J87" s="65"/>
      <c r="K87" s="65"/>
      <c r="L87" s="65"/>
      <c r="M87" s="65"/>
      <c r="N87" s="65"/>
      <c r="O87" s="65"/>
      <c r="P87" s="65"/>
      <c r="Q87" s="65"/>
    </row>
    <row r="88" spans="2:17" x14ac:dyDescent="0.3">
      <c r="B88" s="9" t="s">
        <v>480</v>
      </c>
    </row>
    <row r="89" spans="2:17" x14ac:dyDescent="0.3">
      <c r="B89" t="s">
        <v>1</v>
      </c>
      <c r="C89" t="s">
        <v>459</v>
      </c>
      <c r="D89" t="s">
        <v>460</v>
      </c>
      <c r="E89" t="s">
        <v>461</v>
      </c>
      <c r="F89" t="s">
        <v>493</v>
      </c>
      <c r="G89" t="s">
        <v>493</v>
      </c>
      <c r="H89" t="s">
        <v>462</v>
      </c>
      <c r="I89" t="s">
        <v>471</v>
      </c>
      <c r="J89" t="s">
        <v>496</v>
      </c>
      <c r="K89" t="s">
        <v>247</v>
      </c>
      <c r="L89" t="s">
        <v>472</v>
      </c>
      <c r="M89" t="s">
        <v>428</v>
      </c>
      <c r="N89" t="s">
        <v>494</v>
      </c>
      <c r="O89" t="s">
        <v>551</v>
      </c>
      <c r="P89" t="s">
        <v>498</v>
      </c>
    </row>
    <row r="90" spans="2:17" x14ac:dyDescent="0.3">
      <c r="B90" t="s">
        <v>7</v>
      </c>
      <c r="E90" t="s">
        <v>8</v>
      </c>
      <c r="F90" t="s">
        <v>107</v>
      </c>
      <c r="G90" t="s">
        <v>463</v>
      </c>
      <c r="H90" t="s">
        <v>463</v>
      </c>
      <c r="I90" t="s">
        <v>463</v>
      </c>
      <c r="J90" t="s">
        <v>463</v>
      </c>
      <c r="K90" t="s">
        <v>248</v>
      </c>
      <c r="L90" t="s">
        <v>463</v>
      </c>
      <c r="M90" t="s">
        <v>107</v>
      </c>
      <c r="N90" t="s">
        <v>463</v>
      </c>
      <c r="O90" t="s">
        <v>476</v>
      </c>
      <c r="P90" t="s">
        <v>476</v>
      </c>
    </row>
    <row r="91" spans="2:17" x14ac:dyDescent="0.3">
      <c r="B91" t="s">
        <v>481</v>
      </c>
      <c r="C91" t="s">
        <v>1050</v>
      </c>
      <c r="D91" t="s">
        <v>21</v>
      </c>
      <c r="E91">
        <v>1</v>
      </c>
      <c r="F91" s="43">
        <f>GREET!B46</f>
        <v>3.2444757981354098</v>
      </c>
      <c r="G91" s="44">
        <f>F91*R6</f>
        <v>49.453573855173417</v>
      </c>
      <c r="H91" s="5">
        <f>GREET!B47</f>
        <v>5.2373480998418598E-2</v>
      </c>
      <c r="I91" s="5"/>
      <c r="J91" s="5"/>
      <c r="K91" s="5"/>
      <c r="L91" s="5">
        <f>SUM(H91:J91)+(K91*3.6)</f>
        <v>5.2373480998418598E-2</v>
      </c>
      <c r="M91" s="5">
        <f>GREET!B55</f>
        <v>2.7981685000185985</v>
      </c>
      <c r="N91">
        <v>29.7</v>
      </c>
      <c r="O91" s="30">
        <f t="shared" ref="O91:O104" si="76">N91/G91</f>
        <v>0.60056326944090077</v>
      </c>
      <c r="P91" s="30">
        <f t="shared" ref="P91:P104" si="77">N91/SUM(G91,L91)</f>
        <v>0.5999279197370192</v>
      </c>
      <c r="Q91" s="44"/>
    </row>
    <row r="92" spans="2:17" x14ac:dyDescent="0.3">
      <c r="B92" t="s">
        <v>482</v>
      </c>
      <c r="C92" t="s">
        <v>1050</v>
      </c>
      <c r="D92" t="s">
        <v>21</v>
      </c>
      <c r="E92">
        <v>1</v>
      </c>
      <c r="F92" s="43">
        <f>GREET!B252</f>
        <v>3.2444757981354098</v>
      </c>
      <c r="G92" s="44">
        <f t="shared" ref="G92:G102" si="78">F92*R7</f>
        <v>54.526612995020237</v>
      </c>
      <c r="H92" s="5">
        <f>GREET!B253</f>
        <v>9.8054794980372589E-2</v>
      </c>
      <c r="I92" s="5"/>
      <c r="J92" s="5"/>
      <c r="K92" s="5"/>
      <c r="L92" s="5">
        <f t="shared" ref="L92:L104" si="79">SUM(H92:J92)+(K92*3.6)</f>
        <v>9.8054794980372589E-2</v>
      </c>
      <c r="M92" s="5">
        <f>GREET!B259</f>
        <v>3.1520867349985355</v>
      </c>
      <c r="N92">
        <v>29.7</v>
      </c>
      <c r="O92" s="30">
        <f t="shared" si="76"/>
        <v>0.54468815076983446</v>
      </c>
      <c r="P92" s="30">
        <f t="shared" si="77"/>
        <v>0.54371040047655494</v>
      </c>
      <c r="Q92" s="44"/>
    </row>
    <row r="93" spans="2:17" x14ac:dyDescent="0.3">
      <c r="B93" t="s">
        <v>483</v>
      </c>
      <c r="C93" t="s">
        <v>1050</v>
      </c>
      <c r="D93" t="s">
        <v>21</v>
      </c>
      <c r="E93">
        <v>1</v>
      </c>
      <c r="F93" s="43">
        <f>GREET!B453</f>
        <v>3.2444757981354098</v>
      </c>
      <c r="G93" s="44">
        <f t="shared" si="78"/>
        <v>52.702098918408659</v>
      </c>
      <c r="H93" s="5">
        <f>GREET!B454</f>
        <v>9.8054794980372589E-2</v>
      </c>
      <c r="I93" s="5"/>
      <c r="J93" s="5"/>
      <c r="K93" s="5"/>
      <c r="L93" s="5">
        <f t="shared" si="79"/>
        <v>9.8054794980372589E-2</v>
      </c>
      <c r="M93" s="5">
        <f>GREET!B460</f>
        <v>3.7925997530903643</v>
      </c>
      <c r="N93">
        <v>29.7</v>
      </c>
      <c r="O93" s="30">
        <f t="shared" si="76"/>
        <v>0.56354491774569326</v>
      </c>
      <c r="P93" s="30">
        <f t="shared" si="77"/>
        <v>0.56249836243315121</v>
      </c>
      <c r="Q93" s="44"/>
    </row>
    <row r="94" spans="2:17" x14ac:dyDescent="0.3">
      <c r="B94" t="s">
        <v>484</v>
      </c>
      <c r="C94" t="s">
        <v>1050</v>
      </c>
      <c r="D94" t="s">
        <v>21</v>
      </c>
      <c r="E94">
        <v>1</v>
      </c>
      <c r="F94" s="43">
        <f>GREET!B607</f>
        <v>3.2444757981354098</v>
      </c>
      <c r="G94" s="44">
        <f t="shared" si="78"/>
        <v>59.182033528213005</v>
      </c>
      <c r="H94" s="5">
        <f>GREET!B608</f>
        <v>9.8054794980372589E-2</v>
      </c>
      <c r="I94" s="5"/>
      <c r="J94" s="5"/>
      <c r="K94" s="5"/>
      <c r="L94" s="5">
        <f t="shared" si="79"/>
        <v>9.8054794980372589E-2</v>
      </c>
      <c r="M94" s="5">
        <f>GREET!B610</f>
        <v>3.9585011946250921</v>
      </c>
      <c r="N94">
        <v>29.7</v>
      </c>
      <c r="O94" s="30">
        <f t="shared" si="76"/>
        <v>0.50184149190888383</v>
      </c>
      <c r="P94" s="30">
        <f t="shared" si="77"/>
        <v>0.50101139927586535</v>
      </c>
      <c r="Q94" s="44"/>
    </row>
    <row r="95" spans="2:17" x14ac:dyDescent="0.3">
      <c r="B95" t="s">
        <v>485</v>
      </c>
      <c r="C95" t="s">
        <v>1050</v>
      </c>
      <c r="D95" t="s">
        <v>21</v>
      </c>
      <c r="E95">
        <v>1</v>
      </c>
      <c r="F95" s="43">
        <f>GREET!B793</f>
        <v>3.2444757981354098</v>
      </c>
      <c r="G95" s="44">
        <f t="shared" si="78"/>
        <v>52.517251338414241</v>
      </c>
      <c r="H95" s="5">
        <f>GREET!B794</f>
        <v>5.2373480998418598E-2</v>
      </c>
      <c r="I95" s="5"/>
      <c r="J95" s="5"/>
      <c r="K95" s="5"/>
      <c r="L95" s="5">
        <f t="shared" si="79"/>
        <v>5.2373480998418598E-2</v>
      </c>
      <c r="M95" s="5">
        <f>GREET!B802</f>
        <v>3.7930729515232109</v>
      </c>
      <c r="N95">
        <v>29.7</v>
      </c>
      <c r="O95" s="30">
        <f t="shared" si="76"/>
        <v>0.56552845480463398</v>
      </c>
      <c r="P95" s="30">
        <f t="shared" si="77"/>
        <v>0.56496503640696571</v>
      </c>
      <c r="Q95" s="44"/>
    </row>
    <row r="96" spans="2:17" x14ac:dyDescent="0.3">
      <c r="B96" t="s">
        <v>486</v>
      </c>
      <c r="C96" t="s">
        <v>1050</v>
      </c>
      <c r="D96" t="s">
        <v>21</v>
      </c>
      <c r="E96">
        <v>1</v>
      </c>
      <c r="F96" s="43">
        <f>GREET!B957</f>
        <v>3.2444757981354098</v>
      </c>
      <c r="G96" s="44">
        <f t="shared" si="78"/>
        <v>50.374388651812282</v>
      </c>
      <c r="H96" s="5">
        <f>GREET!B958</f>
        <v>5.2373480998418598E-2</v>
      </c>
      <c r="I96" s="5"/>
      <c r="J96" s="5"/>
      <c r="K96" s="5"/>
      <c r="L96" s="5">
        <f t="shared" si="79"/>
        <v>5.2373480998418598E-2</v>
      </c>
      <c r="M96" s="5">
        <f>GREET!B966</f>
        <v>3.6558997518523286</v>
      </c>
      <c r="N96">
        <v>29.7</v>
      </c>
      <c r="O96" s="30">
        <f t="shared" si="76"/>
        <v>0.58958531894622812</v>
      </c>
      <c r="P96" s="30">
        <f t="shared" si="77"/>
        <v>0.58897297275954552</v>
      </c>
      <c r="Q96" s="44"/>
    </row>
    <row r="97" spans="2:17" x14ac:dyDescent="0.3">
      <c r="B97" t="s">
        <v>487</v>
      </c>
      <c r="C97" t="s">
        <v>1050</v>
      </c>
      <c r="D97" t="s">
        <v>21</v>
      </c>
      <c r="E97">
        <v>1</v>
      </c>
      <c r="F97" s="43">
        <f>GREET!B1158</f>
        <v>11.932686628537386</v>
      </c>
      <c r="G97" s="44">
        <f>F97*S12</f>
        <v>38.970546226647635</v>
      </c>
      <c r="H97" s="5">
        <f>GREET!B1159</f>
        <v>8.0825562182458455E-2</v>
      </c>
      <c r="I97" s="5"/>
      <c r="J97" s="5"/>
      <c r="K97" s="5"/>
      <c r="L97" s="5">
        <f t="shared" si="79"/>
        <v>8.0825562182458455E-2</v>
      </c>
      <c r="M97" s="5">
        <f>GREET!B1161</f>
        <v>3.3363821165564502</v>
      </c>
      <c r="N97">
        <v>29.7</v>
      </c>
      <c r="O97" s="30">
        <f t="shared" si="76"/>
        <v>0.76211402907387182</v>
      </c>
      <c r="P97" s="30">
        <f t="shared" si="77"/>
        <v>0.76053666336236414</v>
      </c>
      <c r="Q97" s="44"/>
    </row>
    <row r="98" spans="2:17" x14ac:dyDescent="0.3">
      <c r="B98" t="s">
        <v>488</v>
      </c>
      <c r="C98" t="s">
        <v>1050</v>
      </c>
      <c r="D98" t="s">
        <v>21</v>
      </c>
      <c r="E98">
        <v>1</v>
      </c>
      <c r="F98" s="43">
        <f>GREET!B1341</f>
        <v>2.5031731272827198</v>
      </c>
      <c r="G98" s="44">
        <f t="shared" si="78"/>
        <v>33.756045077004558</v>
      </c>
      <c r="H98" s="5"/>
      <c r="I98" s="5">
        <f>GREET!B1342</f>
        <v>7.7589106908535284</v>
      </c>
      <c r="J98" s="5"/>
      <c r="K98" s="5">
        <f>GREET!B1343</f>
        <v>0.20297814720490737</v>
      </c>
      <c r="L98" s="5">
        <f t="shared" si="79"/>
        <v>8.4896320207911948</v>
      </c>
      <c r="M98" s="5">
        <f>GREET!B1349</f>
        <v>1.6930724764143996</v>
      </c>
      <c r="N98">
        <v>29.7</v>
      </c>
      <c r="O98" s="30">
        <f t="shared" si="76"/>
        <v>0.87984240844115846</v>
      </c>
      <c r="P98" s="30">
        <f t="shared" si="77"/>
        <v>0.70303051200355016</v>
      </c>
      <c r="Q98" s="44"/>
    </row>
    <row r="99" spans="2:17" x14ac:dyDescent="0.3">
      <c r="B99" t="s">
        <v>489</v>
      </c>
      <c r="C99" t="s">
        <v>1050</v>
      </c>
      <c r="D99" t="s">
        <v>21</v>
      </c>
      <c r="E99">
        <v>1</v>
      </c>
      <c r="F99" s="43">
        <f>GREET!B1539</f>
        <v>25.122891308324792</v>
      </c>
      <c r="G99" s="44">
        <f>F99*S14</f>
        <v>106.94611924801734</v>
      </c>
      <c r="H99" s="5"/>
      <c r="I99" s="5"/>
      <c r="J99" s="5"/>
      <c r="K99" s="5"/>
      <c r="L99" s="5">
        <f t="shared" si="79"/>
        <v>0</v>
      </c>
      <c r="M99" s="5">
        <f>GREET!B1541</f>
        <v>8.918990732149652</v>
      </c>
      <c r="N99">
        <v>29.7</v>
      </c>
      <c r="O99" s="30">
        <f t="shared" si="76"/>
        <v>0.27770993663756155</v>
      </c>
      <c r="P99" s="30">
        <f t="shared" si="77"/>
        <v>0.27770993663756155</v>
      </c>
      <c r="Q99" s="44"/>
    </row>
    <row r="100" spans="2:17" x14ac:dyDescent="0.3">
      <c r="B100" t="s">
        <v>490</v>
      </c>
      <c r="C100" t="s">
        <v>1050</v>
      </c>
      <c r="D100" t="s">
        <v>21</v>
      </c>
      <c r="E100">
        <v>1</v>
      </c>
      <c r="F100" s="43">
        <f>GREET!B1700</f>
        <v>17.52302602000244</v>
      </c>
      <c r="G100" s="44">
        <f>F100*S15</f>
        <v>71.93003128628807</v>
      </c>
      <c r="H100" s="5"/>
      <c r="I100" s="5"/>
      <c r="J100" s="5"/>
      <c r="K100" s="5"/>
      <c r="L100" s="5">
        <f t="shared" si="79"/>
        <v>0</v>
      </c>
      <c r="M100" s="5">
        <f>GREET!B1705</f>
        <v>5.3720742191170148</v>
      </c>
      <c r="N100">
        <v>29.7</v>
      </c>
      <c r="O100" s="30">
        <f t="shared" si="76"/>
        <v>0.41290125235440672</v>
      </c>
      <c r="P100" s="30">
        <f t="shared" si="77"/>
        <v>0.41290125235440672</v>
      </c>
      <c r="Q100" s="44"/>
    </row>
    <row r="101" spans="2:17" x14ac:dyDescent="0.3">
      <c r="B101" t="s">
        <v>491</v>
      </c>
      <c r="C101" t="s">
        <v>1050</v>
      </c>
      <c r="D101" t="s">
        <v>1041</v>
      </c>
      <c r="E101">
        <v>1</v>
      </c>
      <c r="F101" s="43">
        <f>GREET!B1917</f>
        <v>2.4594113593232314</v>
      </c>
      <c r="G101" s="44">
        <f t="shared" si="78"/>
        <v>38.956569946831081</v>
      </c>
      <c r="H101" s="5"/>
      <c r="I101" s="5">
        <f>GREET!B1918</f>
        <v>7.6987233282117211</v>
      </c>
      <c r="J101" s="5"/>
      <c r="K101" s="5">
        <f>GREET!B1919</f>
        <v>0.20362741756781791</v>
      </c>
      <c r="L101" s="5">
        <f t="shared" si="79"/>
        <v>8.4317820314558656</v>
      </c>
      <c r="M101" s="5">
        <f>GREET!B1925</f>
        <v>1.7168289897688866</v>
      </c>
      <c r="N101">
        <v>29.7</v>
      </c>
      <c r="O101" s="30">
        <f t="shared" si="76"/>
        <v>0.76238744942214665</v>
      </c>
      <c r="P101" s="30">
        <f t="shared" si="77"/>
        <v>0.62673629193959635</v>
      </c>
      <c r="Q101" s="44"/>
    </row>
    <row r="102" spans="2:17" x14ac:dyDescent="0.3">
      <c r="B102" t="s">
        <v>571</v>
      </c>
      <c r="C102" t="s">
        <v>1050</v>
      </c>
      <c r="D102" t="s">
        <v>21</v>
      </c>
      <c r="E102">
        <v>1</v>
      </c>
      <c r="F102" s="43">
        <f>GREET!B1988</f>
        <v>2.4594113593232314</v>
      </c>
      <c r="G102" s="44">
        <f t="shared" si="78"/>
        <v>48.204462642735336</v>
      </c>
      <c r="H102" s="5"/>
      <c r="I102" s="5">
        <f>GREET!B1989</f>
        <v>6.9718002298970818</v>
      </c>
      <c r="J102" s="5"/>
      <c r="K102" s="5">
        <f>GREET!B1990</f>
        <v>0.50179136845667949</v>
      </c>
      <c r="L102" s="5">
        <f t="shared" si="79"/>
        <v>8.7782491563411273</v>
      </c>
      <c r="M102" s="5">
        <f>GREET!B1996</f>
        <v>4.2920724744222205E-2</v>
      </c>
      <c r="N102">
        <v>29.7</v>
      </c>
      <c r="O102" s="30">
        <f t="shared" ref="O102" si="80">N102/G102</f>
        <v>0.61612552804747311</v>
      </c>
      <c r="P102" s="30">
        <f t="shared" si="77"/>
        <v>0.52121071571187239</v>
      </c>
      <c r="Q102" s="44"/>
    </row>
    <row r="103" spans="2:17" x14ac:dyDescent="0.3">
      <c r="B103" t="s">
        <v>487</v>
      </c>
      <c r="C103" t="s">
        <v>264</v>
      </c>
      <c r="D103" t="s">
        <v>469</v>
      </c>
      <c r="E103">
        <v>1</v>
      </c>
      <c r="F103" s="43">
        <f>'Pereira et al. 2019'!B96</f>
        <v>16.407888792403554</v>
      </c>
      <c r="G103" s="44">
        <f>F103*S17</f>
        <v>86.830547489399621</v>
      </c>
      <c r="H103" s="5">
        <f>'Pereira et al. 2019'!B74</f>
        <v>8.1699999999999995E-2</v>
      </c>
      <c r="I103" s="5"/>
      <c r="J103" s="5"/>
      <c r="K103" s="5"/>
      <c r="L103" s="5">
        <f t="shared" si="79"/>
        <v>8.1699999999999995E-2</v>
      </c>
      <c r="M103" s="5">
        <f>'Pereira et al. 2019'!B102</f>
        <v>6.2716432894717986</v>
      </c>
      <c r="N103">
        <v>29.7</v>
      </c>
      <c r="O103" s="30">
        <f t="shared" si="76"/>
        <v>0.34204552267306398</v>
      </c>
      <c r="P103" s="30">
        <f t="shared" si="77"/>
        <v>0.34172399009267829</v>
      </c>
      <c r="Q103" s="44"/>
    </row>
    <row r="104" spans="2:17" x14ac:dyDescent="0.3">
      <c r="B104" t="s">
        <v>492</v>
      </c>
      <c r="C104" t="s">
        <v>264</v>
      </c>
      <c r="D104" t="s">
        <v>469</v>
      </c>
      <c r="E104">
        <v>1</v>
      </c>
      <c r="F104" s="43">
        <f>'Pereira et al. 2019'!B159</f>
        <v>3.2744078855022276</v>
      </c>
      <c r="G104" s="44">
        <f>F104*S18</f>
        <v>46.201895264436438</v>
      </c>
      <c r="H104" s="5"/>
      <c r="I104" s="5"/>
      <c r="J104" s="5"/>
      <c r="K104" s="5"/>
      <c r="L104" s="5">
        <f t="shared" si="79"/>
        <v>0</v>
      </c>
      <c r="M104" s="5">
        <f>'Pereira et al. 2019'!B166</f>
        <v>2.775246788748885</v>
      </c>
      <c r="N104">
        <v>29.7</v>
      </c>
      <c r="O104" s="30">
        <f t="shared" si="76"/>
        <v>0.64283077198483141</v>
      </c>
      <c r="P104" s="30">
        <f t="shared" si="77"/>
        <v>0.64283077198483141</v>
      </c>
      <c r="Q104" s="44"/>
    </row>
    <row r="106" spans="2:17" x14ac:dyDescent="0.3">
      <c r="B106" s="9" t="s">
        <v>499</v>
      </c>
    </row>
    <row r="107" spans="2:17" x14ac:dyDescent="0.3">
      <c r="B107" t="s">
        <v>1</v>
      </c>
      <c r="C107" t="s">
        <v>459</v>
      </c>
      <c r="D107" t="s">
        <v>460</v>
      </c>
      <c r="E107" t="s">
        <v>461</v>
      </c>
      <c r="F107" t="s">
        <v>493</v>
      </c>
      <c r="G107" t="s">
        <v>493</v>
      </c>
      <c r="H107" t="s">
        <v>462</v>
      </c>
      <c r="I107" t="s">
        <v>471</v>
      </c>
      <c r="J107" t="s">
        <v>496</v>
      </c>
      <c r="K107" t="s">
        <v>247</v>
      </c>
      <c r="L107" t="s">
        <v>472</v>
      </c>
      <c r="M107" t="s">
        <v>428</v>
      </c>
      <c r="N107" t="s">
        <v>494</v>
      </c>
      <c r="O107" t="s">
        <v>497</v>
      </c>
      <c r="P107" t="s">
        <v>498</v>
      </c>
    </row>
    <row r="108" spans="2:17" x14ac:dyDescent="0.3">
      <c r="B108" t="s">
        <v>7</v>
      </c>
      <c r="E108" t="s">
        <v>19</v>
      </c>
      <c r="F108" t="s">
        <v>107</v>
      </c>
      <c r="G108" t="s">
        <v>463</v>
      </c>
      <c r="H108" t="s">
        <v>463</v>
      </c>
      <c r="I108" t="s">
        <v>463</v>
      </c>
      <c r="J108" t="s">
        <v>463</v>
      </c>
      <c r="K108" t="s">
        <v>248</v>
      </c>
      <c r="L108" t="s">
        <v>463</v>
      </c>
      <c r="M108" t="s">
        <v>8</v>
      </c>
      <c r="N108" t="s">
        <v>463</v>
      </c>
      <c r="O108" t="s">
        <v>476</v>
      </c>
      <c r="P108" t="s">
        <v>476</v>
      </c>
    </row>
    <row r="109" spans="2:17" x14ac:dyDescent="0.3">
      <c r="B109" t="s">
        <v>481</v>
      </c>
      <c r="C109" t="s">
        <v>1050</v>
      </c>
      <c r="D109" t="s">
        <v>21</v>
      </c>
      <c r="E109">
        <v>1</v>
      </c>
      <c r="F109" s="5">
        <f t="shared" ref="F109:F122" si="81">F91/29.7</f>
        <v>0.10924160936482862</v>
      </c>
      <c r="G109" s="5">
        <f t="shared" ref="G109:N109" si="82">G91/29.7</f>
        <v>1.6651034968071858</v>
      </c>
      <c r="H109" s="4">
        <f t="shared" si="82"/>
        <v>1.7634168686336228E-3</v>
      </c>
      <c r="I109" s="4">
        <f t="shared" si="82"/>
        <v>0</v>
      </c>
      <c r="J109" s="4">
        <f t="shared" si="82"/>
        <v>0</v>
      </c>
      <c r="K109" s="4">
        <f t="shared" si="82"/>
        <v>0</v>
      </c>
      <c r="L109" s="4">
        <f t="shared" si="82"/>
        <v>1.7634168686336228E-3</v>
      </c>
      <c r="M109" s="4">
        <f t="shared" si="82"/>
        <v>9.421442761005383E-2</v>
      </c>
      <c r="N109" s="43">
        <f t="shared" si="82"/>
        <v>1</v>
      </c>
      <c r="O109" s="30">
        <f t="shared" ref="O109:O122" si="83">N109/G109</f>
        <v>0.60056326944090077</v>
      </c>
      <c r="P109" s="30">
        <f t="shared" ref="P109:P122" si="84">N109/SUM(G109,L109)</f>
        <v>0.59992791973701931</v>
      </c>
    </row>
    <row r="110" spans="2:17" x14ac:dyDescent="0.3">
      <c r="B110" t="s">
        <v>482</v>
      </c>
      <c r="C110" t="s">
        <v>1050</v>
      </c>
      <c r="D110" t="s">
        <v>21</v>
      </c>
      <c r="E110">
        <v>1</v>
      </c>
      <c r="F110" s="5">
        <f t="shared" si="81"/>
        <v>0.10924160936482862</v>
      </c>
      <c r="G110" s="5">
        <f t="shared" ref="G110:N118" si="85">G92/29.7</f>
        <v>1.8359128954552268</v>
      </c>
      <c r="H110" s="4">
        <f t="shared" si="85"/>
        <v>3.3015082484973935E-3</v>
      </c>
      <c r="I110" s="4">
        <f t="shared" si="85"/>
        <v>0</v>
      </c>
      <c r="J110" s="4">
        <f t="shared" si="85"/>
        <v>0</v>
      </c>
      <c r="K110" s="4">
        <f t="shared" si="85"/>
        <v>0</v>
      </c>
      <c r="L110" s="4">
        <f t="shared" si="85"/>
        <v>3.3015082484973935E-3</v>
      </c>
      <c r="M110" s="4">
        <f t="shared" si="85"/>
        <v>0.1061308664982672</v>
      </c>
      <c r="N110" s="43">
        <f t="shared" si="85"/>
        <v>1</v>
      </c>
      <c r="O110" s="30">
        <f t="shared" si="83"/>
        <v>0.54468815076983446</v>
      </c>
      <c r="P110" s="30">
        <f t="shared" si="84"/>
        <v>0.54371040047655494</v>
      </c>
    </row>
    <row r="111" spans="2:17" x14ac:dyDescent="0.3">
      <c r="B111" t="s">
        <v>483</v>
      </c>
      <c r="C111" t="s">
        <v>1050</v>
      </c>
      <c r="D111" t="s">
        <v>21</v>
      </c>
      <c r="E111">
        <v>1</v>
      </c>
      <c r="F111" s="5">
        <f t="shared" si="81"/>
        <v>0.10924160936482862</v>
      </c>
      <c r="G111" s="5">
        <f t="shared" si="85"/>
        <v>1.7744814450642648</v>
      </c>
      <c r="H111" s="4">
        <f t="shared" si="85"/>
        <v>3.3015082484973935E-3</v>
      </c>
      <c r="I111" s="4">
        <f t="shared" si="85"/>
        <v>0</v>
      </c>
      <c r="J111" s="4">
        <f t="shared" si="85"/>
        <v>0</v>
      </c>
      <c r="K111" s="4">
        <f t="shared" si="85"/>
        <v>0</v>
      </c>
      <c r="L111" s="4">
        <f t="shared" si="85"/>
        <v>3.3015082484973935E-3</v>
      </c>
      <c r="M111" s="4">
        <f t="shared" si="85"/>
        <v>0.12769696138351394</v>
      </c>
      <c r="N111" s="43">
        <f t="shared" si="85"/>
        <v>1</v>
      </c>
      <c r="O111" s="30">
        <f t="shared" si="83"/>
        <v>0.56354491774569326</v>
      </c>
      <c r="P111" s="30">
        <f t="shared" si="84"/>
        <v>0.56249836243315121</v>
      </c>
    </row>
    <row r="112" spans="2:17" x14ac:dyDescent="0.3">
      <c r="B112" t="s">
        <v>484</v>
      </c>
      <c r="C112" t="s">
        <v>1050</v>
      </c>
      <c r="D112" t="s">
        <v>21</v>
      </c>
      <c r="E112">
        <v>1</v>
      </c>
      <c r="F112" s="5">
        <f t="shared" si="81"/>
        <v>0.10924160936482862</v>
      </c>
      <c r="G112" s="5">
        <f t="shared" si="85"/>
        <v>1.9926610615559934</v>
      </c>
      <c r="H112" s="4">
        <f t="shared" si="85"/>
        <v>3.3015082484973935E-3</v>
      </c>
      <c r="I112" s="4">
        <f t="shared" si="85"/>
        <v>0</v>
      </c>
      <c r="J112" s="4">
        <f t="shared" si="85"/>
        <v>0</v>
      </c>
      <c r="K112" s="4">
        <f t="shared" si="85"/>
        <v>0</v>
      </c>
      <c r="L112" s="4">
        <f t="shared" si="85"/>
        <v>3.3015082484973935E-3</v>
      </c>
      <c r="M112" s="4">
        <f t="shared" si="85"/>
        <v>0.13328286850589535</v>
      </c>
      <c r="N112" s="43">
        <f t="shared" si="85"/>
        <v>1</v>
      </c>
      <c r="O112" s="30">
        <f t="shared" si="83"/>
        <v>0.50184149190888383</v>
      </c>
      <c r="P112" s="30">
        <f t="shared" si="84"/>
        <v>0.50101139927586535</v>
      </c>
    </row>
    <row r="113" spans="2:23" x14ac:dyDescent="0.3">
      <c r="B113" t="s">
        <v>485</v>
      </c>
      <c r="C113" t="s">
        <v>1050</v>
      </c>
      <c r="D113" t="s">
        <v>21</v>
      </c>
      <c r="E113">
        <v>1</v>
      </c>
      <c r="F113" s="5">
        <f t="shared" si="81"/>
        <v>0.10924160936482862</v>
      </c>
      <c r="G113" s="5">
        <f t="shared" si="85"/>
        <v>1.7682576208220284</v>
      </c>
      <c r="H113" s="4">
        <f t="shared" si="85"/>
        <v>1.7634168686336228E-3</v>
      </c>
      <c r="I113" s="4">
        <f t="shared" si="85"/>
        <v>0</v>
      </c>
      <c r="J113" s="4">
        <f t="shared" si="85"/>
        <v>0</v>
      </c>
      <c r="K113" s="4">
        <f t="shared" si="85"/>
        <v>0</v>
      </c>
      <c r="L113" s="4">
        <f t="shared" si="85"/>
        <v>1.7634168686336228E-3</v>
      </c>
      <c r="M113" s="4">
        <f t="shared" si="85"/>
        <v>0.1277128939906805</v>
      </c>
      <c r="N113" s="43">
        <f t="shared" si="85"/>
        <v>1</v>
      </c>
      <c r="O113" s="30">
        <f t="shared" si="83"/>
        <v>0.56552845480463387</v>
      </c>
      <c r="P113" s="30">
        <f t="shared" si="84"/>
        <v>0.56496503640696571</v>
      </c>
    </row>
    <row r="114" spans="2:23" x14ac:dyDescent="0.3">
      <c r="B114" t="s">
        <v>486</v>
      </c>
      <c r="C114" t="s">
        <v>1050</v>
      </c>
      <c r="D114" t="s">
        <v>21</v>
      </c>
      <c r="E114">
        <v>1</v>
      </c>
      <c r="F114" s="5">
        <f t="shared" si="81"/>
        <v>0.10924160936482862</v>
      </c>
      <c r="G114" s="5">
        <f t="shared" si="85"/>
        <v>1.6961073620138816</v>
      </c>
      <c r="H114" s="4">
        <f t="shared" si="85"/>
        <v>1.7634168686336228E-3</v>
      </c>
      <c r="I114" s="4">
        <f t="shared" si="85"/>
        <v>0</v>
      </c>
      <c r="J114" s="4">
        <f t="shared" si="85"/>
        <v>0</v>
      </c>
      <c r="K114" s="4">
        <f t="shared" si="85"/>
        <v>0</v>
      </c>
      <c r="L114" s="4">
        <f t="shared" si="85"/>
        <v>1.7634168686336228E-3</v>
      </c>
      <c r="M114" s="4">
        <f t="shared" si="85"/>
        <v>0.12309426773913565</v>
      </c>
      <c r="N114" s="43">
        <f t="shared" si="85"/>
        <v>1</v>
      </c>
      <c r="O114" s="30">
        <f t="shared" si="83"/>
        <v>0.58958531894622812</v>
      </c>
      <c r="P114" s="30">
        <f t="shared" si="84"/>
        <v>0.58897297275954552</v>
      </c>
    </row>
    <row r="115" spans="2:23" x14ac:dyDescent="0.3">
      <c r="B115" t="s">
        <v>487</v>
      </c>
      <c r="C115" t="s">
        <v>1050</v>
      </c>
      <c r="D115" t="s">
        <v>21</v>
      </c>
      <c r="E115">
        <v>1</v>
      </c>
      <c r="F115" s="5">
        <f t="shared" si="81"/>
        <v>0.40177396055681436</v>
      </c>
      <c r="G115" s="5">
        <f t="shared" si="85"/>
        <v>1.3121396035908295</v>
      </c>
      <c r="H115" s="4">
        <f t="shared" si="85"/>
        <v>2.7213994000827762E-3</v>
      </c>
      <c r="I115" s="4">
        <f t="shared" si="85"/>
        <v>0</v>
      </c>
      <c r="J115" s="4">
        <f t="shared" si="85"/>
        <v>0</v>
      </c>
      <c r="K115" s="4">
        <f t="shared" si="85"/>
        <v>0</v>
      </c>
      <c r="L115" s="4">
        <f t="shared" si="85"/>
        <v>2.7213994000827762E-3</v>
      </c>
      <c r="M115" s="4">
        <f t="shared" si="85"/>
        <v>0.11233609820055389</v>
      </c>
      <c r="N115" s="43">
        <f t="shared" si="85"/>
        <v>1</v>
      </c>
      <c r="O115" s="30">
        <f t="shared" si="83"/>
        <v>0.76211402907387182</v>
      </c>
      <c r="P115" s="30">
        <f t="shared" si="84"/>
        <v>0.76053666336236425</v>
      </c>
    </row>
    <row r="116" spans="2:23" x14ac:dyDescent="0.3">
      <c r="B116" t="s">
        <v>488</v>
      </c>
      <c r="C116" t="s">
        <v>1050</v>
      </c>
      <c r="D116" t="s">
        <v>21</v>
      </c>
      <c r="E116">
        <v>1</v>
      </c>
      <c r="F116" s="5">
        <f t="shared" si="81"/>
        <v>8.4281923477532661E-2</v>
      </c>
      <c r="G116" s="5">
        <f t="shared" si="85"/>
        <v>1.1365671743099177</v>
      </c>
      <c r="H116" s="4">
        <f t="shared" si="85"/>
        <v>0</v>
      </c>
      <c r="I116" s="4">
        <f t="shared" si="85"/>
        <v>0.26124278420382252</v>
      </c>
      <c r="J116" s="4">
        <f t="shared" si="85"/>
        <v>0</v>
      </c>
      <c r="K116" s="4">
        <f t="shared" si="85"/>
        <v>6.8342810506702815E-3</v>
      </c>
      <c r="L116" s="4">
        <f t="shared" si="85"/>
        <v>0.28584619598623551</v>
      </c>
      <c r="M116" s="4">
        <f t="shared" si="85"/>
        <v>5.7005807286680123E-2</v>
      </c>
      <c r="N116" s="43">
        <f t="shared" si="85"/>
        <v>1</v>
      </c>
      <c r="O116" s="30">
        <f t="shared" si="83"/>
        <v>0.87984240844115846</v>
      </c>
      <c r="P116" s="30">
        <f t="shared" si="84"/>
        <v>0.70303051200355016</v>
      </c>
    </row>
    <row r="117" spans="2:23" x14ac:dyDescent="0.3">
      <c r="B117" t="s">
        <v>489</v>
      </c>
      <c r="C117" t="s">
        <v>1050</v>
      </c>
      <c r="D117" t="s">
        <v>21</v>
      </c>
      <c r="E117">
        <v>1</v>
      </c>
      <c r="F117" s="5">
        <f t="shared" si="81"/>
        <v>0.84588859623989199</v>
      </c>
      <c r="G117" s="5">
        <f t="shared" si="85"/>
        <v>3.6008794359601799</v>
      </c>
      <c r="H117" s="4">
        <f t="shared" si="85"/>
        <v>0</v>
      </c>
      <c r="I117" s="4">
        <f t="shared" si="85"/>
        <v>0</v>
      </c>
      <c r="J117" s="4">
        <f t="shared" si="85"/>
        <v>0</v>
      </c>
      <c r="K117" s="4">
        <f t="shared" si="85"/>
        <v>0</v>
      </c>
      <c r="L117" s="4">
        <f t="shared" si="85"/>
        <v>0</v>
      </c>
      <c r="M117" s="4">
        <f t="shared" si="85"/>
        <v>0.30030271825419702</v>
      </c>
      <c r="N117" s="43">
        <f t="shared" si="85"/>
        <v>1</v>
      </c>
      <c r="O117" s="30">
        <f t="shared" si="83"/>
        <v>0.27770993663756155</v>
      </c>
      <c r="P117" s="30">
        <f t="shared" si="84"/>
        <v>0.27770993663756155</v>
      </c>
    </row>
    <row r="118" spans="2:23" x14ac:dyDescent="0.3">
      <c r="B118" t="s">
        <v>490</v>
      </c>
      <c r="C118" t="s">
        <v>1050</v>
      </c>
      <c r="D118" t="s">
        <v>21</v>
      </c>
      <c r="E118">
        <v>1</v>
      </c>
      <c r="F118" s="5">
        <f t="shared" si="81"/>
        <v>0.59000087609435825</v>
      </c>
      <c r="G118" s="5">
        <f t="shared" si="85"/>
        <v>2.4218865752958947</v>
      </c>
      <c r="H118" s="4">
        <f t="shared" si="85"/>
        <v>0</v>
      </c>
      <c r="I118" s="4">
        <f t="shared" si="85"/>
        <v>0</v>
      </c>
      <c r="J118" s="4">
        <f t="shared" si="85"/>
        <v>0</v>
      </c>
      <c r="K118" s="4">
        <f t="shared" si="85"/>
        <v>0</v>
      </c>
      <c r="L118" s="4">
        <f t="shared" si="85"/>
        <v>0</v>
      </c>
      <c r="M118" s="4">
        <f t="shared" si="85"/>
        <v>0.18087791983558973</v>
      </c>
      <c r="N118" s="43">
        <f t="shared" si="85"/>
        <v>1</v>
      </c>
      <c r="O118" s="30">
        <f t="shared" si="83"/>
        <v>0.41290125235440667</v>
      </c>
      <c r="P118" s="30">
        <f t="shared" si="84"/>
        <v>0.41290125235440667</v>
      </c>
    </row>
    <row r="119" spans="2:23" x14ac:dyDescent="0.3">
      <c r="B119" t="s">
        <v>491</v>
      </c>
      <c r="C119" t="s">
        <v>1050</v>
      </c>
      <c r="D119" t="s">
        <v>1041</v>
      </c>
      <c r="E119">
        <v>1</v>
      </c>
      <c r="F119" s="5">
        <f t="shared" si="81"/>
        <v>8.2808463276876479E-2</v>
      </c>
      <c r="G119" s="5">
        <f t="shared" ref="G119:I120" si="86">G101/29.7</f>
        <v>1.3116690217788243</v>
      </c>
      <c r="H119" s="4">
        <f t="shared" si="86"/>
        <v>0</v>
      </c>
      <c r="I119" s="4">
        <f t="shared" si="86"/>
        <v>0.25921627367716232</v>
      </c>
      <c r="J119" s="4"/>
      <c r="K119" s="4">
        <f t="shared" ref="K119:N120" si="87">K101/29.7</f>
        <v>6.8561420056504349E-3</v>
      </c>
      <c r="L119" s="4">
        <f t="shared" si="87"/>
        <v>0.28389838489750391</v>
      </c>
      <c r="M119" s="4">
        <f t="shared" si="87"/>
        <v>5.7805689891208309E-2</v>
      </c>
      <c r="N119" s="43">
        <f t="shared" si="87"/>
        <v>1</v>
      </c>
      <c r="O119" s="30">
        <f t="shared" si="83"/>
        <v>0.76238744942214665</v>
      </c>
      <c r="P119" s="30">
        <f t="shared" si="84"/>
        <v>0.62673629193959646</v>
      </c>
    </row>
    <row r="120" spans="2:23" x14ac:dyDescent="0.3">
      <c r="B120" t="s">
        <v>571</v>
      </c>
      <c r="C120" t="s">
        <v>1050</v>
      </c>
      <c r="D120" t="s">
        <v>21</v>
      </c>
      <c r="E120">
        <v>1</v>
      </c>
      <c r="F120" s="5">
        <f t="shared" si="81"/>
        <v>8.2808463276876479E-2</v>
      </c>
      <c r="G120" s="5">
        <f t="shared" si="86"/>
        <v>1.6230458802267791</v>
      </c>
      <c r="H120" s="5">
        <f t="shared" si="86"/>
        <v>0</v>
      </c>
      <c r="I120" s="5">
        <f t="shared" si="86"/>
        <v>0.23474074848138324</v>
      </c>
      <c r="J120" s="5">
        <f>J102/29.7</f>
        <v>0</v>
      </c>
      <c r="K120" s="5">
        <f t="shared" si="87"/>
        <v>1.689533227126867E-2</v>
      </c>
      <c r="L120" s="5">
        <f t="shared" si="87"/>
        <v>0.29556394465795044</v>
      </c>
      <c r="M120" s="5">
        <f t="shared" si="87"/>
        <v>1.4451422472802091E-3</v>
      </c>
      <c r="N120" s="43">
        <f t="shared" si="87"/>
        <v>1</v>
      </c>
      <c r="O120" s="30">
        <f t="shared" ref="O120" si="88">N120/G120</f>
        <v>0.61612552804747311</v>
      </c>
      <c r="P120" s="30">
        <f t="shared" si="84"/>
        <v>0.52121071571187239</v>
      </c>
    </row>
    <row r="121" spans="2:23" x14ac:dyDescent="0.3">
      <c r="B121" t="s">
        <v>487</v>
      </c>
      <c r="C121" t="s">
        <v>264</v>
      </c>
      <c r="D121" t="s">
        <v>469</v>
      </c>
      <c r="E121">
        <v>1</v>
      </c>
      <c r="F121" s="5">
        <f t="shared" si="81"/>
        <v>0.55245416809439574</v>
      </c>
      <c r="G121" s="5">
        <f t="shared" ref="G121:M122" si="89">G103/29.7</f>
        <v>2.9235874575555427</v>
      </c>
      <c r="H121" s="4">
        <f t="shared" si="89"/>
        <v>2.7508417508417507E-3</v>
      </c>
      <c r="I121" s="4">
        <f t="shared" si="89"/>
        <v>0</v>
      </c>
      <c r="J121" s="4">
        <f t="shared" si="89"/>
        <v>0</v>
      </c>
      <c r="K121" s="4">
        <f t="shared" si="89"/>
        <v>0</v>
      </c>
      <c r="L121" s="4">
        <f t="shared" si="89"/>
        <v>2.7508417508417507E-3</v>
      </c>
      <c r="M121" s="4">
        <f t="shared" si="89"/>
        <v>0.21116644072295618</v>
      </c>
      <c r="N121" s="43">
        <f>N103/29.7</f>
        <v>1</v>
      </c>
      <c r="O121" s="30">
        <f t="shared" si="83"/>
        <v>0.34204552267306404</v>
      </c>
      <c r="P121" s="30">
        <f t="shared" si="84"/>
        <v>0.34172399009267829</v>
      </c>
    </row>
    <row r="122" spans="2:23" x14ac:dyDescent="0.3">
      <c r="B122" t="s">
        <v>492</v>
      </c>
      <c r="C122" t="s">
        <v>264</v>
      </c>
      <c r="D122" t="s">
        <v>469</v>
      </c>
      <c r="E122">
        <v>1</v>
      </c>
      <c r="F122" s="5">
        <f t="shared" si="81"/>
        <v>0.11024942375428376</v>
      </c>
      <c r="G122" s="5">
        <f t="shared" si="89"/>
        <v>1.5556193691729441</v>
      </c>
      <c r="H122" s="4">
        <f t="shared" si="89"/>
        <v>0</v>
      </c>
      <c r="I122" s="4">
        <f t="shared" si="89"/>
        <v>0</v>
      </c>
      <c r="J122" s="4">
        <f t="shared" si="89"/>
        <v>0</v>
      </c>
      <c r="K122" s="4">
        <f t="shared" si="89"/>
        <v>0</v>
      </c>
      <c r="L122" s="4">
        <f t="shared" si="89"/>
        <v>0</v>
      </c>
      <c r="M122" s="4">
        <f t="shared" si="89"/>
        <v>9.3442652819827776E-2</v>
      </c>
      <c r="N122" s="43">
        <f>N104/29.7</f>
        <v>1</v>
      </c>
      <c r="O122" s="30">
        <f t="shared" si="83"/>
        <v>0.64283077198483141</v>
      </c>
      <c r="P122" s="30">
        <f t="shared" si="84"/>
        <v>0.64283077198483141</v>
      </c>
    </row>
    <row r="125" spans="2:23" ht="21" x14ac:dyDescent="0.4">
      <c r="B125" s="64" t="s">
        <v>542</v>
      </c>
      <c r="C125" s="65"/>
      <c r="D125" s="65"/>
      <c r="E125" s="65"/>
      <c r="F125" s="65"/>
      <c r="G125" s="65"/>
      <c r="H125" s="65"/>
      <c r="I125" s="65"/>
      <c r="J125" s="65"/>
      <c r="K125" s="65"/>
      <c r="L125" s="65"/>
      <c r="M125" s="65"/>
      <c r="N125" s="65"/>
      <c r="O125" s="65"/>
      <c r="P125" s="65"/>
      <c r="Q125" s="65"/>
      <c r="R125" s="65"/>
      <c r="S125" s="65"/>
      <c r="T125" s="65"/>
      <c r="U125" s="65"/>
      <c r="V125" s="65"/>
      <c r="W125" s="65"/>
    </row>
    <row r="126" spans="2:23" x14ac:dyDescent="0.3">
      <c r="B126" s="9" t="s">
        <v>480</v>
      </c>
    </row>
    <row r="127" spans="2:23" x14ac:dyDescent="0.3">
      <c r="B127" t="s">
        <v>1</v>
      </c>
      <c r="C127" t="s">
        <v>459</v>
      </c>
      <c r="D127" t="s">
        <v>460</v>
      </c>
      <c r="E127" t="s">
        <v>461</v>
      </c>
      <c r="F127" t="s">
        <v>493</v>
      </c>
      <c r="G127" t="s">
        <v>493</v>
      </c>
      <c r="H127" t="s">
        <v>462</v>
      </c>
      <c r="I127" t="s">
        <v>471</v>
      </c>
      <c r="J127" t="s">
        <v>496</v>
      </c>
      <c r="K127" t="s">
        <v>247</v>
      </c>
      <c r="L127" t="s">
        <v>472</v>
      </c>
      <c r="M127" t="s">
        <v>428</v>
      </c>
      <c r="N127" t="s">
        <v>494</v>
      </c>
      <c r="O127" t="s">
        <v>497</v>
      </c>
      <c r="P127" t="s">
        <v>498</v>
      </c>
      <c r="Q127" t="s">
        <v>543</v>
      </c>
      <c r="R127" t="s">
        <v>544</v>
      </c>
      <c r="S127" t="s">
        <v>545</v>
      </c>
      <c r="T127" t="s">
        <v>546</v>
      </c>
      <c r="U127" t="s">
        <v>547</v>
      </c>
      <c r="V127" t="s">
        <v>556</v>
      </c>
      <c r="W127" t="s">
        <v>572</v>
      </c>
    </row>
    <row r="128" spans="2:23" x14ac:dyDescent="0.3">
      <c r="B128" t="s">
        <v>7</v>
      </c>
      <c r="E128" t="s">
        <v>8</v>
      </c>
      <c r="F128" t="s">
        <v>107</v>
      </c>
      <c r="G128" t="s">
        <v>463</v>
      </c>
      <c r="H128" t="s">
        <v>463</v>
      </c>
      <c r="I128" t="s">
        <v>463</v>
      </c>
      <c r="J128" t="s">
        <v>463</v>
      </c>
      <c r="K128" t="s">
        <v>248</v>
      </c>
      <c r="L128" t="s">
        <v>463</v>
      </c>
      <c r="M128" s="5"/>
      <c r="N128" t="s">
        <v>463</v>
      </c>
      <c r="O128" t="s">
        <v>476</v>
      </c>
      <c r="P128" t="s">
        <v>476</v>
      </c>
      <c r="Q128" t="s">
        <v>248</v>
      </c>
      <c r="R128" t="s">
        <v>107</v>
      </c>
      <c r="S128" t="s">
        <v>107</v>
      </c>
      <c r="T128" t="s">
        <v>107</v>
      </c>
      <c r="U128" t="s">
        <v>107</v>
      </c>
      <c r="V128" t="s">
        <v>107</v>
      </c>
    </row>
    <row r="129" spans="2:23" x14ac:dyDescent="0.3">
      <c r="B129" t="s">
        <v>481</v>
      </c>
      <c r="C129" t="s">
        <v>1050</v>
      </c>
      <c r="D129" t="s">
        <v>21</v>
      </c>
      <c r="E129">
        <v>1</v>
      </c>
      <c r="F129" s="43">
        <f>GREET!B95</f>
        <v>3.9394735346660368</v>
      </c>
      <c r="G129" s="44">
        <f>F129*R6</f>
        <v>60.047002202658128</v>
      </c>
      <c r="H129" s="5">
        <f>GREET!B96</f>
        <v>6.3592381373341833E-2</v>
      </c>
      <c r="I129" s="5"/>
      <c r="J129" s="5"/>
      <c r="K129" s="5"/>
      <c r="L129" s="5">
        <f>SUM(H129:J129)+(K129*3.6)</f>
        <v>6.3592381373341833E-2</v>
      </c>
      <c r="M129" s="5">
        <f>GREET!B104</f>
        <v>3.8075600459644638</v>
      </c>
      <c r="N129">
        <v>29.7</v>
      </c>
      <c r="O129" s="30">
        <f t="shared" ref="O129:O142" si="90">N129/G129</f>
        <v>0.49461253535626554</v>
      </c>
      <c r="P129" s="30">
        <f t="shared" ref="P129:P142" si="91">N129/SUM(G129,L129)</f>
        <v>0.49408927337228303</v>
      </c>
      <c r="Q129" s="5">
        <f>GREET!B106</f>
        <v>-0.50274302587613584</v>
      </c>
      <c r="R129" s="5"/>
      <c r="S129" s="5"/>
      <c r="T129" s="5"/>
      <c r="U129" s="5"/>
    </row>
    <row r="130" spans="2:23" x14ac:dyDescent="0.3">
      <c r="B130" t="s">
        <v>482</v>
      </c>
      <c r="C130" t="s">
        <v>1050</v>
      </c>
      <c r="D130" t="s">
        <v>21</v>
      </c>
      <c r="E130">
        <v>1</v>
      </c>
      <c r="F130" s="43">
        <f>GREET!B296</f>
        <v>3.9394735346660368</v>
      </c>
      <c r="G130" s="44">
        <f t="shared" ref="G130:G140" si="92">F130*R7</f>
        <v>66.206734829801434</v>
      </c>
      <c r="H130" s="5">
        <f>GREET!B297</f>
        <v>0.11905906957120109</v>
      </c>
      <c r="I130" s="5"/>
      <c r="J130" s="5"/>
      <c r="K130" s="5"/>
      <c r="L130" s="5">
        <f t="shared" ref="L130:L142" si="93">SUM(H130:J130)+(K130*3.6)</f>
        <v>0.11905906957120109</v>
      </c>
      <c r="M130" s="5">
        <f>GREET!B305</f>
        <v>4.2372909507042831</v>
      </c>
      <c r="N130">
        <v>29.7</v>
      </c>
      <c r="O130" s="30">
        <f t="shared" si="90"/>
        <v>0.44859484577135844</v>
      </c>
      <c r="P130" s="30">
        <f t="shared" si="91"/>
        <v>0.4477895891462661</v>
      </c>
      <c r="Q130" s="5">
        <f>GREET!B307</f>
        <v>-0.50274302587613584</v>
      </c>
      <c r="R130" s="5"/>
      <c r="S130" s="5"/>
      <c r="T130" s="5"/>
      <c r="U130" s="5"/>
    </row>
    <row r="131" spans="2:23" x14ac:dyDescent="0.3">
      <c r="B131" t="s">
        <v>483</v>
      </c>
      <c r="C131" t="s">
        <v>1050</v>
      </c>
      <c r="D131" t="s">
        <v>21</v>
      </c>
      <c r="E131">
        <v>1</v>
      </c>
      <c r="F131" s="43">
        <f>GREET!B497</f>
        <v>3.9394735346660368</v>
      </c>
      <c r="G131" s="44">
        <f t="shared" si="92"/>
        <v>63.991392393723572</v>
      </c>
      <c r="H131" s="5">
        <f>GREET!B498</f>
        <v>0.11905906957120109</v>
      </c>
      <c r="I131" s="5"/>
      <c r="J131" s="5"/>
      <c r="K131" s="5"/>
      <c r="L131" s="5">
        <f t="shared" si="93"/>
        <v>0.11905906957120109</v>
      </c>
      <c r="M131" s="5">
        <f>GREET!B504</f>
        <v>5.0150079812433779</v>
      </c>
      <c r="N131">
        <v>29.7</v>
      </c>
      <c r="O131" s="30">
        <f t="shared" si="90"/>
        <v>0.46412492194673743</v>
      </c>
      <c r="P131" s="30">
        <f t="shared" si="91"/>
        <v>0.46326299881079719</v>
      </c>
      <c r="Q131" s="5">
        <f>GREET!B506</f>
        <v>-0.50274302587613584</v>
      </c>
      <c r="R131" s="5"/>
      <c r="S131" s="5"/>
      <c r="T131" s="5"/>
      <c r="U131" s="5"/>
    </row>
    <row r="132" spans="2:23" x14ac:dyDescent="0.3">
      <c r="B132" t="s">
        <v>484</v>
      </c>
      <c r="C132" t="s">
        <v>1050</v>
      </c>
      <c r="D132" t="s">
        <v>21</v>
      </c>
      <c r="E132">
        <v>1</v>
      </c>
      <c r="F132" s="43">
        <f>GREET!B643</f>
        <v>3.9394735346660368</v>
      </c>
      <c r="G132" s="44">
        <f t="shared" si="92"/>
        <v>71.859390951876264</v>
      </c>
      <c r="H132" s="5">
        <f>GREET!B644</f>
        <v>0.11905906957120109</v>
      </c>
      <c r="I132" s="5"/>
      <c r="J132" s="5"/>
      <c r="K132" s="5"/>
      <c r="L132" s="5">
        <f t="shared" si="93"/>
        <v>0.11905906957120109</v>
      </c>
      <c r="M132" s="5">
        <f>GREET!B647</f>
        <v>5.2164470977455268</v>
      </c>
      <c r="N132">
        <v>29.7</v>
      </c>
      <c r="O132" s="30">
        <f t="shared" si="90"/>
        <v>0.41330714895551901</v>
      </c>
      <c r="P132" s="30">
        <f t="shared" si="91"/>
        <v>0.41262350038310452</v>
      </c>
      <c r="Q132" s="5">
        <f>GREET!B648</f>
        <v>-0.50274302587613584</v>
      </c>
      <c r="R132" s="5"/>
      <c r="S132" s="5"/>
      <c r="T132" s="5"/>
      <c r="U132" s="5"/>
    </row>
    <row r="133" spans="2:23" x14ac:dyDescent="0.3">
      <c r="B133" t="s">
        <v>485</v>
      </c>
      <c r="C133" t="s">
        <v>1050</v>
      </c>
      <c r="D133" t="s">
        <v>21</v>
      </c>
      <c r="E133">
        <v>1</v>
      </c>
      <c r="F133" s="43">
        <f>GREET!B841</f>
        <v>3.9394735346660368</v>
      </c>
      <c r="G133" s="44">
        <f t="shared" si="92"/>
        <v>63.766948694758831</v>
      </c>
      <c r="H133" s="5">
        <f>GREET!B842</f>
        <v>6.3592381373341833E-2</v>
      </c>
      <c r="I133" s="5"/>
      <c r="J133" s="5"/>
      <c r="K133" s="5"/>
      <c r="L133" s="5">
        <f t="shared" si="93"/>
        <v>6.3592381373341833E-2</v>
      </c>
      <c r="M133" s="5">
        <f>GREET!B850</f>
        <v>5.0155825433048093</v>
      </c>
      <c r="N133">
        <v>29.7</v>
      </c>
      <c r="O133" s="30">
        <f t="shared" si="90"/>
        <v>0.46575852550462588</v>
      </c>
      <c r="P133" s="30">
        <f t="shared" si="91"/>
        <v>0.4652945047822189</v>
      </c>
      <c r="Q133" s="5">
        <f>GREET!B852</f>
        <v>-0.50274302587613584</v>
      </c>
      <c r="R133" s="5"/>
      <c r="S133" s="5"/>
      <c r="T133" s="5"/>
      <c r="U133" s="5"/>
    </row>
    <row r="134" spans="2:23" x14ac:dyDescent="0.3">
      <c r="B134" t="s">
        <v>486</v>
      </c>
      <c r="C134" t="s">
        <v>1050</v>
      </c>
      <c r="D134" t="s">
        <v>21</v>
      </c>
      <c r="E134">
        <v>1</v>
      </c>
      <c r="F134" s="43">
        <f>GREET!B1005</f>
        <v>3.9394735346660368</v>
      </c>
      <c r="G134" s="44">
        <f t="shared" si="92"/>
        <v>61.165064332686164</v>
      </c>
      <c r="H134" s="5">
        <f>GREET!B1006</f>
        <v>6.3592381373341833E-2</v>
      </c>
      <c r="I134" s="5"/>
      <c r="J134" s="5"/>
      <c r="K134" s="5"/>
      <c r="L134" s="5">
        <f t="shared" si="93"/>
        <v>6.3592381373341833E-2</v>
      </c>
      <c r="M134" s="5">
        <f>GREET!B1014</f>
        <v>4.8490255327456744</v>
      </c>
      <c r="N134">
        <v>29.7</v>
      </c>
      <c r="O134" s="30">
        <f t="shared" si="90"/>
        <v>0.48557130322723352</v>
      </c>
      <c r="P134" s="30">
        <f t="shared" si="91"/>
        <v>0.48506698650437968</v>
      </c>
      <c r="Q134" s="5">
        <f>GREET!B1016</f>
        <v>-0.50274302587613584</v>
      </c>
      <c r="R134" s="5"/>
      <c r="S134" s="5"/>
      <c r="T134" s="5"/>
      <c r="U134" s="5"/>
    </row>
    <row r="135" spans="2:23" x14ac:dyDescent="0.3">
      <c r="B135" t="s">
        <v>487</v>
      </c>
      <c r="C135" t="s">
        <v>1050</v>
      </c>
      <c r="D135" t="s">
        <v>21</v>
      </c>
      <c r="E135">
        <v>1</v>
      </c>
      <c r="F135" s="43">
        <f>GREET!B1194</f>
        <v>15.64744160965482</v>
      </c>
      <c r="G135" s="44">
        <f>F135*S12</f>
        <v>51.102435315739619</v>
      </c>
      <c r="H135" s="5">
        <f>GREET!B1195</f>
        <v>0.10598730228890306</v>
      </c>
      <c r="I135" s="5"/>
      <c r="J135" s="5"/>
      <c r="K135" s="5"/>
      <c r="L135" s="5">
        <f t="shared" si="93"/>
        <v>0.10598730228890306</v>
      </c>
      <c r="M135" s="5">
        <f>GREET!B1197</f>
        <v>4.9708743082481206</v>
      </c>
      <c r="N135">
        <v>29.7</v>
      </c>
      <c r="O135" s="30">
        <f t="shared" si="90"/>
        <v>0.5811856091886165</v>
      </c>
      <c r="P135" s="30">
        <f t="shared" si="91"/>
        <v>0.57998271537354029</v>
      </c>
      <c r="Q135" s="5">
        <f>GREET!B1199</f>
        <v>-0.73063276089828266</v>
      </c>
      <c r="R135" s="5"/>
      <c r="S135" s="5"/>
      <c r="T135" s="5"/>
      <c r="U135" s="5"/>
    </row>
    <row r="136" spans="2:23" x14ac:dyDescent="0.3">
      <c r="B136" t="s">
        <v>488</v>
      </c>
      <c r="C136" t="s">
        <v>1050</v>
      </c>
      <c r="D136" t="s">
        <v>21</v>
      </c>
      <c r="E136">
        <v>1</v>
      </c>
      <c r="F136" s="43">
        <f>GREET!B1387</f>
        <v>3.0268115202934944</v>
      </c>
      <c r="G136" s="44">
        <f t="shared" si="92"/>
        <v>40.817466840392449</v>
      </c>
      <c r="H136" s="5"/>
      <c r="I136" s="5">
        <f>GREET!B1388</f>
        <v>9.3819959986136983</v>
      </c>
      <c r="J136" s="5"/>
      <c r="K136" s="5">
        <f>GREET!B1389</f>
        <v>0.24543911391161713</v>
      </c>
      <c r="L136" s="5">
        <f t="shared" si="93"/>
        <v>10.265576808695521</v>
      </c>
      <c r="M136" s="5">
        <f>GREET!B1395</f>
        <v>2.447635400742926</v>
      </c>
      <c r="N136">
        <v>29.7</v>
      </c>
      <c r="O136" s="30">
        <f t="shared" si="90"/>
        <v>0.72762967178083804</v>
      </c>
      <c r="P136" s="30">
        <f t="shared" si="91"/>
        <v>0.58140623342693598</v>
      </c>
      <c r="Q136" s="5">
        <f>GREET!B1397</f>
        <v>0</v>
      </c>
      <c r="R136" s="5">
        <f>GREET!B1398</f>
        <v>-0.31687157199471599</v>
      </c>
      <c r="S136" s="5"/>
      <c r="T136" s="5"/>
      <c r="U136" s="5"/>
    </row>
    <row r="137" spans="2:23" x14ac:dyDescent="0.3">
      <c r="B137" t="s">
        <v>489</v>
      </c>
      <c r="C137" t="s">
        <v>1050</v>
      </c>
      <c r="D137" t="s">
        <v>21</v>
      </c>
      <c r="E137">
        <v>1</v>
      </c>
      <c r="F137" s="43">
        <f>GREET!B1573</f>
        <v>34.990099315215588</v>
      </c>
      <c r="G137" s="44">
        <f>F137*S14</f>
        <v>148.9500268078236</v>
      </c>
      <c r="H137" s="5"/>
      <c r="I137" s="5"/>
      <c r="J137" s="5"/>
      <c r="K137" s="5"/>
      <c r="L137" s="5">
        <f t="shared" si="93"/>
        <v>0</v>
      </c>
      <c r="M137" s="5">
        <f>GREET!B1575</f>
        <v>13.173730824720963</v>
      </c>
      <c r="N137">
        <v>29.7</v>
      </c>
      <c r="O137" s="30">
        <f t="shared" si="90"/>
        <v>0.1993957345057692</v>
      </c>
      <c r="P137" s="30">
        <f t="shared" si="91"/>
        <v>0.1993957345057692</v>
      </c>
      <c r="Q137" s="5">
        <f>GREET!B1577</f>
        <v>-2.8829247027741083</v>
      </c>
      <c r="R137" s="5"/>
      <c r="S137" s="5">
        <f>GREET!B1578</f>
        <v>-1.0295355614266841E-2</v>
      </c>
      <c r="T137" s="5">
        <f>GREET!B1579</f>
        <v>-2.5585487714663145E-2</v>
      </c>
      <c r="U137" s="5">
        <f>GREET!B1580</f>
        <v>0</v>
      </c>
    </row>
    <row r="138" spans="2:23" x14ac:dyDescent="0.3">
      <c r="B138" t="s">
        <v>490</v>
      </c>
      <c r="C138" t="s">
        <v>1050</v>
      </c>
      <c r="D138" t="s">
        <v>21</v>
      </c>
      <c r="E138">
        <v>1</v>
      </c>
      <c r="F138" s="43">
        <f>GREET!B1740</f>
        <v>18.801530064380302</v>
      </c>
      <c r="G138" s="44">
        <f>F138*S15</f>
        <v>77.178145156961449</v>
      </c>
      <c r="H138" s="5"/>
      <c r="I138" s="5"/>
      <c r="J138" s="5"/>
      <c r="K138" s="5"/>
      <c r="L138" s="5">
        <f t="shared" si="93"/>
        <v>0</v>
      </c>
      <c r="M138" s="5">
        <f>GREET!B1745</f>
        <v>5.90367620076933</v>
      </c>
      <c r="N138">
        <v>29.7</v>
      </c>
      <c r="O138" s="30">
        <f t="shared" si="90"/>
        <v>0.38482396719430706</v>
      </c>
      <c r="P138" s="30">
        <f t="shared" si="91"/>
        <v>0.38482396719430706</v>
      </c>
      <c r="Q138" s="5">
        <f>GREET!B1747</f>
        <v>-0.53989696169088508</v>
      </c>
      <c r="R138" s="5"/>
      <c r="S138" s="5"/>
      <c r="T138" s="5"/>
      <c r="U138" s="5"/>
    </row>
    <row r="139" spans="2:23" x14ac:dyDescent="0.3">
      <c r="B139" t="s">
        <v>491</v>
      </c>
      <c r="C139" t="s">
        <v>1050</v>
      </c>
      <c r="D139" t="s">
        <v>1041</v>
      </c>
      <c r="E139">
        <v>1</v>
      </c>
      <c r="F139" s="43">
        <f>GREET!B1963</f>
        <v>2.973895234973678</v>
      </c>
      <c r="G139" s="44">
        <f t="shared" si="92"/>
        <v>47.105888690243148</v>
      </c>
      <c r="H139" s="5"/>
      <c r="I139" s="5">
        <f>GREET!B1964</f>
        <v>9.3092180510419844</v>
      </c>
      <c r="J139" s="5"/>
      <c r="K139" s="5">
        <f>GREET!B1965</f>
        <v>0.24622420503968309</v>
      </c>
      <c r="L139" s="5">
        <f t="shared" si="93"/>
        <v>10.195625189184844</v>
      </c>
      <c r="M139" s="5">
        <f>GREET!B1971</f>
        <v>2.4763615353916411</v>
      </c>
      <c r="N139">
        <v>29.7</v>
      </c>
      <c r="O139" s="30">
        <f t="shared" si="90"/>
        <v>0.63049442067211525</v>
      </c>
      <c r="P139" s="30">
        <f t="shared" si="91"/>
        <v>0.51831091343404623</v>
      </c>
      <c r="Q139" s="5"/>
      <c r="R139" s="5">
        <f>GREET!B1973</f>
        <v>-0.14373294505680315</v>
      </c>
      <c r="S139" s="5"/>
      <c r="T139" s="5"/>
      <c r="U139" s="5"/>
      <c r="V139" s="4">
        <f>GREET!B1974</f>
        <v>-2.8678595966921405E-2</v>
      </c>
    </row>
    <row r="140" spans="2:23" x14ac:dyDescent="0.3">
      <c r="B140" t="s">
        <v>571</v>
      </c>
      <c r="C140" t="s">
        <v>1050</v>
      </c>
      <c r="D140" t="s">
        <v>21</v>
      </c>
      <c r="E140">
        <v>1</v>
      </c>
      <c r="F140" s="43">
        <f>GREET!B2034</f>
        <v>2.973895234973678</v>
      </c>
      <c r="G140" s="44">
        <f t="shared" si="92"/>
        <v>58.288346605484094</v>
      </c>
      <c r="H140" s="5"/>
      <c r="I140" s="5">
        <f>GREET!B2035</f>
        <v>8.43023002405935</v>
      </c>
      <c r="J140" s="5"/>
      <c r="K140" s="5">
        <f>GREET!B2036</f>
        <v>0.69196928141017844</v>
      </c>
      <c r="L140" s="5">
        <f t="shared" si="93"/>
        <v>10.921319437135992</v>
      </c>
      <c r="M140" s="5">
        <f>GREET!B2042</f>
        <v>6.1909038384791081E-2</v>
      </c>
      <c r="N140">
        <v>29.7</v>
      </c>
      <c r="O140" s="30">
        <f t="shared" ref="O140" si="94">N140/G140</f>
        <v>0.50953581169526019</v>
      </c>
      <c r="P140" s="30">
        <f t="shared" si="91"/>
        <v>0.42913080929635478</v>
      </c>
      <c r="Q140" s="5"/>
      <c r="R140" s="5">
        <f>GREET!B2044</f>
        <v>-0.14373294505680315</v>
      </c>
      <c r="S140" s="5"/>
      <c r="T140" s="5"/>
      <c r="U140" s="5"/>
      <c r="V140" s="4">
        <f>GREET!B2045</f>
        <v>-2.8678595966921405E-2</v>
      </c>
      <c r="W140" s="5">
        <f>GREET!B2046</f>
        <v>-2.4144524970068502</v>
      </c>
    </row>
    <row r="141" spans="2:23" x14ac:dyDescent="0.3">
      <c r="B141" t="s">
        <v>487</v>
      </c>
      <c r="C141" t="s">
        <v>264</v>
      </c>
      <c r="D141" t="s">
        <v>469</v>
      </c>
      <c r="E141">
        <v>1</v>
      </c>
      <c r="F141" s="43">
        <f>'Pereira et al. 2019'!B138</f>
        <v>14.875905198831346</v>
      </c>
      <c r="G141" s="44">
        <f>F141*S17</f>
        <v>78.723290312215497</v>
      </c>
      <c r="H141" s="5"/>
      <c r="I141" s="5"/>
      <c r="J141" s="5"/>
      <c r="K141" s="5"/>
      <c r="L141" s="5">
        <f t="shared" si="93"/>
        <v>0</v>
      </c>
      <c r="M141" s="5">
        <f>'Pereira et al. 2019'!B144</f>
        <v>5.5073602436169855</v>
      </c>
      <c r="N141">
        <v>29.7</v>
      </c>
      <c r="O141" s="30">
        <f t="shared" si="90"/>
        <v>0.37727081632653059</v>
      </c>
      <c r="P141" s="30">
        <f t="shared" si="91"/>
        <v>0.37727081632653059</v>
      </c>
      <c r="Q141" s="5">
        <f>'Pereira et al. 2019'!B145</f>
        <v>-0.38826112568949817</v>
      </c>
      <c r="R141" s="5"/>
      <c r="S141" s="5"/>
      <c r="T141" s="5"/>
      <c r="U141" s="5"/>
    </row>
    <row r="142" spans="2:23" x14ac:dyDescent="0.3">
      <c r="B142" t="s">
        <v>492</v>
      </c>
      <c r="C142" t="s">
        <v>264</v>
      </c>
      <c r="D142" t="s">
        <v>469</v>
      </c>
      <c r="E142">
        <v>1</v>
      </c>
      <c r="F142" s="43">
        <f>'Pereira et al. 2019'!B201</f>
        <v>4.4550000000000001</v>
      </c>
      <c r="G142" s="44">
        <f>F142*S18</f>
        <v>62.860050000000008</v>
      </c>
      <c r="H142" s="5"/>
      <c r="I142" s="5"/>
      <c r="J142" s="5"/>
      <c r="K142" s="5"/>
      <c r="L142" s="5">
        <f t="shared" si="93"/>
        <v>0</v>
      </c>
      <c r="M142" s="5">
        <f>'Pereira et al. 2019'!B208</f>
        <v>4.4659609499999995</v>
      </c>
      <c r="N142">
        <v>29.7</v>
      </c>
      <c r="O142" s="30">
        <f t="shared" si="90"/>
        <v>0.47247814788566023</v>
      </c>
      <c r="P142" s="30">
        <f t="shared" si="91"/>
        <v>0.47247814788566023</v>
      </c>
      <c r="Q142" s="5">
        <f>'Pereira et al. 2019'!B209</f>
        <v>-1.0725</v>
      </c>
      <c r="R142" s="5"/>
      <c r="S142" s="5"/>
      <c r="T142" s="5"/>
      <c r="U142" s="5"/>
    </row>
    <row r="144" spans="2:23" x14ac:dyDescent="0.3">
      <c r="B144" s="9" t="s">
        <v>499</v>
      </c>
    </row>
    <row r="145" spans="2:23" x14ac:dyDescent="0.3">
      <c r="B145" t="s">
        <v>1</v>
      </c>
      <c r="C145" t="s">
        <v>459</v>
      </c>
      <c r="D145" t="s">
        <v>460</v>
      </c>
      <c r="E145" t="s">
        <v>461</v>
      </c>
      <c r="F145" t="s">
        <v>493</v>
      </c>
      <c r="G145" t="s">
        <v>493</v>
      </c>
      <c r="H145" t="s">
        <v>462</v>
      </c>
      <c r="I145" t="s">
        <v>471</v>
      </c>
      <c r="J145" t="s">
        <v>496</v>
      </c>
      <c r="K145" t="s">
        <v>247</v>
      </c>
      <c r="L145" t="s">
        <v>472</v>
      </c>
      <c r="M145" t="s">
        <v>428</v>
      </c>
      <c r="N145" t="s">
        <v>494</v>
      </c>
      <c r="O145" t="s">
        <v>497</v>
      </c>
      <c r="P145" t="s">
        <v>498</v>
      </c>
      <c r="Q145" t="s">
        <v>543</v>
      </c>
      <c r="R145" t="s">
        <v>544</v>
      </c>
      <c r="S145" t="s">
        <v>545</v>
      </c>
      <c r="T145" t="s">
        <v>546</v>
      </c>
      <c r="U145" t="s">
        <v>547</v>
      </c>
      <c r="V145" t="s">
        <v>556</v>
      </c>
      <c r="W145" t="s">
        <v>572</v>
      </c>
    </row>
    <row r="146" spans="2:23" x14ac:dyDescent="0.3">
      <c r="B146" t="s">
        <v>7</v>
      </c>
      <c r="E146" t="s">
        <v>19</v>
      </c>
      <c r="F146" t="s">
        <v>107</v>
      </c>
      <c r="G146" t="s">
        <v>463</v>
      </c>
      <c r="H146" t="s">
        <v>463</v>
      </c>
      <c r="I146" t="s">
        <v>463</v>
      </c>
      <c r="J146" t="s">
        <v>463</v>
      </c>
      <c r="K146" t="s">
        <v>248</v>
      </c>
      <c r="L146" t="s">
        <v>463</v>
      </c>
      <c r="M146" t="s">
        <v>8</v>
      </c>
      <c r="N146" t="s">
        <v>463</v>
      </c>
      <c r="O146" t="s">
        <v>476</v>
      </c>
      <c r="P146" t="s">
        <v>476</v>
      </c>
      <c r="Q146" t="s">
        <v>248</v>
      </c>
      <c r="R146" t="s">
        <v>107</v>
      </c>
      <c r="S146" t="s">
        <v>107</v>
      </c>
      <c r="T146" t="s">
        <v>107</v>
      </c>
      <c r="U146" t="s">
        <v>107</v>
      </c>
    </row>
    <row r="147" spans="2:23" x14ac:dyDescent="0.3">
      <c r="B147" t="s">
        <v>481</v>
      </c>
      <c r="C147" t="s">
        <v>1050</v>
      </c>
      <c r="D147" t="s">
        <v>21</v>
      </c>
      <c r="E147">
        <v>1</v>
      </c>
      <c r="F147" s="5">
        <f>F129/29.7</f>
        <v>0.13264220655441203</v>
      </c>
      <c r="G147" s="5">
        <f t="shared" ref="G147:N147" si="95">G129/29.7</f>
        <v>2.021784585948085</v>
      </c>
      <c r="H147" s="4">
        <f t="shared" si="95"/>
        <v>2.1411576219980415E-3</v>
      </c>
      <c r="I147" s="4">
        <f t="shared" si="95"/>
        <v>0</v>
      </c>
      <c r="J147" s="4">
        <f t="shared" si="95"/>
        <v>0</v>
      </c>
      <c r="K147" s="4">
        <f t="shared" si="95"/>
        <v>0</v>
      </c>
      <c r="L147" s="4">
        <f t="shared" si="95"/>
        <v>2.1411576219980415E-3</v>
      </c>
      <c r="M147" s="4">
        <f t="shared" si="95"/>
        <v>0.12820067494829845</v>
      </c>
      <c r="N147" s="43">
        <f t="shared" si="95"/>
        <v>1</v>
      </c>
      <c r="O147" s="30">
        <f t="shared" ref="O147:O160" si="96">N147/G147</f>
        <v>0.49461253535626559</v>
      </c>
      <c r="P147" s="30">
        <f>N147/SUM(G147:K147)</f>
        <v>0.49408927337228303</v>
      </c>
      <c r="Q147" s="4">
        <f t="shared" ref="Q147:U147" si="97">Q129/29.7</f>
        <v>-1.6927374608624104E-2</v>
      </c>
      <c r="R147" s="4">
        <f t="shared" si="97"/>
        <v>0</v>
      </c>
      <c r="S147" s="4">
        <f t="shared" si="97"/>
        <v>0</v>
      </c>
      <c r="T147" s="4">
        <f t="shared" si="97"/>
        <v>0</v>
      </c>
      <c r="U147" s="4">
        <f t="shared" si="97"/>
        <v>0</v>
      </c>
    </row>
    <row r="148" spans="2:23" x14ac:dyDescent="0.3">
      <c r="B148" t="s">
        <v>482</v>
      </c>
      <c r="C148" t="s">
        <v>1050</v>
      </c>
      <c r="D148" t="s">
        <v>21</v>
      </c>
      <c r="E148">
        <v>1</v>
      </c>
      <c r="F148" s="5">
        <f t="shared" ref="F148:N148" si="98">F130/29.7</f>
        <v>0.13264220655441203</v>
      </c>
      <c r="G148" s="5">
        <f t="shared" si="98"/>
        <v>2.2291829909024052</v>
      </c>
      <c r="H148" s="4">
        <f t="shared" si="98"/>
        <v>4.0087228811852222E-3</v>
      </c>
      <c r="I148" s="4">
        <f t="shared" si="98"/>
        <v>0</v>
      </c>
      <c r="J148" s="4">
        <f t="shared" si="98"/>
        <v>0</v>
      </c>
      <c r="K148" s="4">
        <f t="shared" si="98"/>
        <v>0</v>
      </c>
      <c r="L148" s="4">
        <f t="shared" si="98"/>
        <v>4.0087228811852222E-3</v>
      </c>
      <c r="M148" s="4">
        <f t="shared" si="98"/>
        <v>0.14266972897994221</v>
      </c>
      <c r="N148" s="43">
        <f t="shared" si="98"/>
        <v>1</v>
      </c>
      <c r="O148" s="30">
        <f t="shared" si="96"/>
        <v>0.44859484577135844</v>
      </c>
      <c r="P148" s="30">
        <f t="shared" ref="P148:P160" si="99">N148/SUM(G148:K148)</f>
        <v>0.44778958914626615</v>
      </c>
      <c r="Q148" s="4">
        <f t="shared" ref="Q148:U148" si="100">Q130/29.7</f>
        <v>-1.6927374608624104E-2</v>
      </c>
      <c r="R148" s="4">
        <f t="shared" si="100"/>
        <v>0</v>
      </c>
      <c r="S148" s="4">
        <f t="shared" si="100"/>
        <v>0</v>
      </c>
      <c r="T148" s="4">
        <f t="shared" si="100"/>
        <v>0</v>
      </c>
      <c r="U148" s="4">
        <f t="shared" si="100"/>
        <v>0</v>
      </c>
    </row>
    <row r="149" spans="2:23" x14ac:dyDescent="0.3">
      <c r="B149" t="s">
        <v>483</v>
      </c>
      <c r="C149" t="s">
        <v>1050</v>
      </c>
      <c r="D149" t="s">
        <v>21</v>
      </c>
      <c r="E149">
        <v>1</v>
      </c>
      <c r="F149" s="5">
        <f t="shared" ref="F149:N149" si="101">F131/29.7</f>
        <v>0.13264220655441203</v>
      </c>
      <c r="G149" s="5">
        <f t="shared" si="101"/>
        <v>2.1545923364890092</v>
      </c>
      <c r="H149" s="4">
        <f t="shared" si="101"/>
        <v>4.0087228811852222E-3</v>
      </c>
      <c r="I149" s="4">
        <f t="shared" si="101"/>
        <v>0</v>
      </c>
      <c r="J149" s="4">
        <f t="shared" si="101"/>
        <v>0</v>
      </c>
      <c r="K149" s="4">
        <f t="shared" si="101"/>
        <v>0</v>
      </c>
      <c r="L149" s="4">
        <f t="shared" si="101"/>
        <v>4.0087228811852222E-3</v>
      </c>
      <c r="M149" s="4">
        <f t="shared" si="101"/>
        <v>0.16885548758395211</v>
      </c>
      <c r="N149" s="43">
        <f t="shared" si="101"/>
        <v>1</v>
      </c>
      <c r="O149" s="30">
        <f t="shared" si="96"/>
        <v>0.46412492194673743</v>
      </c>
      <c r="P149" s="30">
        <f t="shared" si="99"/>
        <v>0.46326299881079719</v>
      </c>
      <c r="Q149" s="4">
        <f t="shared" ref="Q149:U149" si="102">Q131/29.7</f>
        <v>-1.6927374608624104E-2</v>
      </c>
      <c r="R149" s="4">
        <f t="shared" si="102"/>
        <v>0</v>
      </c>
      <c r="S149" s="4">
        <f t="shared" si="102"/>
        <v>0</v>
      </c>
      <c r="T149" s="4">
        <f t="shared" si="102"/>
        <v>0</v>
      </c>
      <c r="U149" s="4">
        <f t="shared" si="102"/>
        <v>0</v>
      </c>
    </row>
    <row r="150" spans="2:23" x14ac:dyDescent="0.3">
      <c r="B150" t="s">
        <v>484</v>
      </c>
      <c r="C150" t="s">
        <v>1050</v>
      </c>
      <c r="D150" t="s">
        <v>21</v>
      </c>
      <c r="E150">
        <v>1</v>
      </c>
      <c r="F150" s="5">
        <f t="shared" ref="F150:N150" si="103">F132/29.7</f>
        <v>0.13264220655441203</v>
      </c>
      <c r="G150" s="5">
        <f t="shared" si="103"/>
        <v>2.4195081128577867</v>
      </c>
      <c r="H150" s="4">
        <f t="shared" si="103"/>
        <v>4.0087228811852222E-3</v>
      </c>
      <c r="I150" s="4">
        <f t="shared" si="103"/>
        <v>0</v>
      </c>
      <c r="J150" s="4">
        <f t="shared" si="103"/>
        <v>0</v>
      </c>
      <c r="K150" s="4">
        <f t="shared" si="103"/>
        <v>0</v>
      </c>
      <c r="L150" s="4">
        <f t="shared" si="103"/>
        <v>4.0087228811852222E-3</v>
      </c>
      <c r="M150" s="4">
        <f t="shared" si="103"/>
        <v>0.17563794941904132</v>
      </c>
      <c r="N150" s="43">
        <f t="shared" si="103"/>
        <v>1</v>
      </c>
      <c r="O150" s="30">
        <f t="shared" si="96"/>
        <v>0.41330714895551901</v>
      </c>
      <c r="P150" s="30">
        <f t="shared" si="99"/>
        <v>0.41262350038310452</v>
      </c>
      <c r="Q150" s="4">
        <f t="shared" ref="Q150:U150" si="104">Q132/29.7</f>
        <v>-1.6927374608624104E-2</v>
      </c>
      <c r="R150" s="4">
        <f t="shared" si="104"/>
        <v>0</v>
      </c>
      <c r="S150" s="4">
        <f t="shared" si="104"/>
        <v>0</v>
      </c>
      <c r="T150" s="4">
        <f t="shared" si="104"/>
        <v>0</v>
      </c>
      <c r="U150" s="4">
        <f t="shared" si="104"/>
        <v>0</v>
      </c>
    </row>
    <row r="151" spans="2:23" x14ac:dyDescent="0.3">
      <c r="B151" t="s">
        <v>485</v>
      </c>
      <c r="C151" t="s">
        <v>1050</v>
      </c>
      <c r="D151" t="s">
        <v>21</v>
      </c>
      <c r="E151">
        <v>1</v>
      </c>
      <c r="F151" s="5">
        <f t="shared" ref="F151:N151" si="105">F133/29.7</f>
        <v>0.13264220655441203</v>
      </c>
      <c r="G151" s="5">
        <f t="shared" si="105"/>
        <v>2.1470353095878396</v>
      </c>
      <c r="H151" s="4">
        <f t="shared" si="105"/>
        <v>2.1411576219980415E-3</v>
      </c>
      <c r="I151" s="4">
        <f t="shared" si="105"/>
        <v>0</v>
      </c>
      <c r="J151" s="4">
        <f t="shared" si="105"/>
        <v>0</v>
      </c>
      <c r="K151" s="4">
        <f t="shared" si="105"/>
        <v>0</v>
      </c>
      <c r="L151" s="4">
        <f t="shared" si="105"/>
        <v>2.1411576219980415E-3</v>
      </c>
      <c r="M151" s="4">
        <f t="shared" si="105"/>
        <v>0.16887483310790605</v>
      </c>
      <c r="N151" s="43">
        <f t="shared" si="105"/>
        <v>1</v>
      </c>
      <c r="O151" s="30">
        <f t="shared" si="96"/>
        <v>0.46575852550462582</v>
      </c>
      <c r="P151" s="30">
        <f t="shared" si="99"/>
        <v>0.46529450478221884</v>
      </c>
      <c r="Q151" s="4">
        <f t="shared" ref="Q151:U151" si="106">Q133/29.7</f>
        <v>-1.6927374608624104E-2</v>
      </c>
      <c r="R151" s="4">
        <f t="shared" si="106"/>
        <v>0</v>
      </c>
      <c r="S151" s="4">
        <f t="shared" si="106"/>
        <v>0</v>
      </c>
      <c r="T151" s="4">
        <f t="shared" si="106"/>
        <v>0</v>
      </c>
      <c r="U151" s="4">
        <f t="shared" si="106"/>
        <v>0</v>
      </c>
    </row>
    <row r="152" spans="2:23" x14ac:dyDescent="0.3">
      <c r="B152" t="s">
        <v>486</v>
      </c>
      <c r="C152" t="s">
        <v>1050</v>
      </c>
      <c r="D152" t="s">
        <v>21</v>
      </c>
      <c r="E152">
        <v>1</v>
      </c>
      <c r="F152" s="5">
        <f t="shared" ref="F152:N152" si="107">F134/29.7</f>
        <v>0.13264220655441203</v>
      </c>
      <c r="G152" s="5">
        <f t="shared" si="107"/>
        <v>2.0594297755113189</v>
      </c>
      <c r="H152" s="4">
        <f t="shared" si="107"/>
        <v>2.1411576219980415E-3</v>
      </c>
      <c r="I152" s="4">
        <f t="shared" si="107"/>
        <v>0</v>
      </c>
      <c r="J152" s="4">
        <f t="shared" si="107"/>
        <v>0</v>
      </c>
      <c r="K152" s="4">
        <f t="shared" si="107"/>
        <v>0</v>
      </c>
      <c r="L152" s="4">
        <f t="shared" si="107"/>
        <v>2.1411576219980415E-3</v>
      </c>
      <c r="M152" s="4">
        <f t="shared" si="107"/>
        <v>0.16326685295439983</v>
      </c>
      <c r="N152" s="43">
        <f t="shared" si="107"/>
        <v>1</v>
      </c>
      <c r="O152" s="30">
        <f t="shared" si="96"/>
        <v>0.48557130322723346</v>
      </c>
      <c r="P152" s="30">
        <f t="shared" si="99"/>
        <v>0.48506698650437963</v>
      </c>
      <c r="Q152" s="4">
        <f t="shared" ref="Q152:U152" si="108">Q134/29.7</f>
        <v>-1.6927374608624104E-2</v>
      </c>
      <c r="R152" s="4">
        <f t="shared" si="108"/>
        <v>0</v>
      </c>
      <c r="S152" s="4">
        <f t="shared" si="108"/>
        <v>0</v>
      </c>
      <c r="T152" s="4">
        <f t="shared" si="108"/>
        <v>0</v>
      </c>
      <c r="U152" s="4">
        <f t="shared" si="108"/>
        <v>0</v>
      </c>
    </row>
    <row r="153" spans="2:23" x14ac:dyDescent="0.3">
      <c r="B153" t="s">
        <v>487</v>
      </c>
      <c r="C153" t="s">
        <v>1050</v>
      </c>
      <c r="D153" t="s">
        <v>21</v>
      </c>
      <c r="E153">
        <v>1</v>
      </c>
      <c r="F153" s="5">
        <f t="shared" ref="F153:N153" si="109">F135/29.7</f>
        <v>0.52684988584696368</v>
      </c>
      <c r="G153" s="5">
        <f t="shared" si="109"/>
        <v>1.7206207177016708</v>
      </c>
      <c r="H153" s="4">
        <f t="shared" si="109"/>
        <v>3.5685960366634026E-3</v>
      </c>
      <c r="I153" s="4">
        <f t="shared" si="109"/>
        <v>0</v>
      </c>
      <c r="J153" s="4">
        <f t="shared" si="109"/>
        <v>0</v>
      </c>
      <c r="K153" s="4">
        <f t="shared" si="109"/>
        <v>0</v>
      </c>
      <c r="L153" s="4">
        <f t="shared" si="109"/>
        <v>3.5685960366634026E-3</v>
      </c>
      <c r="M153" s="4">
        <f t="shared" si="109"/>
        <v>0.16736950532821956</v>
      </c>
      <c r="N153" s="43">
        <f t="shared" si="109"/>
        <v>1</v>
      </c>
      <c r="O153" s="30">
        <f t="shared" si="96"/>
        <v>0.5811856091886165</v>
      </c>
      <c r="P153" s="30">
        <f t="shared" si="99"/>
        <v>0.57998271537354029</v>
      </c>
      <c r="Q153" s="4">
        <f t="shared" ref="Q153:U153" si="110">Q135/29.7</f>
        <v>-2.4600429659874839E-2</v>
      </c>
      <c r="R153" s="4">
        <f t="shared" si="110"/>
        <v>0</v>
      </c>
      <c r="S153" s="4">
        <f t="shared" si="110"/>
        <v>0</v>
      </c>
      <c r="T153" s="4">
        <f t="shared" si="110"/>
        <v>0</v>
      </c>
      <c r="U153" s="4">
        <f t="shared" si="110"/>
        <v>0</v>
      </c>
    </row>
    <row r="154" spans="2:23" x14ac:dyDescent="0.3">
      <c r="B154" t="s">
        <v>488</v>
      </c>
      <c r="C154" t="s">
        <v>1050</v>
      </c>
      <c r="D154" t="s">
        <v>21</v>
      </c>
      <c r="E154">
        <v>1</v>
      </c>
      <c r="F154" s="5">
        <f t="shared" ref="F154:N154" si="111">F136/29.7</f>
        <v>0.10191284580112776</v>
      </c>
      <c r="G154" s="5">
        <f t="shared" si="111"/>
        <v>1.3743254828414966</v>
      </c>
      <c r="H154" s="4">
        <f t="shared" si="111"/>
        <v>0</v>
      </c>
      <c r="I154" s="4">
        <f t="shared" si="111"/>
        <v>0.31589212116544441</v>
      </c>
      <c r="J154" s="4">
        <f t="shared" si="111"/>
        <v>0</v>
      </c>
      <c r="K154" s="4">
        <f t="shared" si="111"/>
        <v>8.2639432293473789E-3</v>
      </c>
      <c r="L154" s="4">
        <f t="shared" si="111"/>
        <v>0.34564231679109497</v>
      </c>
      <c r="M154" s="4">
        <f t="shared" si="111"/>
        <v>8.2411966354980673E-2</v>
      </c>
      <c r="N154" s="43">
        <f t="shared" si="111"/>
        <v>1</v>
      </c>
      <c r="O154" s="30">
        <f t="shared" si="96"/>
        <v>0.72762967178083815</v>
      </c>
      <c r="P154" s="30">
        <f t="shared" si="99"/>
        <v>0.58876118002410216</v>
      </c>
      <c r="Q154" s="4">
        <f t="shared" ref="Q154:U154" si="112">Q136/29.7</f>
        <v>0</v>
      </c>
      <c r="R154" s="4">
        <f t="shared" si="112"/>
        <v>-1.0669076498138585E-2</v>
      </c>
      <c r="S154" s="4">
        <f t="shared" si="112"/>
        <v>0</v>
      </c>
      <c r="T154" s="4">
        <f t="shared" si="112"/>
        <v>0</v>
      </c>
      <c r="U154" s="4">
        <f t="shared" si="112"/>
        <v>0</v>
      </c>
    </row>
    <row r="155" spans="2:23" x14ac:dyDescent="0.3">
      <c r="B155" t="s">
        <v>489</v>
      </c>
      <c r="C155" t="s">
        <v>1050</v>
      </c>
      <c r="D155" t="s">
        <v>21</v>
      </c>
      <c r="E155">
        <v>1</v>
      </c>
      <c r="F155" s="5">
        <f t="shared" ref="F155:N155" si="113">F137/29.7</f>
        <v>1.178117822061131</v>
      </c>
      <c r="G155" s="5">
        <f t="shared" si="113"/>
        <v>5.015152417771839</v>
      </c>
      <c r="H155" s="4">
        <f t="shared" si="113"/>
        <v>0</v>
      </c>
      <c r="I155" s="4">
        <f t="shared" si="113"/>
        <v>0</v>
      </c>
      <c r="J155" s="4">
        <f t="shared" si="113"/>
        <v>0</v>
      </c>
      <c r="K155" s="4">
        <f t="shared" si="113"/>
        <v>0</v>
      </c>
      <c r="L155" s="4">
        <f t="shared" si="113"/>
        <v>0</v>
      </c>
      <c r="M155" s="4">
        <f t="shared" si="113"/>
        <v>0.44355996042831525</v>
      </c>
      <c r="N155" s="43">
        <f t="shared" si="113"/>
        <v>1</v>
      </c>
      <c r="O155" s="30">
        <f t="shared" si="96"/>
        <v>0.19939573450576917</v>
      </c>
      <c r="P155" s="30">
        <f t="shared" si="99"/>
        <v>0.19939573450576917</v>
      </c>
      <c r="Q155" s="4">
        <f>Q137/29.7</f>
        <v>-9.7068171810576045E-2</v>
      </c>
      <c r="R155" s="4">
        <f>R137/29.7</f>
        <v>0</v>
      </c>
      <c r="S155" s="4">
        <f>S137/29.7</f>
        <v>-3.4664497017733475E-4</v>
      </c>
      <c r="T155" s="4">
        <f>T137/29.7</f>
        <v>-8.614642328169409E-4</v>
      </c>
      <c r="U155" s="4">
        <f>U137/29.7</f>
        <v>0</v>
      </c>
    </row>
    <row r="156" spans="2:23" x14ac:dyDescent="0.3">
      <c r="B156" t="s">
        <v>490</v>
      </c>
      <c r="C156" t="s">
        <v>1050</v>
      </c>
      <c r="D156" t="s">
        <v>21</v>
      </c>
      <c r="E156">
        <v>1</v>
      </c>
      <c r="F156" s="5">
        <f t="shared" ref="F156:N156" si="114">F138/29.7</f>
        <v>0.63304815031583506</v>
      </c>
      <c r="G156" s="5">
        <f t="shared" si="114"/>
        <v>2.5985907460256379</v>
      </c>
      <c r="H156" s="4">
        <f t="shared" si="114"/>
        <v>0</v>
      </c>
      <c r="I156" s="4">
        <f t="shared" si="114"/>
        <v>0</v>
      </c>
      <c r="J156" s="4">
        <f t="shared" si="114"/>
        <v>0</v>
      </c>
      <c r="K156" s="4">
        <f t="shared" si="114"/>
        <v>0</v>
      </c>
      <c r="L156" s="4">
        <f t="shared" si="114"/>
        <v>0</v>
      </c>
      <c r="M156" s="4">
        <f t="shared" si="114"/>
        <v>0.19877697645687981</v>
      </c>
      <c r="N156" s="43">
        <f t="shared" si="114"/>
        <v>1</v>
      </c>
      <c r="O156" s="30">
        <f t="shared" si="96"/>
        <v>0.38482396719430706</v>
      </c>
      <c r="P156" s="30">
        <f t="shared" si="99"/>
        <v>0.38482396719430706</v>
      </c>
      <c r="Q156" s="4">
        <f t="shared" ref="Q156:U156" si="115">Q138/29.7</f>
        <v>-1.8178348878480979E-2</v>
      </c>
      <c r="R156" s="4">
        <f t="shared" si="115"/>
        <v>0</v>
      </c>
      <c r="S156" s="4">
        <f t="shared" si="115"/>
        <v>0</v>
      </c>
      <c r="T156" s="4">
        <f t="shared" si="115"/>
        <v>0</v>
      </c>
      <c r="U156" s="4">
        <f t="shared" si="115"/>
        <v>0</v>
      </c>
    </row>
    <row r="157" spans="2:23" x14ac:dyDescent="0.3">
      <c r="B157" t="s">
        <v>491</v>
      </c>
      <c r="C157" t="s">
        <v>1050</v>
      </c>
      <c r="D157" t="s">
        <v>1041</v>
      </c>
      <c r="E157">
        <v>1</v>
      </c>
      <c r="F157" s="5">
        <f t="shared" ref="F157:N158" si="116">F139/29.7</f>
        <v>0.10013115269271644</v>
      </c>
      <c r="G157" s="5">
        <f t="shared" si="116"/>
        <v>1.5860568582573451</v>
      </c>
      <c r="H157" s="4">
        <f t="shared" si="116"/>
        <v>0</v>
      </c>
      <c r="I157" s="4">
        <f t="shared" si="116"/>
        <v>0.31344168522026883</v>
      </c>
      <c r="J157" s="4">
        <f t="shared" si="116"/>
        <v>0</v>
      </c>
      <c r="K157" s="4">
        <f t="shared" si="116"/>
        <v>8.2903772740634037E-3</v>
      </c>
      <c r="L157" s="4">
        <f t="shared" si="116"/>
        <v>0.34328704340689709</v>
      </c>
      <c r="M157" s="4">
        <f t="shared" si="116"/>
        <v>8.337917627581283E-2</v>
      </c>
      <c r="N157" s="43">
        <f t="shared" si="116"/>
        <v>1</v>
      </c>
      <c r="O157" s="30">
        <f t="shared" si="96"/>
        <v>0.63049442067211525</v>
      </c>
      <c r="P157" s="30">
        <f t="shared" si="99"/>
        <v>0.52416700250360793</v>
      </c>
      <c r="Q157" s="4">
        <f t="shared" ref="Q157:U158" si="117">Q139/29.7</f>
        <v>0</v>
      </c>
      <c r="R157" s="4">
        <f t="shared" si="117"/>
        <v>-4.8394930995556617E-3</v>
      </c>
      <c r="S157" s="4">
        <f t="shared" si="117"/>
        <v>0</v>
      </c>
      <c r="T157" s="4">
        <f t="shared" si="117"/>
        <v>0</v>
      </c>
      <c r="U157" s="4">
        <f t="shared" si="117"/>
        <v>0</v>
      </c>
      <c r="V157" s="4">
        <f>V139/29.7</f>
        <v>-9.6560929181553558E-4</v>
      </c>
      <c r="W157" s="4">
        <f>W139/29.7</f>
        <v>0</v>
      </c>
    </row>
    <row r="158" spans="2:23" x14ac:dyDescent="0.3">
      <c r="B158" t="s">
        <v>571</v>
      </c>
      <c r="C158" t="s">
        <v>1050</v>
      </c>
      <c r="D158" t="s">
        <v>21</v>
      </c>
      <c r="E158">
        <v>1</v>
      </c>
      <c r="F158" s="5">
        <f>F140/29.7</f>
        <v>0.10013115269271644</v>
      </c>
      <c r="G158" s="5">
        <f t="shared" si="116"/>
        <v>1.9625705927772423</v>
      </c>
      <c r="H158" s="4">
        <f t="shared" si="116"/>
        <v>0</v>
      </c>
      <c r="I158" s="4">
        <f t="shared" si="116"/>
        <v>0.28384612875620707</v>
      </c>
      <c r="J158" s="4">
        <f t="shared" si="116"/>
        <v>0</v>
      </c>
      <c r="K158" s="4">
        <f t="shared" si="116"/>
        <v>2.3298629003709711E-2</v>
      </c>
      <c r="L158" s="4">
        <f t="shared" si="116"/>
        <v>0.36772119316956203</v>
      </c>
      <c r="M158" s="4">
        <f t="shared" si="116"/>
        <v>2.0844794068953227E-3</v>
      </c>
      <c r="N158" s="43">
        <f t="shared" si="116"/>
        <v>1</v>
      </c>
      <c r="O158" s="30">
        <f t="shared" ref="O158" si="118">N158/G158</f>
        <v>0.50953581169526008</v>
      </c>
      <c r="P158" s="30">
        <f t="shared" ref="P158" si="119">N158/SUM(G158:K158)</f>
        <v>0.44058388192305104</v>
      </c>
      <c r="Q158" s="4">
        <f t="shared" si="117"/>
        <v>0</v>
      </c>
      <c r="R158" s="4">
        <f t="shared" si="117"/>
        <v>-4.8394930995556617E-3</v>
      </c>
      <c r="S158" s="4">
        <f t="shared" si="117"/>
        <v>0</v>
      </c>
      <c r="T158" s="4">
        <f t="shared" si="117"/>
        <v>0</v>
      </c>
      <c r="U158" s="4">
        <f t="shared" si="117"/>
        <v>0</v>
      </c>
      <c r="V158" s="4">
        <f>V140/29.7</f>
        <v>-9.6560929181553558E-4</v>
      </c>
      <c r="W158" s="4">
        <f>W140/29.7</f>
        <v>-8.1294696868917521E-2</v>
      </c>
    </row>
    <row r="159" spans="2:23" x14ac:dyDescent="0.3">
      <c r="B159" t="s">
        <v>487</v>
      </c>
      <c r="C159" t="s">
        <v>264</v>
      </c>
      <c r="D159" t="s">
        <v>469</v>
      </c>
      <c r="E159">
        <v>1</v>
      </c>
      <c r="F159" s="5">
        <f t="shared" ref="F159:N159" si="120">F141/29.7</f>
        <v>0.50087222891688032</v>
      </c>
      <c r="G159" s="5">
        <f t="shared" si="120"/>
        <v>2.6506158354281313</v>
      </c>
      <c r="H159" s="4">
        <f t="shared" si="120"/>
        <v>0</v>
      </c>
      <c r="I159" s="4">
        <f t="shared" si="120"/>
        <v>0</v>
      </c>
      <c r="J159" s="4">
        <f t="shared" si="120"/>
        <v>0</v>
      </c>
      <c r="K159" s="4">
        <f t="shared" si="120"/>
        <v>0</v>
      </c>
      <c r="L159" s="4">
        <f t="shared" si="120"/>
        <v>0</v>
      </c>
      <c r="M159" s="4">
        <f t="shared" si="120"/>
        <v>0.18543300483558875</v>
      </c>
      <c r="N159" s="43">
        <f t="shared" si="120"/>
        <v>1</v>
      </c>
      <c r="O159" s="30">
        <f t="shared" si="96"/>
        <v>0.37727081632653059</v>
      </c>
      <c r="P159" s="30">
        <f t="shared" si="99"/>
        <v>0.37727081632653059</v>
      </c>
      <c r="Q159" s="4">
        <f t="shared" ref="Q159:U159" si="121">Q141/29.7</f>
        <v>-1.3072765174730579E-2</v>
      </c>
      <c r="R159" s="4">
        <f t="shared" si="121"/>
        <v>0</v>
      </c>
      <c r="S159" s="4">
        <f t="shared" si="121"/>
        <v>0</v>
      </c>
      <c r="T159" s="4">
        <f t="shared" si="121"/>
        <v>0</v>
      </c>
      <c r="U159" s="4">
        <f t="shared" si="121"/>
        <v>0</v>
      </c>
    </row>
    <row r="160" spans="2:23" x14ac:dyDescent="0.3">
      <c r="B160" t="s">
        <v>492</v>
      </c>
      <c r="C160" t="s">
        <v>264</v>
      </c>
      <c r="D160" t="s">
        <v>469</v>
      </c>
      <c r="E160">
        <v>1</v>
      </c>
      <c r="F160" s="5">
        <f t="shared" ref="F160:N160" si="122">F142/29.7</f>
        <v>0.15</v>
      </c>
      <c r="G160" s="5">
        <f t="shared" si="122"/>
        <v>2.1165000000000003</v>
      </c>
      <c r="H160" s="4">
        <f t="shared" si="122"/>
        <v>0</v>
      </c>
      <c r="I160" s="4">
        <f t="shared" si="122"/>
        <v>0</v>
      </c>
      <c r="J160" s="4">
        <f t="shared" si="122"/>
        <v>0</v>
      </c>
      <c r="K160" s="4">
        <f t="shared" si="122"/>
        <v>0</v>
      </c>
      <c r="L160" s="4">
        <f t="shared" si="122"/>
        <v>0</v>
      </c>
      <c r="M160" s="4">
        <f t="shared" si="122"/>
        <v>0.15036905555555555</v>
      </c>
      <c r="N160" s="43">
        <f t="shared" si="122"/>
        <v>1</v>
      </c>
      <c r="O160" s="30">
        <f t="shared" si="96"/>
        <v>0.47247814788566023</v>
      </c>
      <c r="P160" s="30">
        <f t="shared" si="99"/>
        <v>0.47247814788566023</v>
      </c>
      <c r="Q160" s="4">
        <f t="shared" ref="Q160:U160" si="123">Q142/29.7</f>
        <v>-3.6111111111111115E-2</v>
      </c>
      <c r="R160" s="4">
        <f t="shared" si="123"/>
        <v>0</v>
      </c>
      <c r="S160" s="4">
        <f t="shared" si="123"/>
        <v>0</v>
      </c>
      <c r="T160" s="4">
        <f t="shared" si="123"/>
        <v>0</v>
      </c>
      <c r="U160" s="4">
        <f t="shared" si="123"/>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5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42">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4">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84"/>
  <sheetViews>
    <sheetView topLeftCell="A554" zoomScale="78" zoomScaleNormal="78" workbookViewId="0">
      <selection activeCell="B589" sqref="B589"/>
    </sheetView>
  </sheetViews>
  <sheetFormatPr defaultRowHeight="14.4" x14ac:dyDescent="0.3"/>
  <cols>
    <col min="1" max="1" width="42.5546875" bestFit="1" customWidth="1"/>
    <col min="2" max="2" width="32.44140625" style="6" customWidth="1"/>
    <col min="3" max="3" width="8.33203125" bestFit="1" customWidth="1"/>
    <col min="4" max="4" width="16.109375" bestFit="1" customWidth="1"/>
    <col min="5" max="5" width="31.6640625" bestFit="1" customWidth="1"/>
    <col min="6" max="6" width="12.109375" bestFit="1" customWidth="1"/>
    <col min="7" max="7" width="47.44140625" customWidth="1"/>
    <col min="8" max="8" width="33.109375" bestFit="1" customWidth="1"/>
  </cols>
  <sheetData>
    <row r="1" spans="1:8" ht="15.6" x14ac:dyDescent="0.3">
      <c r="A1" s="1" t="s">
        <v>0</v>
      </c>
      <c r="B1" s="73" t="s">
        <v>259</v>
      </c>
    </row>
    <row r="2" spans="1:8" ht="15.6" x14ac:dyDescent="0.3">
      <c r="A2" s="1"/>
      <c r="B2" s="73"/>
    </row>
    <row r="3" spans="1:8" ht="15.6" x14ac:dyDescent="0.3">
      <c r="A3" s="1" t="s">
        <v>1</v>
      </c>
      <c r="B3" s="73" t="s">
        <v>63</v>
      </c>
    </row>
    <row r="4" spans="1:8" x14ac:dyDescent="0.3">
      <c r="A4" t="s">
        <v>2</v>
      </c>
      <c r="B4" s="6" t="s">
        <v>1050</v>
      </c>
    </row>
    <row r="5" spans="1:8" x14ac:dyDescent="0.3">
      <c r="A5" t="s">
        <v>3</v>
      </c>
      <c r="B5" s="6">
        <v>1</v>
      </c>
    </row>
    <row r="6" spans="1:8" ht="15.6" x14ac:dyDescent="0.3">
      <c r="A6" t="s">
        <v>4</v>
      </c>
      <c r="B6" s="74" t="s">
        <v>58</v>
      </c>
    </row>
    <row r="7" spans="1:8" x14ac:dyDescent="0.3">
      <c r="A7" t="s">
        <v>5</v>
      </c>
      <c r="B7" s="6" t="s">
        <v>6</v>
      </c>
    </row>
    <row r="8" spans="1:8" x14ac:dyDescent="0.3">
      <c r="A8" t="s">
        <v>7</v>
      </c>
      <c r="B8" s="6" t="s">
        <v>8</v>
      </c>
    </row>
    <row r="9" spans="1:8" x14ac:dyDescent="0.3">
      <c r="A9" t="s">
        <v>9</v>
      </c>
      <c r="B9" s="6" t="s">
        <v>10</v>
      </c>
    </row>
    <row r="10" spans="1:8" x14ac:dyDescent="0.3">
      <c r="A10" t="s">
        <v>11</v>
      </c>
      <c r="B10" s="6" t="s">
        <v>27</v>
      </c>
    </row>
    <row r="11" spans="1:8" x14ac:dyDescent="0.3">
      <c r="A11" t="s">
        <v>850</v>
      </c>
      <c r="B11" s="5">
        <f>Summary!R6</f>
        <v>15.242392587299999</v>
      </c>
    </row>
    <row r="12" spans="1:8" x14ac:dyDescent="0.3">
      <c r="A12" t="s">
        <v>856</v>
      </c>
      <c r="B12" s="78">
        <f>Summary!Q6</f>
        <v>0.12</v>
      </c>
    </row>
    <row r="13" spans="1:8" ht="15.6" x14ac:dyDescent="0.3">
      <c r="A13" s="1" t="s">
        <v>12</v>
      </c>
    </row>
    <row r="14" spans="1:8" x14ac:dyDescent="0.3">
      <c r="A14" t="s">
        <v>13</v>
      </c>
      <c r="B14" s="6" t="s">
        <v>14</v>
      </c>
      <c r="C14" t="s">
        <v>2</v>
      </c>
      <c r="D14" t="s">
        <v>7</v>
      </c>
      <c r="E14" t="s">
        <v>15</v>
      </c>
      <c r="F14" t="s">
        <v>5</v>
      </c>
      <c r="G14" t="s">
        <v>11</v>
      </c>
      <c r="H14" t="s">
        <v>4</v>
      </c>
    </row>
    <row r="15" spans="1:8" ht="15.6" x14ac:dyDescent="0.3">
      <c r="A15" s="2" t="s">
        <v>63</v>
      </c>
      <c r="B15" s="6">
        <v>1</v>
      </c>
      <c r="C15" t="s">
        <v>1050</v>
      </c>
      <c r="D15" t="s">
        <v>8</v>
      </c>
      <c r="F15" t="s">
        <v>17</v>
      </c>
      <c r="G15" t="s">
        <v>18</v>
      </c>
      <c r="H15" s="2" t="s">
        <v>58</v>
      </c>
    </row>
    <row r="16" spans="1:8" x14ac:dyDescent="0.3">
      <c r="A16" t="s">
        <v>22</v>
      </c>
      <c r="B16" s="6">
        <f>62618*Parameters!$B$3/1000</f>
        <v>6.606549034619999E-2</v>
      </c>
      <c r="C16" t="s">
        <v>26</v>
      </c>
      <c r="D16" t="s">
        <v>19</v>
      </c>
      <c r="F16" t="s">
        <v>20</v>
      </c>
      <c r="G16" t="s">
        <v>34</v>
      </c>
      <c r="H16" t="s">
        <v>23</v>
      </c>
    </row>
    <row r="17" spans="1:8" x14ac:dyDescent="0.3">
      <c r="A17" t="s">
        <v>28</v>
      </c>
      <c r="B17" s="6">
        <f>4858*Parameters!$B$3/1000/3.6</f>
        <v>1.4237393228333332E-3</v>
      </c>
      <c r="C17" t="s">
        <v>1051</v>
      </c>
      <c r="D17" t="s">
        <v>29</v>
      </c>
      <c r="F17" t="s">
        <v>20</v>
      </c>
      <c r="G17" t="s">
        <v>35</v>
      </c>
      <c r="H17" t="s">
        <v>30</v>
      </c>
    </row>
    <row r="18" spans="1:8" x14ac:dyDescent="0.3">
      <c r="A18" t="s">
        <v>352</v>
      </c>
      <c r="B18" s="6">
        <f>53*Parameters!$B$7/1000</f>
        <v>8.5330000000000003E-2</v>
      </c>
      <c r="C18" t="s">
        <v>581</v>
      </c>
      <c r="D18" t="s">
        <v>41</v>
      </c>
      <c r="F18" t="s">
        <v>20</v>
      </c>
      <c r="G18" t="s">
        <v>72</v>
      </c>
      <c r="H18" t="s">
        <v>353</v>
      </c>
    </row>
    <row r="19" spans="1:8" x14ac:dyDescent="0.3">
      <c r="A19" t="s">
        <v>42</v>
      </c>
      <c r="B19" s="6">
        <f>4.877/1000</f>
        <v>4.8769999999999994E-3</v>
      </c>
      <c r="C19" t="s">
        <v>1051</v>
      </c>
      <c r="D19" t="s">
        <v>8</v>
      </c>
      <c r="F19" t="s">
        <v>20</v>
      </c>
      <c r="H19" t="s">
        <v>43</v>
      </c>
    </row>
    <row r="20" spans="1:8" x14ac:dyDescent="0.3">
      <c r="A20" t="s">
        <v>44</v>
      </c>
      <c r="B20" s="6">
        <f>2.307/1000</f>
        <v>2.307E-3</v>
      </c>
      <c r="C20" t="s">
        <v>1051</v>
      </c>
      <c r="D20" t="s">
        <v>8</v>
      </c>
      <c r="F20" t="s">
        <v>20</v>
      </c>
      <c r="H20" t="s">
        <v>45</v>
      </c>
    </row>
    <row r="21" spans="1:8" x14ac:dyDescent="0.3">
      <c r="A21" t="s">
        <v>46</v>
      </c>
      <c r="B21" s="6">
        <f>3.2/1000</f>
        <v>3.2000000000000002E-3</v>
      </c>
      <c r="C21" t="s">
        <v>1051</v>
      </c>
      <c r="D21" t="s">
        <v>8</v>
      </c>
      <c r="F21" t="s">
        <v>20</v>
      </c>
      <c r="H21" t="s">
        <v>47</v>
      </c>
    </row>
    <row r="22" spans="1:8" x14ac:dyDescent="0.3">
      <c r="A22" s="7" t="s">
        <v>48</v>
      </c>
      <c r="B22" s="6">
        <f>5.847/1000</f>
        <v>5.8470000000000006E-3</v>
      </c>
      <c r="C22" t="s">
        <v>26</v>
      </c>
      <c r="D22" t="s">
        <v>8</v>
      </c>
      <c r="F22" t="s">
        <v>20</v>
      </c>
      <c r="H22" s="7" t="s">
        <v>49</v>
      </c>
    </row>
    <row r="23" spans="1:8" x14ac:dyDescent="0.3">
      <c r="A23" t="s">
        <v>50</v>
      </c>
      <c r="B23" s="6">
        <f>53.1/1000/1000</f>
        <v>5.3100000000000003E-5</v>
      </c>
      <c r="C23" t="s">
        <v>26</v>
      </c>
      <c r="D23" t="s">
        <v>8</v>
      </c>
      <c r="F23" t="s">
        <v>20</v>
      </c>
      <c r="G23" t="s">
        <v>51</v>
      </c>
      <c r="H23" t="s">
        <v>53</v>
      </c>
    </row>
    <row r="24" spans="1:8" x14ac:dyDescent="0.3">
      <c r="A24" t="s">
        <v>54</v>
      </c>
      <c r="B24" s="6">
        <f>0.744/1000*Parameters!$B$6</f>
        <v>3.3747839999999997E-4</v>
      </c>
      <c r="C24" t="s">
        <v>26</v>
      </c>
      <c r="D24" t="s">
        <v>8</v>
      </c>
      <c r="F24" t="s">
        <v>20</v>
      </c>
      <c r="G24" t="s">
        <v>56</v>
      </c>
      <c r="H24" t="s">
        <v>55</v>
      </c>
    </row>
    <row r="25" spans="1:8" x14ac:dyDescent="0.3">
      <c r="A25" t="s">
        <v>1046</v>
      </c>
      <c r="B25" s="6">
        <f>0.466*(44/12)*0.85</f>
        <v>1.4523666666666668</v>
      </c>
      <c r="D25" t="s">
        <v>8</v>
      </c>
      <c r="E25" t="s">
        <v>1047</v>
      </c>
      <c r="F25" t="s">
        <v>36</v>
      </c>
      <c r="G25" s="8" t="s">
        <v>368</v>
      </c>
    </row>
    <row r="26" spans="1:8" x14ac:dyDescent="0.3">
      <c r="A26" t="s">
        <v>108</v>
      </c>
      <c r="B26" s="6">
        <v>15.7</v>
      </c>
      <c r="D26" t="s">
        <v>19</v>
      </c>
      <c r="E26" t="s">
        <v>112</v>
      </c>
      <c r="F26" t="s">
        <v>36</v>
      </c>
      <c r="G26" s="8" t="s">
        <v>368</v>
      </c>
    </row>
    <row r="27" spans="1:8" x14ac:dyDescent="0.3">
      <c r="A27" t="s">
        <v>194</v>
      </c>
      <c r="B27" s="6">
        <f>0.001*Parameters!$B$11/4</f>
        <v>1.0117499999999999</v>
      </c>
      <c r="D27" t="s">
        <v>113</v>
      </c>
      <c r="E27" t="s">
        <v>114</v>
      </c>
      <c r="F27" t="s">
        <v>36</v>
      </c>
      <c r="G27" t="s">
        <v>229</v>
      </c>
    </row>
    <row r="28" spans="1:8" x14ac:dyDescent="0.3">
      <c r="A28" t="s">
        <v>195</v>
      </c>
      <c r="B28" s="6">
        <f>(1/4)*Parameters!$B$11/1000</f>
        <v>1.0117499999999999</v>
      </c>
      <c r="D28" t="s">
        <v>115</v>
      </c>
      <c r="E28" t="s">
        <v>114</v>
      </c>
      <c r="F28" t="s">
        <v>36</v>
      </c>
      <c r="G28" t="s">
        <v>228</v>
      </c>
    </row>
    <row r="29" spans="1:8" x14ac:dyDescent="0.3">
      <c r="A29" t="s">
        <v>196</v>
      </c>
      <c r="B29" s="6">
        <f>(1/4)*Parameters!$B$11/1000</f>
        <v>1.0117499999999999</v>
      </c>
      <c r="D29" t="s">
        <v>115</v>
      </c>
      <c r="E29" t="s">
        <v>114</v>
      </c>
      <c r="F29" t="s">
        <v>36</v>
      </c>
      <c r="G29" t="s">
        <v>228</v>
      </c>
    </row>
    <row r="30" spans="1:8" x14ac:dyDescent="0.3">
      <c r="A30" t="s">
        <v>325</v>
      </c>
      <c r="B30" s="6">
        <f>(4.436+1.266)/1000</f>
        <v>5.7019999999999996E-3</v>
      </c>
      <c r="D30" t="s">
        <v>8</v>
      </c>
      <c r="E30" t="s">
        <v>37</v>
      </c>
      <c r="F30" t="s">
        <v>36</v>
      </c>
      <c r="G30" t="s">
        <v>993</v>
      </c>
    </row>
    <row r="31" spans="1:8" x14ac:dyDescent="0.3">
      <c r="A31" t="s">
        <v>994</v>
      </c>
      <c r="B31" s="6">
        <f>75.643/1000000</f>
        <v>7.5643000000000007E-5</v>
      </c>
      <c r="D31" t="s">
        <v>8</v>
      </c>
      <c r="E31" t="s">
        <v>37</v>
      </c>
      <c r="F31" t="s">
        <v>36</v>
      </c>
      <c r="G31" t="s">
        <v>996</v>
      </c>
    </row>
    <row r="32" spans="1:8" x14ac:dyDescent="0.3">
      <c r="A32" t="s">
        <v>40</v>
      </c>
      <c r="B32" s="6">
        <f>112.207/1000000</f>
        <v>1.1220699999999999E-4</v>
      </c>
      <c r="D32" t="s">
        <v>8</v>
      </c>
      <c r="E32" t="s">
        <v>37</v>
      </c>
      <c r="F32" t="s">
        <v>36</v>
      </c>
      <c r="G32" t="s">
        <v>995</v>
      </c>
    </row>
    <row r="34" spans="1:8" ht="15.6" x14ac:dyDescent="0.3">
      <c r="A34" s="1" t="s">
        <v>1</v>
      </c>
      <c r="B34" s="73" t="s">
        <v>380</v>
      </c>
    </row>
    <row r="35" spans="1:8" x14ac:dyDescent="0.3">
      <c r="A35" t="s">
        <v>2</v>
      </c>
      <c r="B35" s="6" t="s">
        <v>1050</v>
      </c>
    </row>
    <row r="36" spans="1:8" x14ac:dyDescent="0.3">
      <c r="A36" t="s">
        <v>3</v>
      </c>
      <c r="B36" s="6">
        <v>1</v>
      </c>
    </row>
    <row r="37" spans="1:8" ht="15.6" x14ac:dyDescent="0.3">
      <c r="A37" t="s">
        <v>4</v>
      </c>
      <c r="B37" s="74" t="s">
        <v>381</v>
      </c>
    </row>
    <row r="38" spans="1:8" x14ac:dyDescent="0.3">
      <c r="A38" t="s">
        <v>5</v>
      </c>
      <c r="B38" s="6" t="s">
        <v>6</v>
      </c>
    </row>
    <row r="39" spans="1:8" x14ac:dyDescent="0.3">
      <c r="A39" t="s">
        <v>7</v>
      </c>
      <c r="B39" s="6" t="s">
        <v>8</v>
      </c>
    </row>
    <row r="40" spans="1:8" x14ac:dyDescent="0.3">
      <c r="A40" t="s">
        <v>9</v>
      </c>
      <c r="B40" s="6" t="s">
        <v>10</v>
      </c>
    </row>
    <row r="41" spans="1:8" x14ac:dyDescent="0.3">
      <c r="A41" t="s">
        <v>11</v>
      </c>
      <c r="B41" s="6" t="s">
        <v>230</v>
      </c>
    </row>
    <row r="42" spans="1:8" x14ac:dyDescent="0.3">
      <c r="A42" t="s">
        <v>497</v>
      </c>
      <c r="B42" s="72">
        <f>Summary!O91</f>
        <v>0.60056326944090077</v>
      </c>
    </row>
    <row r="43" spans="1:8" ht="15.6" x14ac:dyDescent="0.3">
      <c r="A43" s="1" t="s">
        <v>12</v>
      </c>
    </row>
    <row r="44" spans="1:8" x14ac:dyDescent="0.3">
      <c r="A44" t="s">
        <v>13</v>
      </c>
      <c r="B44" s="6" t="s">
        <v>14</v>
      </c>
      <c r="C44" t="s">
        <v>2</v>
      </c>
      <c r="D44" t="s">
        <v>7</v>
      </c>
      <c r="E44" t="s">
        <v>15</v>
      </c>
      <c r="F44" t="s">
        <v>5</v>
      </c>
      <c r="G44" t="s">
        <v>11</v>
      </c>
      <c r="H44" t="s">
        <v>4</v>
      </c>
    </row>
    <row r="45" spans="1:8" ht="15.6" x14ac:dyDescent="0.3">
      <c r="A45" s="2" t="s">
        <v>380</v>
      </c>
      <c r="B45" s="6">
        <v>1</v>
      </c>
      <c r="C45" t="s">
        <v>1050</v>
      </c>
      <c r="D45" t="s">
        <v>8</v>
      </c>
      <c r="F45" t="s">
        <v>17</v>
      </c>
      <c r="G45" t="s">
        <v>18</v>
      </c>
      <c r="H45" s="2" t="s">
        <v>381</v>
      </c>
    </row>
    <row r="46" spans="1:8" ht="15.6" x14ac:dyDescent="0.3">
      <c r="A46" s="2" t="s">
        <v>63</v>
      </c>
      <c r="B46" s="6">
        <f>(1/((Parameters!C20*Parameters!B4*Parameters!B10)/1000))*Parameters!F32</f>
        <v>3.2444757981354098</v>
      </c>
      <c r="C46" t="s">
        <v>1050</v>
      </c>
      <c r="D46" t="s">
        <v>8</v>
      </c>
      <c r="F46" t="s">
        <v>20</v>
      </c>
      <c r="G46" t="s">
        <v>18</v>
      </c>
      <c r="H46" s="2" t="s">
        <v>382</v>
      </c>
    </row>
    <row r="47" spans="1:8" ht="15.6" x14ac:dyDescent="0.3">
      <c r="A47" s="2" t="s">
        <v>221</v>
      </c>
      <c r="B47" s="6">
        <f>(180*Parameters!$B$3)/(Parameters!$B$4*Parameters!$B$10)*Parameters!F32</f>
        <v>5.2373480998418598E-2</v>
      </c>
      <c r="C47" t="s">
        <v>26</v>
      </c>
      <c r="D47" t="s">
        <v>19</v>
      </c>
      <c r="F47" t="s">
        <v>20</v>
      </c>
      <c r="H47" s="2" t="s">
        <v>222</v>
      </c>
    </row>
    <row r="48" spans="1:8" ht="15.6" x14ac:dyDescent="0.3">
      <c r="A48" s="2" t="s">
        <v>252</v>
      </c>
      <c r="B48" s="6">
        <f>((346.23/1000)/(Parameters!$B$4*Parameters!$B$10))*Parameters!$F$32</f>
        <v>9.5483462725015969E-2</v>
      </c>
      <c r="C48" t="s">
        <v>31</v>
      </c>
      <c r="D48" t="s">
        <v>8</v>
      </c>
      <c r="F48" t="s">
        <v>20</v>
      </c>
      <c r="H48" s="2" t="s">
        <v>253</v>
      </c>
    </row>
    <row r="49" spans="1:8" ht="15.6" x14ac:dyDescent="0.3">
      <c r="A49" s="2" t="s">
        <v>254</v>
      </c>
      <c r="B49" s="6">
        <f>((41.55/1000)/(Parameters!$B$4*Parameters!$B$10))*Parameters!$F$32</f>
        <v>1.1458677400064735E-2</v>
      </c>
      <c r="C49" t="s">
        <v>255</v>
      </c>
      <c r="D49" t="s">
        <v>8</v>
      </c>
      <c r="F49" t="s">
        <v>20</v>
      </c>
      <c r="H49" s="2" t="s">
        <v>256</v>
      </c>
    </row>
    <row r="50" spans="1:8" ht="15.6" x14ac:dyDescent="0.3">
      <c r="A50" s="2" t="s">
        <v>257</v>
      </c>
      <c r="B50" s="6">
        <f>((20.77/1000)/(Parameters!$B$4*Parameters!$B$10))*Parameters!$F$32</f>
        <v>5.7279597978181608E-3</v>
      </c>
      <c r="C50" t="s">
        <v>31</v>
      </c>
      <c r="D50" t="s">
        <v>8</v>
      </c>
      <c r="F50" t="s">
        <v>20</v>
      </c>
      <c r="H50" s="2" t="s">
        <v>414</v>
      </c>
    </row>
    <row r="51" spans="1:8" ht="15.6" x14ac:dyDescent="0.3">
      <c r="A51" s="2" t="s">
        <v>370</v>
      </c>
      <c r="B51" s="6">
        <f>((76.17/1000)/(Parameters!$B$4*Parameters!$B$10))*Parameters!$F$32</f>
        <v>2.1006196331237806E-2</v>
      </c>
      <c r="C51" t="s">
        <v>31</v>
      </c>
      <c r="D51" t="s">
        <v>8</v>
      </c>
      <c r="F51" t="s">
        <v>20</v>
      </c>
      <c r="G51" t="s">
        <v>387</v>
      </c>
      <c r="H51" s="2" t="s">
        <v>371</v>
      </c>
    </row>
    <row r="52" spans="1:8" ht="15.6" x14ac:dyDescent="0.3">
      <c r="A52" s="2" t="s">
        <v>315</v>
      </c>
      <c r="B52" s="6">
        <f>((106.73/1000)/(Parameters!$B$4*Parameters!$B$10))*Parameters!$F$32</f>
        <v>2.9434046664474352E-2</v>
      </c>
      <c r="C52" t="s">
        <v>31</v>
      </c>
      <c r="D52" t="s">
        <v>8</v>
      </c>
      <c r="F52" t="s">
        <v>20</v>
      </c>
      <c r="G52" t="s">
        <v>314</v>
      </c>
      <c r="H52" s="2" t="s">
        <v>316</v>
      </c>
    </row>
    <row r="53" spans="1:8" ht="15.6" x14ac:dyDescent="0.3">
      <c r="A53" s="2" t="s">
        <v>384</v>
      </c>
      <c r="B53" s="6">
        <f>((26.58/1000)/(Parameters!$B$4*Parameters!$B$10))*Parameters!$F$32</f>
        <v>7.3302441707273321E-3</v>
      </c>
      <c r="C53" t="s">
        <v>26</v>
      </c>
      <c r="D53" t="s">
        <v>8</v>
      </c>
      <c r="F53" t="s">
        <v>20</v>
      </c>
      <c r="G53" t="s">
        <v>386</v>
      </c>
      <c r="H53" s="2" t="s">
        <v>385</v>
      </c>
    </row>
    <row r="54" spans="1:8" ht="15.6" x14ac:dyDescent="0.3">
      <c r="A54" s="2" t="s">
        <v>388</v>
      </c>
      <c r="B54" s="6">
        <f>((117.72/1000)/(Parameters!$B$4*Parameters!$B$10))*Parameters!$F$32</f>
        <v>3.2464873731302545E-2</v>
      </c>
      <c r="C54" t="s">
        <v>26</v>
      </c>
      <c r="D54" t="s">
        <v>8</v>
      </c>
      <c r="F54" t="s">
        <v>20</v>
      </c>
      <c r="G54" t="s">
        <v>390</v>
      </c>
      <c r="H54" s="2" t="s">
        <v>389</v>
      </c>
    </row>
    <row r="55" spans="1:8" x14ac:dyDescent="0.3">
      <c r="A55" t="s">
        <v>265</v>
      </c>
      <c r="B55" s="6">
        <f>(B25*B46)-Parameters!$B$13</f>
        <v>2.7981685000185985</v>
      </c>
      <c r="D55" t="s">
        <v>8</v>
      </c>
      <c r="E55" t="s">
        <v>37</v>
      </c>
      <c r="F55" t="s">
        <v>36</v>
      </c>
      <c r="G55" t="s">
        <v>428</v>
      </c>
    </row>
    <row r="56" spans="1:8" x14ac:dyDescent="0.3">
      <c r="A56" t="s">
        <v>306</v>
      </c>
      <c r="B56" s="6">
        <f>1/(90000000*20)</f>
        <v>5.5555555555555553E-10</v>
      </c>
      <c r="C56" t="s">
        <v>26</v>
      </c>
      <c r="D56" t="s">
        <v>7</v>
      </c>
      <c r="F56" t="s">
        <v>20</v>
      </c>
      <c r="G56" t="s">
        <v>308</v>
      </c>
      <c r="H56" t="s">
        <v>307</v>
      </c>
    </row>
    <row r="57" spans="1:8" ht="15.6" x14ac:dyDescent="0.3">
      <c r="A57" s="2"/>
      <c r="H57" s="2"/>
    </row>
    <row r="58" spans="1:8" ht="15.6" x14ac:dyDescent="0.3">
      <c r="A58" s="2"/>
      <c r="H58" s="2"/>
    </row>
    <row r="59" spans="1:8" ht="15.6" x14ac:dyDescent="0.3">
      <c r="A59" s="1" t="s">
        <v>1</v>
      </c>
      <c r="B59" s="73" t="s">
        <v>383</v>
      </c>
    </row>
    <row r="60" spans="1:8" x14ac:dyDescent="0.3">
      <c r="A60" t="s">
        <v>2</v>
      </c>
      <c r="B60" s="6" t="s">
        <v>1050</v>
      </c>
    </row>
    <row r="61" spans="1:8" x14ac:dyDescent="0.3">
      <c r="A61" t="s">
        <v>3</v>
      </c>
      <c r="B61" s="6">
        <v>1</v>
      </c>
    </row>
    <row r="62" spans="1:8" ht="15.6" x14ac:dyDescent="0.3">
      <c r="A62" t="s">
        <v>4</v>
      </c>
      <c r="B62" s="74" t="s">
        <v>381</v>
      </c>
    </row>
    <row r="63" spans="1:8" x14ac:dyDescent="0.3">
      <c r="A63" t="s">
        <v>5</v>
      </c>
      <c r="B63" s="6" t="s">
        <v>6</v>
      </c>
    </row>
    <row r="64" spans="1:8" x14ac:dyDescent="0.3">
      <c r="A64" t="s">
        <v>7</v>
      </c>
      <c r="B64" s="6" t="s">
        <v>8</v>
      </c>
    </row>
    <row r="65" spans="1:8" x14ac:dyDescent="0.3">
      <c r="A65" t="s">
        <v>9</v>
      </c>
      <c r="B65" s="6" t="s">
        <v>10</v>
      </c>
    </row>
    <row r="66" spans="1:8" x14ac:dyDescent="0.3">
      <c r="A66" t="s">
        <v>11</v>
      </c>
      <c r="B66" s="6" t="s">
        <v>373</v>
      </c>
    </row>
    <row r="67" spans="1:8" x14ac:dyDescent="0.3">
      <c r="A67" t="s">
        <v>497</v>
      </c>
      <c r="B67" s="72">
        <f>Summary!O34</f>
        <v>0.54303013093866137</v>
      </c>
    </row>
    <row r="68" spans="1:8" ht="15.6" x14ac:dyDescent="0.3">
      <c r="A68" s="1" t="s">
        <v>12</v>
      </c>
    </row>
    <row r="69" spans="1:8" x14ac:dyDescent="0.3">
      <c r="A69" t="s">
        <v>13</v>
      </c>
      <c r="B69" s="6" t="s">
        <v>14</v>
      </c>
      <c r="C69" t="s">
        <v>2</v>
      </c>
      <c r="D69" t="s">
        <v>7</v>
      </c>
      <c r="E69" t="s">
        <v>15</v>
      </c>
      <c r="F69" t="s">
        <v>5</v>
      </c>
      <c r="G69" t="s">
        <v>11</v>
      </c>
      <c r="H69" t="s">
        <v>4</v>
      </c>
    </row>
    <row r="70" spans="1:8" ht="15.6" x14ac:dyDescent="0.3">
      <c r="A70" s="2" t="s">
        <v>383</v>
      </c>
      <c r="B70" s="6">
        <v>1</v>
      </c>
      <c r="C70" t="s">
        <v>1050</v>
      </c>
      <c r="D70" t="s">
        <v>8</v>
      </c>
      <c r="F70" t="s">
        <v>17</v>
      </c>
      <c r="G70" t="s">
        <v>18</v>
      </c>
      <c r="H70" s="2" t="s">
        <v>381</v>
      </c>
    </row>
    <row r="71" spans="1:8" ht="15.6" x14ac:dyDescent="0.3">
      <c r="A71" s="2" t="s">
        <v>63</v>
      </c>
      <c r="B71" s="6">
        <f>(1/((Parameters!C20*Parameters!B4*Parameters!B10)/1000))*Parameters!G32</f>
        <v>3.5882226085354634</v>
      </c>
      <c r="C71" t="s">
        <v>1050</v>
      </c>
      <c r="D71" t="s">
        <v>8</v>
      </c>
      <c r="F71" t="s">
        <v>20</v>
      </c>
      <c r="G71" t="s">
        <v>18</v>
      </c>
      <c r="H71" s="2" t="s">
        <v>382</v>
      </c>
    </row>
    <row r="72" spans="1:8" ht="15.6" x14ac:dyDescent="0.3">
      <c r="A72" s="2" t="s">
        <v>221</v>
      </c>
      <c r="B72" s="6">
        <f>(180*Parameters!$B$3)/(Parameters!$B$4*Parameters!$B$10)*Parameters!G32</f>
        <v>5.7922364134825585E-2</v>
      </c>
      <c r="C72" t="s">
        <v>26</v>
      </c>
      <c r="D72" t="s">
        <v>19</v>
      </c>
      <c r="F72" t="s">
        <v>20</v>
      </c>
      <c r="H72" s="2" t="s">
        <v>222</v>
      </c>
    </row>
    <row r="73" spans="1:8" ht="15.6" x14ac:dyDescent="0.3">
      <c r="A73" s="2" t="s">
        <v>252</v>
      </c>
      <c r="B73" s="6">
        <f>((346.23/1000)/(Parameters!$B$4*Parameters!$B$10))*Parameters!$G$32</f>
        <v>0.10559977666902486</v>
      </c>
      <c r="C73" t="s">
        <v>31</v>
      </c>
      <c r="D73" t="s">
        <v>8</v>
      </c>
      <c r="F73" t="s">
        <v>20</v>
      </c>
      <c r="H73" s="2" t="s">
        <v>253</v>
      </c>
    </row>
    <row r="74" spans="1:8" ht="15.6" x14ac:dyDescent="0.3">
      <c r="A74" s="2" t="s">
        <v>254</v>
      </c>
      <c r="B74" s="6">
        <f>((41.55/1000)/(Parameters!$B$4*Parameters!$B$10))*Parameters!$G$32</f>
        <v>1.2672705197695122E-2</v>
      </c>
      <c r="C74" t="s">
        <v>255</v>
      </c>
      <c r="D74" t="s">
        <v>8</v>
      </c>
      <c r="F74" t="s">
        <v>20</v>
      </c>
      <c r="H74" s="2" t="s">
        <v>256</v>
      </c>
    </row>
    <row r="75" spans="1:8" ht="15.6" x14ac:dyDescent="0.3">
      <c r="A75" s="2" t="s">
        <v>257</v>
      </c>
      <c r="B75" s="6">
        <f>((20.77/1000)/(Parameters!$B$4*Parameters!$B$10))*Parameters!$G$32</f>
        <v>6.3348276042389344E-3</v>
      </c>
      <c r="C75" t="s">
        <v>31</v>
      </c>
      <c r="D75" t="s">
        <v>8</v>
      </c>
      <c r="F75" t="s">
        <v>20</v>
      </c>
      <c r="H75" s="2" t="s">
        <v>414</v>
      </c>
    </row>
    <row r="76" spans="1:8" ht="15.6" x14ac:dyDescent="0.3">
      <c r="A76" s="2" t="s">
        <v>370</v>
      </c>
      <c r="B76" s="6">
        <f>((76.17/1000)/(Parameters!$B$4*Parameters!$B$10))*Parameters!$G$32</f>
        <v>2.3231767867832431E-2</v>
      </c>
      <c r="C76" t="s">
        <v>31</v>
      </c>
      <c r="D76" t="s">
        <v>8</v>
      </c>
      <c r="F76" t="s">
        <v>20</v>
      </c>
      <c r="H76" s="2" t="s">
        <v>371</v>
      </c>
    </row>
    <row r="77" spans="1:8" ht="15.6" x14ac:dyDescent="0.3">
      <c r="A77" s="2" t="s">
        <v>315</v>
      </c>
      <c r="B77" s="6">
        <f>((106.73/1000)/(Parameters!$B$4*Parameters!$B$10))*Parameters!$G$32</f>
        <v>3.2552534915764153E-2</v>
      </c>
      <c r="C77" t="s">
        <v>31</v>
      </c>
      <c r="D77" t="s">
        <v>8</v>
      </c>
      <c r="F77" t="s">
        <v>20</v>
      </c>
      <c r="G77" t="s">
        <v>314</v>
      </c>
      <c r="H77" s="2" t="s">
        <v>316</v>
      </c>
    </row>
    <row r="78" spans="1:8" ht="15.6" x14ac:dyDescent="0.3">
      <c r="A78" s="2" t="s">
        <v>384</v>
      </c>
      <c r="B78" s="6">
        <f>((26.58/1000)/(Parameters!$B$4*Parameters!$B$10))*Parameters!$G$32</f>
        <v>8.1068713394641719E-3</v>
      </c>
      <c r="C78" t="s">
        <v>26</v>
      </c>
      <c r="D78" t="s">
        <v>8</v>
      </c>
      <c r="F78" t="s">
        <v>20</v>
      </c>
      <c r="G78" t="s">
        <v>386</v>
      </c>
      <c r="H78" s="2" t="s">
        <v>385</v>
      </c>
    </row>
    <row r="79" spans="1:8" ht="15.6" x14ac:dyDescent="0.3">
      <c r="A79" s="2" t="s">
        <v>388</v>
      </c>
      <c r="B79" s="6">
        <f>((117.72/1000)/(Parameters!$B$4*Parameters!$B$10))*Parameters!G$32</f>
        <v>3.5904473065527555E-2</v>
      </c>
      <c r="C79" t="s">
        <v>26</v>
      </c>
      <c r="D79" t="s">
        <v>8</v>
      </c>
      <c r="F79" t="s">
        <v>20</v>
      </c>
      <c r="G79" t="s">
        <v>390</v>
      </c>
      <c r="H79" s="2" t="s">
        <v>389</v>
      </c>
    </row>
    <row r="80" spans="1:8" x14ac:dyDescent="0.3">
      <c r="A80" t="s">
        <v>265</v>
      </c>
      <c r="B80" s="6">
        <f>(B25*B71)-Parameters!$B$13</f>
        <v>3.2974149092166236</v>
      </c>
      <c r="D80" t="s">
        <v>8</v>
      </c>
      <c r="E80" t="s">
        <v>37</v>
      </c>
      <c r="F80" t="s">
        <v>36</v>
      </c>
      <c r="G80" t="s">
        <v>428</v>
      </c>
    </row>
    <row r="81" spans="1:8" x14ac:dyDescent="0.3">
      <c r="A81" t="s">
        <v>306</v>
      </c>
      <c r="B81" s="6">
        <f>1/(90000000*20)</f>
        <v>5.5555555555555553E-10</v>
      </c>
      <c r="C81" t="s">
        <v>26</v>
      </c>
      <c r="D81" t="s">
        <v>7</v>
      </c>
      <c r="F81" t="s">
        <v>20</v>
      </c>
      <c r="G81" t="s">
        <v>308</v>
      </c>
      <c r="H81" t="s">
        <v>307</v>
      </c>
    </row>
    <row r="82" spans="1:8" ht="15.6" x14ac:dyDescent="0.3">
      <c r="A82" s="2"/>
      <c r="H82" s="2"/>
    </row>
    <row r="83" spans="1:8" ht="15.6" x14ac:dyDescent="0.3">
      <c r="A83" s="1" t="s">
        <v>1</v>
      </c>
      <c r="B83" s="73" t="s">
        <v>503</v>
      </c>
    </row>
    <row r="84" spans="1:8" x14ac:dyDescent="0.3">
      <c r="A84" t="s">
        <v>2</v>
      </c>
      <c r="B84" s="6" t="s">
        <v>1050</v>
      </c>
    </row>
    <row r="85" spans="1:8" x14ac:dyDescent="0.3">
      <c r="A85" t="s">
        <v>3</v>
      </c>
      <c r="B85" s="6">
        <v>1</v>
      </c>
    </row>
    <row r="86" spans="1:8" ht="15.6" x14ac:dyDescent="0.3">
      <c r="A86" t="s">
        <v>4</v>
      </c>
      <c r="B86" s="74" t="s">
        <v>381</v>
      </c>
    </row>
    <row r="87" spans="1:8" x14ac:dyDescent="0.3">
      <c r="A87" t="s">
        <v>5</v>
      </c>
      <c r="B87" s="6" t="s">
        <v>6</v>
      </c>
    </row>
    <row r="88" spans="1:8" x14ac:dyDescent="0.3">
      <c r="A88" t="s">
        <v>7</v>
      </c>
      <c r="B88" s="6" t="s">
        <v>8</v>
      </c>
    </row>
    <row r="89" spans="1:8" x14ac:dyDescent="0.3">
      <c r="A89" t="s">
        <v>9</v>
      </c>
      <c r="B89" s="6" t="s">
        <v>10</v>
      </c>
    </row>
    <row r="90" spans="1:8" x14ac:dyDescent="0.3">
      <c r="A90" t="s">
        <v>11</v>
      </c>
      <c r="B90" s="6" t="s">
        <v>504</v>
      </c>
    </row>
    <row r="91" spans="1:8" x14ac:dyDescent="0.3">
      <c r="A91" t="s">
        <v>497</v>
      </c>
      <c r="B91" s="72">
        <f>Summary!O129</f>
        <v>0.49461253535626554</v>
      </c>
    </row>
    <row r="92" spans="1:8" ht="15.6" x14ac:dyDescent="0.3">
      <c r="A92" s="1" t="s">
        <v>12</v>
      </c>
    </row>
    <row r="93" spans="1:8" x14ac:dyDescent="0.3">
      <c r="A93" t="s">
        <v>13</v>
      </c>
      <c r="B93" s="6" t="s">
        <v>14</v>
      </c>
      <c r="C93" t="s">
        <v>2</v>
      </c>
      <c r="D93" t="s">
        <v>7</v>
      </c>
      <c r="E93" t="s">
        <v>15</v>
      </c>
      <c r="F93" t="s">
        <v>5</v>
      </c>
      <c r="G93" t="s">
        <v>11</v>
      </c>
      <c r="H93" t="s">
        <v>4</v>
      </c>
    </row>
    <row r="94" spans="1:8" ht="15.6" x14ac:dyDescent="0.3">
      <c r="A94" s="2" t="s">
        <v>503</v>
      </c>
      <c r="B94" s="6">
        <v>1</v>
      </c>
      <c r="C94" t="s">
        <v>1050</v>
      </c>
      <c r="D94" t="s">
        <v>8</v>
      </c>
      <c r="F94" t="s">
        <v>17</v>
      </c>
      <c r="G94" t="s">
        <v>18</v>
      </c>
      <c r="H94" s="2" t="s">
        <v>381</v>
      </c>
    </row>
    <row r="95" spans="1:8" ht="15.6" x14ac:dyDescent="0.3">
      <c r="A95" s="2" t="s">
        <v>63</v>
      </c>
      <c r="B95" s="6">
        <f>(1/((Parameters!C20*Parameters!B4*Parameters!B10)/1000))</f>
        <v>3.9394735346660368</v>
      </c>
      <c r="C95" t="s">
        <v>1050</v>
      </c>
      <c r="D95" t="s">
        <v>8</v>
      </c>
      <c r="F95" t="s">
        <v>20</v>
      </c>
      <c r="G95" t="s">
        <v>18</v>
      </c>
      <c r="H95" s="2" t="s">
        <v>382</v>
      </c>
    </row>
    <row r="96" spans="1:8" ht="15.6" x14ac:dyDescent="0.3">
      <c r="A96" s="2" t="s">
        <v>221</v>
      </c>
      <c r="B96" s="6">
        <f>(180*Parameters!$B$3)/(Parameters!$B$4*Parameters!$B$10)</f>
        <v>6.3592381373341833E-2</v>
      </c>
      <c r="C96" t="s">
        <v>26</v>
      </c>
      <c r="D96" t="s">
        <v>19</v>
      </c>
      <c r="F96" t="s">
        <v>20</v>
      </c>
      <c r="H96" s="2" t="s">
        <v>222</v>
      </c>
    </row>
    <row r="97" spans="1:9" ht="15.6" x14ac:dyDescent="0.3">
      <c r="A97" s="2" t="s">
        <v>252</v>
      </c>
      <c r="B97" s="6">
        <f>((346.23/1000)/(Parameters!$B$4*Parameters!$B$10))</f>
        <v>0.11593693336213089</v>
      </c>
      <c r="C97" t="s">
        <v>31</v>
      </c>
      <c r="D97" t="s">
        <v>8</v>
      </c>
      <c r="F97" t="s">
        <v>20</v>
      </c>
      <c r="H97" s="2" t="s">
        <v>253</v>
      </c>
    </row>
    <row r="98" spans="1:9" ht="15.6" x14ac:dyDescent="0.3">
      <c r="A98" s="2" t="s">
        <v>254</v>
      </c>
      <c r="B98" s="6">
        <f>((41.55/1000)/(Parameters!$B$4*Parameters!$B$10))</f>
        <v>1.3913235656056776E-2</v>
      </c>
      <c r="C98" t="s">
        <v>255</v>
      </c>
      <c r="D98" t="s">
        <v>8</v>
      </c>
      <c r="F98" t="s">
        <v>20</v>
      </c>
      <c r="H98" s="2" t="s">
        <v>256</v>
      </c>
    </row>
    <row r="99" spans="1:9" ht="15.6" x14ac:dyDescent="0.3">
      <c r="A99" s="2" t="s">
        <v>257</v>
      </c>
      <c r="B99" s="6">
        <f>((20.77/1000)/(Parameters!$B$4*Parameters!$B$10))</f>
        <v>6.9549435517761559E-3</v>
      </c>
      <c r="C99" t="s">
        <v>31</v>
      </c>
      <c r="D99" t="s">
        <v>8</v>
      </c>
      <c r="F99" t="s">
        <v>20</v>
      </c>
      <c r="H99" s="2" t="s">
        <v>414</v>
      </c>
    </row>
    <row r="100" spans="1:9" ht="15.6" x14ac:dyDescent="0.3">
      <c r="A100" s="2" t="s">
        <v>370</v>
      </c>
      <c r="B100" s="6">
        <f>((76.17/1000)/(Parameters!$B$4*Parameters!$B$10))</f>
        <v>2.5505924426518525E-2</v>
      </c>
      <c r="C100" t="s">
        <v>31</v>
      </c>
      <c r="D100" t="s">
        <v>8</v>
      </c>
      <c r="F100" t="s">
        <v>20</v>
      </c>
      <c r="H100" s="2" t="s">
        <v>371</v>
      </c>
    </row>
    <row r="101" spans="1:9" ht="15.6" x14ac:dyDescent="0.3">
      <c r="A101" s="2" t="s">
        <v>315</v>
      </c>
      <c r="B101" s="6">
        <f>((106.73/1000)/(Parameters!$B$4*Parameters!$B$10))</f>
        <v>3.5739100880167025E-2</v>
      </c>
      <c r="C101" t="s">
        <v>31</v>
      </c>
      <c r="D101" t="s">
        <v>8</v>
      </c>
      <c r="F101" t="s">
        <v>20</v>
      </c>
      <c r="G101" t="s">
        <v>314</v>
      </c>
      <c r="H101" s="2" t="s">
        <v>316</v>
      </c>
    </row>
    <row r="102" spans="1:9" ht="15.6" x14ac:dyDescent="0.3">
      <c r="A102" s="2" t="s">
        <v>384</v>
      </c>
      <c r="B102" s="6">
        <f>((26.58/1000)/(Parameters!$B$4*Parameters!$B$10))</f>
        <v>8.9004525568709778E-3</v>
      </c>
      <c r="C102" t="s">
        <v>26</v>
      </c>
      <c r="D102" t="s">
        <v>8</v>
      </c>
      <c r="F102" t="s">
        <v>20</v>
      </c>
      <c r="G102" t="s">
        <v>386</v>
      </c>
      <c r="H102" s="2" t="s">
        <v>385</v>
      </c>
    </row>
    <row r="103" spans="1:9" ht="15.6" x14ac:dyDescent="0.3">
      <c r="A103" s="2" t="s">
        <v>388</v>
      </c>
      <c r="B103" s="6">
        <f>((117.72/1000)/(Parameters!$B$4*Parameters!$B$10))</f>
        <v>3.9419160082575302E-2</v>
      </c>
      <c r="C103" t="s">
        <v>26</v>
      </c>
      <c r="D103" t="s">
        <v>8</v>
      </c>
      <c r="F103" t="s">
        <v>20</v>
      </c>
      <c r="G103" t="s">
        <v>390</v>
      </c>
      <c r="H103" s="2" t="s">
        <v>389</v>
      </c>
    </row>
    <row r="104" spans="1:9" x14ac:dyDescent="0.3">
      <c r="A104" t="s">
        <v>265</v>
      </c>
      <c r="B104" s="6">
        <f>(B25*B95)-Parameters!$B$13</f>
        <v>3.8075600459644638</v>
      </c>
      <c r="D104" t="s">
        <v>8</v>
      </c>
      <c r="E104" t="s">
        <v>37</v>
      </c>
      <c r="F104" t="s">
        <v>36</v>
      </c>
      <c r="G104" t="s">
        <v>428</v>
      </c>
    </row>
    <row r="105" spans="1:9" x14ac:dyDescent="0.3">
      <c r="A105" t="s">
        <v>306</v>
      </c>
      <c r="B105" s="6">
        <f>1/(90000000*20)</f>
        <v>5.5555555555555553E-10</v>
      </c>
      <c r="C105" t="s">
        <v>26</v>
      </c>
      <c r="D105" t="s">
        <v>7</v>
      </c>
      <c r="F105" t="s">
        <v>20</v>
      </c>
      <c r="G105" t="s">
        <v>308</v>
      </c>
      <c r="H105" t="s">
        <v>307</v>
      </c>
    </row>
    <row r="106" spans="1:9" x14ac:dyDescent="0.3">
      <c r="A106" s="36" t="s">
        <v>28</v>
      </c>
      <c r="B106" s="37">
        <f>Parameters!C19/Parameters!B4*Parameters!B10*-1</f>
        <v>-0.50274302587613584</v>
      </c>
      <c r="C106" t="s">
        <v>1051</v>
      </c>
      <c r="D106" s="36" t="s">
        <v>29</v>
      </c>
      <c r="E106" s="36"/>
      <c r="F106" s="36" t="s">
        <v>20</v>
      </c>
      <c r="G106" s="36" t="s">
        <v>505</v>
      </c>
      <c r="H106" s="36" t="s">
        <v>30</v>
      </c>
      <c r="I106" s="36"/>
    </row>
    <row r="107" spans="1:9" ht="15.6" x14ac:dyDescent="0.3">
      <c r="A107" s="2"/>
      <c r="H107" s="2"/>
    </row>
    <row r="108" spans="1:9" ht="15.6" x14ac:dyDescent="0.3">
      <c r="A108" s="1" t="s">
        <v>1</v>
      </c>
      <c r="B108" s="73" t="s">
        <v>391</v>
      </c>
    </row>
    <row r="109" spans="1:9" x14ac:dyDescent="0.3">
      <c r="A109" t="s">
        <v>2</v>
      </c>
      <c r="B109" s="6" t="s">
        <v>1050</v>
      </c>
    </row>
    <row r="110" spans="1:9" x14ac:dyDescent="0.3">
      <c r="A110" t="s">
        <v>3</v>
      </c>
      <c r="B110" s="6">
        <v>1</v>
      </c>
    </row>
    <row r="111" spans="1:9" ht="15.6" x14ac:dyDescent="0.3">
      <c r="A111" t="s">
        <v>4</v>
      </c>
      <c r="B111" s="74" t="s">
        <v>337</v>
      </c>
    </row>
    <row r="112" spans="1:9" x14ac:dyDescent="0.3">
      <c r="A112" t="s">
        <v>5</v>
      </c>
      <c r="B112" s="6" t="s">
        <v>6</v>
      </c>
    </row>
    <row r="113" spans="1:10" x14ac:dyDescent="0.3">
      <c r="A113" t="s">
        <v>7</v>
      </c>
      <c r="B113" s="6" t="s">
        <v>8</v>
      </c>
    </row>
    <row r="114" spans="1:10" x14ac:dyDescent="0.3">
      <c r="A114" t="s">
        <v>9</v>
      </c>
      <c r="B114" s="6" t="s">
        <v>393</v>
      </c>
    </row>
    <row r="115" spans="1:10" x14ac:dyDescent="0.3">
      <c r="A115" t="s">
        <v>11</v>
      </c>
      <c r="B115" s="6" t="s">
        <v>362</v>
      </c>
    </row>
    <row r="116" spans="1:10" ht="15.6" x14ac:dyDescent="0.3">
      <c r="A116" s="1" t="s">
        <v>12</v>
      </c>
    </row>
    <row r="117" spans="1:10" x14ac:dyDescent="0.3">
      <c r="A117" t="s">
        <v>13</v>
      </c>
      <c r="B117" s="6" t="s">
        <v>14</v>
      </c>
      <c r="C117" t="s">
        <v>2</v>
      </c>
      <c r="D117" t="s">
        <v>7</v>
      </c>
      <c r="E117" t="s">
        <v>15</v>
      </c>
      <c r="F117" t="s">
        <v>5</v>
      </c>
      <c r="G117" t="s">
        <v>338</v>
      </c>
      <c r="H117" t="s">
        <v>339</v>
      </c>
      <c r="I117" t="s">
        <v>11</v>
      </c>
      <c r="J117" t="s">
        <v>4</v>
      </c>
    </row>
    <row r="118" spans="1:10" x14ac:dyDescent="0.3">
      <c r="A118" s="36" t="s">
        <v>391</v>
      </c>
      <c r="B118" s="37">
        <v>1</v>
      </c>
      <c r="C118" t="s">
        <v>1050</v>
      </c>
      <c r="D118" s="36" t="s">
        <v>8</v>
      </c>
      <c r="E118" s="36"/>
      <c r="F118" s="36" t="s">
        <v>17</v>
      </c>
      <c r="G118" s="36"/>
      <c r="H118" s="36"/>
      <c r="I118" s="36" t="s">
        <v>18</v>
      </c>
      <c r="J118" s="36" t="s">
        <v>337</v>
      </c>
    </row>
    <row r="119" spans="1:10" ht="15.6" x14ac:dyDescent="0.3">
      <c r="A119" s="2" t="s">
        <v>380</v>
      </c>
      <c r="B119" s="6">
        <v>1.00057</v>
      </c>
      <c r="C119" t="s">
        <v>1050</v>
      </c>
      <c r="D119" t="s">
        <v>8</v>
      </c>
      <c r="F119" s="36" t="s">
        <v>20</v>
      </c>
      <c r="G119" t="s">
        <v>18</v>
      </c>
      <c r="I119" s="36"/>
      <c r="J119" s="2" t="s">
        <v>381</v>
      </c>
    </row>
    <row r="120" spans="1:10" x14ac:dyDescent="0.3">
      <c r="A120" s="36" t="s">
        <v>28</v>
      </c>
      <c r="B120" s="37">
        <v>6.7000000000000002E-3</v>
      </c>
      <c r="C120" t="s">
        <v>1051</v>
      </c>
      <c r="D120" s="36" t="s">
        <v>29</v>
      </c>
      <c r="E120" s="36"/>
      <c r="F120" s="36" t="s">
        <v>20</v>
      </c>
      <c r="G120" s="36"/>
      <c r="H120" s="36"/>
      <c r="I120" s="36"/>
      <c r="J120" s="36" t="s">
        <v>30</v>
      </c>
    </row>
    <row r="121" spans="1:10" x14ac:dyDescent="0.3">
      <c r="A121" s="36" t="s">
        <v>340</v>
      </c>
      <c r="B121" s="37">
        <v>-1.6799999999999999E-4</v>
      </c>
      <c r="C121" s="36" t="s">
        <v>31</v>
      </c>
      <c r="D121" s="36" t="s">
        <v>8</v>
      </c>
      <c r="E121" s="36"/>
      <c r="F121" s="36" t="s">
        <v>20</v>
      </c>
      <c r="G121" s="36"/>
      <c r="H121" s="36"/>
      <c r="I121" s="36"/>
      <c r="J121" s="36" t="s">
        <v>341</v>
      </c>
    </row>
    <row r="122" spans="1:10" x14ac:dyDescent="0.3">
      <c r="A122" s="36" t="s">
        <v>342</v>
      </c>
      <c r="B122" s="37">
        <v>5.8399999999999999E-4</v>
      </c>
      <c r="C122" s="36" t="s">
        <v>31</v>
      </c>
      <c r="D122" s="36" t="s">
        <v>19</v>
      </c>
      <c r="E122" s="36"/>
      <c r="F122" s="36" t="s">
        <v>20</v>
      </c>
      <c r="G122" s="36"/>
      <c r="H122" s="36"/>
      <c r="I122" s="36"/>
      <c r="J122" s="36" t="s">
        <v>343</v>
      </c>
    </row>
    <row r="123" spans="1:10" x14ac:dyDescent="0.3">
      <c r="A123" s="36" t="s">
        <v>344</v>
      </c>
      <c r="B123" s="37">
        <v>2.5999999999999998E-10</v>
      </c>
      <c r="C123" s="36" t="s">
        <v>31</v>
      </c>
      <c r="D123" s="36" t="s">
        <v>7</v>
      </c>
      <c r="E123" s="36"/>
      <c r="F123" s="36" t="s">
        <v>20</v>
      </c>
      <c r="G123" s="36"/>
      <c r="H123" s="36"/>
      <c r="I123" s="36"/>
      <c r="J123" s="36" t="s">
        <v>345</v>
      </c>
    </row>
    <row r="124" spans="1:10" x14ac:dyDescent="0.3">
      <c r="A124" s="36" t="s">
        <v>346</v>
      </c>
      <c r="B124" s="37">
        <v>-6.2700000000000001E-6</v>
      </c>
      <c r="C124" s="36" t="s">
        <v>31</v>
      </c>
      <c r="D124" s="36" t="s">
        <v>8</v>
      </c>
      <c r="E124" s="36"/>
      <c r="F124" s="36" t="s">
        <v>20</v>
      </c>
      <c r="G124" s="36"/>
      <c r="H124" s="36"/>
      <c r="I124" s="36"/>
      <c r="J124" s="36" t="s">
        <v>347</v>
      </c>
    </row>
    <row r="125" spans="1:10" x14ac:dyDescent="0.3">
      <c r="A125" s="36" t="s">
        <v>348</v>
      </c>
      <c r="B125" s="37">
        <v>-7.4999999999999993E-5</v>
      </c>
      <c r="C125" s="36" t="s">
        <v>31</v>
      </c>
      <c r="D125" s="36" t="s">
        <v>121</v>
      </c>
      <c r="E125" s="36"/>
      <c r="F125" s="36" t="s">
        <v>20</v>
      </c>
      <c r="G125" s="36"/>
      <c r="H125" s="36"/>
      <c r="I125" s="36"/>
      <c r="J125" s="36" t="s">
        <v>349</v>
      </c>
    </row>
    <row r="126" spans="1:10" x14ac:dyDescent="0.3">
      <c r="A126" s="36" t="s">
        <v>350</v>
      </c>
      <c r="B126" s="37">
        <v>6.8900000000000005E-4</v>
      </c>
      <c r="C126" s="36" t="s">
        <v>31</v>
      </c>
      <c r="D126" s="36" t="s">
        <v>8</v>
      </c>
      <c r="E126" s="36"/>
      <c r="F126" s="36" t="s">
        <v>20</v>
      </c>
      <c r="G126" s="36"/>
      <c r="H126" s="36"/>
      <c r="I126" s="36"/>
      <c r="J126" s="36" t="s">
        <v>351</v>
      </c>
    </row>
    <row r="127" spans="1:10" x14ac:dyDescent="0.3">
      <c r="A127" s="36" t="s">
        <v>100</v>
      </c>
      <c r="B127" s="37">
        <v>3.3599999999999998E-2</v>
      </c>
      <c r="C127" s="36" t="s">
        <v>31</v>
      </c>
      <c r="D127" s="36" t="s">
        <v>41</v>
      </c>
      <c r="E127" s="36"/>
      <c r="F127" s="36" t="s">
        <v>20</v>
      </c>
      <c r="G127" s="36"/>
      <c r="H127" s="36"/>
      <c r="I127" s="36"/>
      <c r="J127" s="36" t="s">
        <v>103</v>
      </c>
    </row>
    <row r="128" spans="1:10" x14ac:dyDescent="0.3">
      <c r="A128" s="36" t="s">
        <v>352</v>
      </c>
      <c r="B128" s="37">
        <v>3.2599999999999997E-2</v>
      </c>
      <c r="C128" s="36" t="s">
        <v>581</v>
      </c>
      <c r="D128" s="36" t="s">
        <v>41</v>
      </c>
      <c r="E128" s="36"/>
      <c r="F128" s="36" t="s">
        <v>20</v>
      </c>
      <c r="G128" s="36"/>
      <c r="H128" s="36"/>
      <c r="I128" s="36"/>
      <c r="J128" s="36" t="s">
        <v>353</v>
      </c>
    </row>
    <row r="129" spans="1:10" x14ac:dyDescent="0.3">
      <c r="A129" s="36" t="s">
        <v>354</v>
      </c>
      <c r="B129" s="37">
        <v>-6.8899999999999999E-7</v>
      </c>
      <c r="C129" s="36" t="s">
        <v>31</v>
      </c>
      <c r="D129" s="36" t="s">
        <v>121</v>
      </c>
      <c r="E129" s="36"/>
      <c r="F129" s="36" t="s">
        <v>20</v>
      </c>
      <c r="G129" s="36"/>
      <c r="H129" s="36"/>
      <c r="I129" s="36"/>
      <c r="J129" s="36" t="s">
        <v>355</v>
      </c>
    </row>
    <row r="131" spans="1:10" ht="15.6" x14ac:dyDescent="0.3">
      <c r="A131" s="1" t="s">
        <v>1</v>
      </c>
      <c r="B131" s="73" t="s">
        <v>392</v>
      </c>
    </row>
    <row r="132" spans="1:10" x14ac:dyDescent="0.3">
      <c r="A132" t="s">
        <v>2</v>
      </c>
      <c r="B132" s="6" t="s">
        <v>1050</v>
      </c>
    </row>
    <row r="133" spans="1:10" x14ac:dyDescent="0.3">
      <c r="A133" t="s">
        <v>3</v>
      </c>
      <c r="B133" s="6">
        <v>1</v>
      </c>
    </row>
    <row r="134" spans="1:10" ht="15.6" x14ac:dyDescent="0.3">
      <c r="A134" t="s">
        <v>4</v>
      </c>
      <c r="B134" s="74" t="s">
        <v>337</v>
      </c>
    </row>
    <row r="135" spans="1:10" x14ac:dyDescent="0.3">
      <c r="A135" t="s">
        <v>5</v>
      </c>
      <c r="B135" s="6" t="s">
        <v>6</v>
      </c>
    </row>
    <row r="136" spans="1:10" x14ac:dyDescent="0.3">
      <c r="A136" t="s">
        <v>7</v>
      </c>
      <c r="B136" s="6" t="s">
        <v>8</v>
      </c>
    </row>
    <row r="137" spans="1:10" x14ac:dyDescent="0.3">
      <c r="A137" t="s">
        <v>9</v>
      </c>
      <c r="B137" s="6" t="s">
        <v>393</v>
      </c>
    </row>
    <row r="138" spans="1:10" x14ac:dyDescent="0.3">
      <c r="A138" t="s">
        <v>11</v>
      </c>
      <c r="B138" s="6" t="s">
        <v>361</v>
      </c>
    </row>
    <row r="139" spans="1:10" ht="15.6" x14ac:dyDescent="0.3">
      <c r="A139" s="1" t="s">
        <v>12</v>
      </c>
    </row>
    <row r="140" spans="1:10" x14ac:dyDescent="0.3">
      <c r="A140" t="s">
        <v>13</v>
      </c>
      <c r="B140" s="6" t="s">
        <v>14</v>
      </c>
      <c r="C140" t="s">
        <v>2</v>
      </c>
      <c r="D140" t="s">
        <v>7</v>
      </c>
      <c r="E140" t="s">
        <v>15</v>
      </c>
      <c r="F140" t="s">
        <v>5</v>
      </c>
      <c r="G140" t="s">
        <v>338</v>
      </c>
      <c r="H140" t="s">
        <v>339</v>
      </c>
      <c r="I140" t="s">
        <v>11</v>
      </c>
      <c r="J140" t="s">
        <v>4</v>
      </c>
    </row>
    <row r="141" spans="1:10" x14ac:dyDescent="0.3">
      <c r="A141" s="36" t="s">
        <v>392</v>
      </c>
      <c r="B141" s="37">
        <v>1</v>
      </c>
      <c r="C141" t="s">
        <v>1050</v>
      </c>
      <c r="D141" s="36" t="s">
        <v>8</v>
      </c>
      <c r="E141" s="36"/>
      <c r="F141" s="36" t="s">
        <v>17</v>
      </c>
      <c r="G141" s="36"/>
      <c r="H141" s="36"/>
      <c r="I141" s="36" t="s">
        <v>18</v>
      </c>
      <c r="J141" s="36" t="s">
        <v>337</v>
      </c>
    </row>
    <row r="142" spans="1:10" ht="15.6" x14ac:dyDescent="0.3">
      <c r="A142" s="2" t="s">
        <v>383</v>
      </c>
      <c r="B142" s="6">
        <v>1.00057</v>
      </c>
      <c r="C142" t="s">
        <v>1050</v>
      </c>
      <c r="D142" t="s">
        <v>8</v>
      </c>
      <c r="F142" s="36" t="s">
        <v>20</v>
      </c>
      <c r="G142" t="s">
        <v>18</v>
      </c>
      <c r="I142" s="36"/>
      <c r="J142" s="2" t="s">
        <v>381</v>
      </c>
    </row>
    <row r="143" spans="1:10" x14ac:dyDescent="0.3">
      <c r="A143" s="36" t="s">
        <v>28</v>
      </c>
      <c r="B143" s="37">
        <v>6.7000000000000002E-3</v>
      </c>
      <c r="C143" t="s">
        <v>1051</v>
      </c>
      <c r="D143" s="36" t="s">
        <v>29</v>
      </c>
      <c r="E143" s="36"/>
      <c r="F143" s="36" t="s">
        <v>20</v>
      </c>
      <c r="G143" s="36"/>
      <c r="H143" s="36"/>
      <c r="I143" s="36"/>
      <c r="J143" s="36" t="s">
        <v>30</v>
      </c>
    </row>
    <row r="144" spans="1:10" x14ac:dyDescent="0.3">
      <c r="A144" s="36" t="s">
        <v>340</v>
      </c>
      <c r="B144" s="37">
        <v>-1.6799999999999999E-4</v>
      </c>
      <c r="C144" s="36" t="s">
        <v>31</v>
      </c>
      <c r="D144" s="36" t="s">
        <v>8</v>
      </c>
      <c r="E144" s="36"/>
      <c r="F144" s="36" t="s">
        <v>20</v>
      </c>
      <c r="G144" s="36"/>
      <c r="H144" s="36"/>
      <c r="I144" s="36"/>
      <c r="J144" s="36" t="s">
        <v>341</v>
      </c>
    </row>
    <row r="145" spans="1:10" x14ac:dyDescent="0.3">
      <c r="A145" s="36" t="s">
        <v>342</v>
      </c>
      <c r="B145" s="37">
        <v>5.8399999999999999E-4</v>
      </c>
      <c r="C145" s="36" t="s">
        <v>31</v>
      </c>
      <c r="D145" s="36" t="s">
        <v>19</v>
      </c>
      <c r="E145" s="36"/>
      <c r="F145" s="36" t="s">
        <v>20</v>
      </c>
      <c r="G145" s="36"/>
      <c r="H145" s="36"/>
      <c r="I145" s="36"/>
      <c r="J145" s="36" t="s">
        <v>343</v>
      </c>
    </row>
    <row r="146" spans="1:10" x14ac:dyDescent="0.3">
      <c r="A146" s="36" t="s">
        <v>344</v>
      </c>
      <c r="B146" s="37">
        <v>2.5999999999999998E-10</v>
      </c>
      <c r="C146" s="36" t="s">
        <v>31</v>
      </c>
      <c r="D146" s="36" t="s">
        <v>7</v>
      </c>
      <c r="E146" s="36"/>
      <c r="F146" s="36" t="s">
        <v>20</v>
      </c>
      <c r="G146" s="36"/>
      <c r="H146" s="36"/>
      <c r="I146" s="36"/>
      <c r="J146" s="36" t="s">
        <v>345</v>
      </c>
    </row>
    <row r="147" spans="1:10" x14ac:dyDescent="0.3">
      <c r="A147" s="36" t="s">
        <v>346</v>
      </c>
      <c r="B147" s="37">
        <v>-6.2700000000000001E-6</v>
      </c>
      <c r="C147" s="36" t="s">
        <v>31</v>
      </c>
      <c r="D147" s="36" t="s">
        <v>8</v>
      </c>
      <c r="E147" s="36"/>
      <c r="F147" s="36" t="s">
        <v>20</v>
      </c>
      <c r="G147" s="36"/>
      <c r="H147" s="36"/>
      <c r="I147" s="36"/>
      <c r="J147" s="36" t="s">
        <v>347</v>
      </c>
    </row>
    <row r="148" spans="1:10" x14ac:dyDescent="0.3">
      <c r="A148" s="36" t="s">
        <v>348</v>
      </c>
      <c r="B148" s="37">
        <v>-7.4999999999999993E-5</v>
      </c>
      <c r="C148" s="36" t="s">
        <v>31</v>
      </c>
      <c r="D148" s="36" t="s">
        <v>121</v>
      </c>
      <c r="E148" s="36"/>
      <c r="F148" s="36" t="s">
        <v>20</v>
      </c>
      <c r="G148" s="36"/>
      <c r="H148" s="36"/>
      <c r="I148" s="36"/>
      <c r="J148" s="36" t="s">
        <v>349</v>
      </c>
    </row>
    <row r="149" spans="1:10" x14ac:dyDescent="0.3">
      <c r="A149" s="36" t="s">
        <v>350</v>
      </c>
      <c r="B149" s="37">
        <v>6.8900000000000005E-4</v>
      </c>
      <c r="C149" s="36" t="s">
        <v>31</v>
      </c>
      <c r="D149" s="36" t="s">
        <v>8</v>
      </c>
      <c r="E149" s="36"/>
      <c r="F149" s="36" t="s">
        <v>20</v>
      </c>
      <c r="G149" s="36"/>
      <c r="H149" s="36"/>
      <c r="I149" s="36"/>
      <c r="J149" s="36" t="s">
        <v>351</v>
      </c>
    </row>
    <row r="150" spans="1:10" x14ac:dyDescent="0.3">
      <c r="A150" s="36" t="s">
        <v>100</v>
      </c>
      <c r="B150" s="37">
        <v>3.3599999999999998E-2</v>
      </c>
      <c r="C150" s="36" t="s">
        <v>31</v>
      </c>
      <c r="D150" s="36" t="s">
        <v>41</v>
      </c>
      <c r="E150" s="36"/>
      <c r="F150" s="36" t="s">
        <v>20</v>
      </c>
      <c r="G150" s="36"/>
      <c r="H150" s="36"/>
      <c r="I150" s="36"/>
      <c r="J150" s="36" t="s">
        <v>103</v>
      </c>
    </row>
    <row r="151" spans="1:10" x14ac:dyDescent="0.3">
      <c r="A151" s="36" t="s">
        <v>352</v>
      </c>
      <c r="B151" s="37">
        <v>3.2599999999999997E-2</v>
      </c>
      <c r="C151" s="36" t="s">
        <v>581</v>
      </c>
      <c r="D151" s="36" t="s">
        <v>41</v>
      </c>
      <c r="E151" s="36"/>
      <c r="F151" s="36" t="s">
        <v>20</v>
      </c>
      <c r="G151" s="36"/>
      <c r="H151" s="36"/>
      <c r="I151" s="36"/>
      <c r="J151" s="36" t="s">
        <v>353</v>
      </c>
    </row>
    <row r="152" spans="1:10" x14ac:dyDescent="0.3">
      <c r="A152" s="36" t="s">
        <v>354</v>
      </c>
      <c r="B152" s="37">
        <v>-6.8899999999999999E-7</v>
      </c>
      <c r="C152" s="36" t="s">
        <v>31</v>
      </c>
      <c r="D152" s="36" t="s">
        <v>121</v>
      </c>
      <c r="E152" s="36"/>
      <c r="F152" s="36" t="s">
        <v>20</v>
      </c>
      <c r="G152" s="36"/>
      <c r="H152" s="36"/>
      <c r="I152" s="36"/>
      <c r="J152" s="36" t="s">
        <v>355</v>
      </c>
    </row>
    <row r="153" spans="1:10" x14ac:dyDescent="0.3">
      <c r="A153" s="36"/>
      <c r="B153" s="37"/>
      <c r="C153" s="36"/>
      <c r="D153" s="36"/>
      <c r="E153" s="36"/>
      <c r="F153" s="36"/>
      <c r="G153" s="36"/>
      <c r="H153" s="36"/>
      <c r="I153" s="36"/>
      <c r="J153" s="36"/>
    </row>
    <row r="154" spans="1:10" ht="15.6" x14ac:dyDescent="0.3">
      <c r="A154" s="1" t="s">
        <v>1</v>
      </c>
      <c r="B154" s="73" t="s">
        <v>506</v>
      </c>
    </row>
    <row r="155" spans="1:10" x14ac:dyDescent="0.3">
      <c r="A155" t="s">
        <v>2</v>
      </c>
      <c r="B155" s="6" t="s">
        <v>1050</v>
      </c>
    </row>
    <row r="156" spans="1:10" x14ac:dyDescent="0.3">
      <c r="A156" t="s">
        <v>3</v>
      </c>
      <c r="B156" s="6">
        <v>1</v>
      </c>
    </row>
    <row r="157" spans="1:10" ht="15.6" x14ac:dyDescent="0.3">
      <c r="A157" t="s">
        <v>4</v>
      </c>
      <c r="B157" s="74" t="s">
        <v>337</v>
      </c>
    </row>
    <row r="158" spans="1:10" x14ac:dyDescent="0.3">
      <c r="A158" t="s">
        <v>5</v>
      </c>
      <c r="B158" s="6" t="s">
        <v>6</v>
      </c>
    </row>
    <row r="159" spans="1:10" x14ac:dyDescent="0.3">
      <c r="A159" t="s">
        <v>7</v>
      </c>
      <c r="B159" s="6" t="s">
        <v>8</v>
      </c>
    </row>
    <row r="160" spans="1:10" x14ac:dyDescent="0.3">
      <c r="A160" t="s">
        <v>9</v>
      </c>
      <c r="B160" s="6" t="s">
        <v>393</v>
      </c>
    </row>
    <row r="161" spans="1:10" x14ac:dyDescent="0.3">
      <c r="A161" t="s">
        <v>11</v>
      </c>
      <c r="B161" s="6" t="s">
        <v>507</v>
      </c>
    </row>
    <row r="162" spans="1:10" ht="15.6" x14ac:dyDescent="0.3">
      <c r="A162" s="1" t="s">
        <v>12</v>
      </c>
    </row>
    <row r="163" spans="1:10" x14ac:dyDescent="0.3">
      <c r="A163" t="s">
        <v>13</v>
      </c>
      <c r="B163" s="6" t="s">
        <v>14</v>
      </c>
      <c r="C163" t="s">
        <v>2</v>
      </c>
      <c r="D163" t="s">
        <v>7</v>
      </c>
      <c r="E163" t="s">
        <v>15</v>
      </c>
      <c r="F163" t="s">
        <v>5</v>
      </c>
      <c r="G163" t="s">
        <v>338</v>
      </c>
      <c r="H163" t="s">
        <v>339</v>
      </c>
      <c r="I163" t="s">
        <v>11</v>
      </c>
      <c r="J163" t="s">
        <v>4</v>
      </c>
    </row>
    <row r="164" spans="1:10" x14ac:dyDescent="0.3">
      <c r="A164" s="36" t="s">
        <v>506</v>
      </c>
      <c r="B164" s="37">
        <v>1</v>
      </c>
      <c r="C164" t="s">
        <v>1050</v>
      </c>
      <c r="D164" s="36" t="s">
        <v>8</v>
      </c>
      <c r="E164" s="36"/>
      <c r="F164" s="36" t="s">
        <v>17</v>
      </c>
      <c r="G164" s="36"/>
      <c r="H164" s="36"/>
      <c r="I164" s="36" t="s">
        <v>18</v>
      </c>
      <c r="J164" s="36" t="s">
        <v>337</v>
      </c>
    </row>
    <row r="165" spans="1:10" ht="15.6" x14ac:dyDescent="0.3">
      <c r="A165" s="2" t="s">
        <v>503</v>
      </c>
      <c r="B165" s="6">
        <v>1.00057</v>
      </c>
      <c r="C165" t="s">
        <v>1050</v>
      </c>
      <c r="D165" t="s">
        <v>8</v>
      </c>
      <c r="F165" s="36" t="s">
        <v>20</v>
      </c>
      <c r="G165" t="s">
        <v>18</v>
      </c>
      <c r="I165" s="36"/>
      <c r="J165" s="2" t="s">
        <v>381</v>
      </c>
    </row>
    <row r="166" spans="1:10" x14ac:dyDescent="0.3">
      <c r="A166" s="36" t="s">
        <v>28</v>
      </c>
      <c r="B166" s="37">
        <v>6.7000000000000002E-3</v>
      </c>
      <c r="C166" t="s">
        <v>1051</v>
      </c>
      <c r="D166" s="36" t="s">
        <v>29</v>
      </c>
      <c r="E166" s="36"/>
      <c r="F166" s="36" t="s">
        <v>20</v>
      </c>
      <c r="G166" s="36"/>
      <c r="H166" s="36"/>
      <c r="I166" s="36"/>
      <c r="J166" s="36" t="s">
        <v>30</v>
      </c>
    </row>
    <row r="167" spans="1:10" x14ac:dyDescent="0.3">
      <c r="A167" s="36" t="s">
        <v>340</v>
      </c>
      <c r="B167" s="37">
        <v>-1.6799999999999999E-4</v>
      </c>
      <c r="C167" s="36" t="s">
        <v>31</v>
      </c>
      <c r="D167" s="36" t="s">
        <v>8</v>
      </c>
      <c r="E167" s="36"/>
      <c r="F167" s="36" t="s">
        <v>20</v>
      </c>
      <c r="G167" s="36"/>
      <c r="H167" s="36"/>
      <c r="I167" s="36"/>
      <c r="J167" s="36" t="s">
        <v>341</v>
      </c>
    </row>
    <row r="168" spans="1:10" x14ac:dyDescent="0.3">
      <c r="A168" s="36" t="s">
        <v>342</v>
      </c>
      <c r="B168" s="37">
        <v>5.8399999999999999E-4</v>
      </c>
      <c r="C168" s="36" t="s">
        <v>31</v>
      </c>
      <c r="D168" s="36" t="s">
        <v>19</v>
      </c>
      <c r="E168" s="36"/>
      <c r="F168" s="36" t="s">
        <v>20</v>
      </c>
      <c r="G168" s="36"/>
      <c r="H168" s="36"/>
      <c r="I168" s="36"/>
      <c r="J168" s="36" t="s">
        <v>343</v>
      </c>
    </row>
    <row r="169" spans="1:10" x14ac:dyDescent="0.3">
      <c r="A169" s="36" t="s">
        <v>344</v>
      </c>
      <c r="B169" s="37">
        <v>2.5999999999999998E-10</v>
      </c>
      <c r="C169" s="36" t="s">
        <v>31</v>
      </c>
      <c r="D169" s="36" t="s">
        <v>7</v>
      </c>
      <c r="E169" s="36"/>
      <c r="F169" s="36" t="s">
        <v>20</v>
      </c>
      <c r="G169" s="36"/>
      <c r="H169" s="36"/>
      <c r="I169" s="36"/>
      <c r="J169" s="36" t="s">
        <v>345</v>
      </c>
    </row>
    <row r="170" spans="1:10" x14ac:dyDescent="0.3">
      <c r="A170" s="36" t="s">
        <v>346</v>
      </c>
      <c r="B170" s="37">
        <v>-6.2700000000000001E-6</v>
      </c>
      <c r="C170" s="36" t="s">
        <v>31</v>
      </c>
      <c r="D170" s="36" t="s">
        <v>8</v>
      </c>
      <c r="E170" s="36"/>
      <c r="F170" s="36" t="s">
        <v>20</v>
      </c>
      <c r="G170" s="36"/>
      <c r="H170" s="36"/>
      <c r="I170" s="36"/>
      <c r="J170" s="36" t="s">
        <v>347</v>
      </c>
    </row>
    <row r="171" spans="1:10" x14ac:dyDescent="0.3">
      <c r="A171" s="36" t="s">
        <v>348</v>
      </c>
      <c r="B171" s="37">
        <v>-7.4999999999999993E-5</v>
      </c>
      <c r="C171" s="36" t="s">
        <v>31</v>
      </c>
      <c r="D171" s="36" t="s">
        <v>121</v>
      </c>
      <c r="E171" s="36"/>
      <c r="F171" s="36" t="s">
        <v>20</v>
      </c>
      <c r="G171" s="36"/>
      <c r="H171" s="36"/>
      <c r="I171" s="36"/>
      <c r="J171" s="36" t="s">
        <v>349</v>
      </c>
    </row>
    <row r="172" spans="1:10" x14ac:dyDescent="0.3">
      <c r="A172" s="36" t="s">
        <v>350</v>
      </c>
      <c r="B172" s="37">
        <v>6.8900000000000005E-4</v>
      </c>
      <c r="C172" s="36" t="s">
        <v>31</v>
      </c>
      <c r="D172" s="36" t="s">
        <v>8</v>
      </c>
      <c r="E172" s="36"/>
      <c r="F172" s="36" t="s">
        <v>20</v>
      </c>
      <c r="G172" s="36"/>
      <c r="H172" s="36"/>
      <c r="I172" s="36"/>
      <c r="J172" s="36" t="s">
        <v>351</v>
      </c>
    </row>
    <row r="173" spans="1:10" x14ac:dyDescent="0.3">
      <c r="A173" s="36" t="s">
        <v>100</v>
      </c>
      <c r="B173" s="37">
        <v>3.3599999999999998E-2</v>
      </c>
      <c r="C173" s="36" t="s">
        <v>31</v>
      </c>
      <c r="D173" s="36" t="s">
        <v>41</v>
      </c>
      <c r="E173" s="36"/>
      <c r="F173" s="36" t="s">
        <v>20</v>
      </c>
      <c r="G173" s="36"/>
      <c r="H173" s="36"/>
      <c r="I173" s="36"/>
      <c r="J173" s="36" t="s">
        <v>103</v>
      </c>
    </row>
    <row r="174" spans="1:10" x14ac:dyDescent="0.3">
      <c r="A174" s="36" t="s">
        <v>352</v>
      </c>
      <c r="B174" s="37">
        <v>3.2599999999999997E-2</v>
      </c>
      <c r="C174" s="36" t="s">
        <v>581</v>
      </c>
      <c r="D174" s="36" t="s">
        <v>41</v>
      </c>
      <c r="E174" s="36"/>
      <c r="F174" s="36" t="s">
        <v>20</v>
      </c>
      <c r="G174" s="36"/>
      <c r="H174" s="36"/>
      <c r="I174" s="36"/>
      <c r="J174" s="36" t="s">
        <v>353</v>
      </c>
    </row>
    <row r="175" spans="1:10" x14ac:dyDescent="0.3">
      <c r="A175" s="36" t="s">
        <v>354</v>
      </c>
      <c r="B175" s="37">
        <v>-6.8899999999999999E-7</v>
      </c>
      <c r="C175" s="36" t="s">
        <v>31</v>
      </c>
      <c r="D175" s="36" t="s">
        <v>121</v>
      </c>
      <c r="E175" s="36"/>
      <c r="F175" s="36" t="s">
        <v>20</v>
      </c>
      <c r="G175" s="36"/>
      <c r="H175" s="36"/>
      <c r="I175" s="36"/>
      <c r="J175" s="36" t="s">
        <v>355</v>
      </c>
    </row>
    <row r="176" spans="1:10" x14ac:dyDescent="0.3">
      <c r="A176" s="36"/>
      <c r="B176" s="37"/>
      <c r="C176" s="36"/>
      <c r="D176" s="36"/>
      <c r="E176" s="36"/>
      <c r="F176" s="36"/>
      <c r="G176" s="36"/>
      <c r="H176" s="36"/>
      <c r="I176" s="36"/>
      <c r="J176" s="36"/>
    </row>
    <row r="177" spans="1:8" ht="15.6" x14ac:dyDescent="0.3">
      <c r="A177" s="1" t="s">
        <v>1</v>
      </c>
      <c r="B177" s="73" t="s">
        <v>64</v>
      </c>
    </row>
    <row r="178" spans="1:8" x14ac:dyDescent="0.3">
      <c r="A178" t="s">
        <v>2</v>
      </c>
      <c r="B178" s="6" t="s">
        <v>1050</v>
      </c>
    </row>
    <row r="179" spans="1:8" x14ac:dyDescent="0.3">
      <c r="A179" t="s">
        <v>3</v>
      </c>
      <c r="B179" s="6">
        <v>1</v>
      </c>
    </row>
    <row r="180" spans="1:8" ht="15.6" x14ac:dyDescent="0.3">
      <c r="A180" t="s">
        <v>4</v>
      </c>
      <c r="B180" s="74" t="s">
        <v>59</v>
      </c>
    </row>
    <row r="181" spans="1:8" x14ac:dyDescent="0.3">
      <c r="A181" t="s">
        <v>5</v>
      </c>
      <c r="B181" s="6" t="s">
        <v>6</v>
      </c>
    </row>
    <row r="182" spans="1:8" x14ac:dyDescent="0.3">
      <c r="A182" t="s">
        <v>7</v>
      </c>
      <c r="B182" s="6" t="s">
        <v>8</v>
      </c>
    </row>
    <row r="183" spans="1:8" x14ac:dyDescent="0.3">
      <c r="A183" t="s">
        <v>9</v>
      </c>
      <c r="B183" s="6" t="s">
        <v>10</v>
      </c>
    </row>
    <row r="184" spans="1:8" x14ac:dyDescent="0.3">
      <c r="A184" t="s">
        <v>11</v>
      </c>
      <c r="B184" s="6" t="s">
        <v>218</v>
      </c>
    </row>
    <row r="185" spans="1:8" x14ac:dyDescent="0.3">
      <c r="A185" t="s">
        <v>850</v>
      </c>
      <c r="B185" s="5">
        <f>Summary!R7</f>
        <v>16.805985431099998</v>
      </c>
    </row>
    <row r="186" spans="1:8" x14ac:dyDescent="0.3">
      <c r="A186" t="s">
        <v>856</v>
      </c>
      <c r="B186" s="78">
        <f>Summary!Q7</f>
        <v>0.12</v>
      </c>
    </row>
    <row r="187" spans="1:8" ht="15.6" x14ac:dyDescent="0.3">
      <c r="A187" s="1" t="s">
        <v>12</v>
      </c>
    </row>
    <row r="188" spans="1:8" x14ac:dyDescent="0.3">
      <c r="A188" t="s">
        <v>13</v>
      </c>
      <c r="B188" s="6" t="s">
        <v>14</v>
      </c>
      <c r="C188" t="s">
        <v>2</v>
      </c>
      <c r="D188" t="s">
        <v>7</v>
      </c>
      <c r="E188" t="s">
        <v>15</v>
      </c>
      <c r="F188" t="s">
        <v>5</v>
      </c>
      <c r="G188" t="s">
        <v>11</v>
      </c>
      <c r="H188" t="s">
        <v>4</v>
      </c>
    </row>
    <row r="189" spans="1:8" ht="15.6" x14ac:dyDescent="0.3">
      <c r="A189" s="2" t="s">
        <v>64</v>
      </c>
      <c r="B189" s="6">
        <v>1</v>
      </c>
      <c r="C189" t="s">
        <v>1050</v>
      </c>
      <c r="D189" t="s">
        <v>8</v>
      </c>
      <c r="F189" t="s">
        <v>17</v>
      </c>
      <c r="G189" t="s">
        <v>18</v>
      </c>
      <c r="H189" s="2" t="s">
        <v>59</v>
      </c>
    </row>
    <row r="190" spans="1:8" x14ac:dyDescent="0.3">
      <c r="A190" t="s">
        <v>22</v>
      </c>
      <c r="B190" s="6">
        <f>268597*Parameters!B3/1000</f>
        <v>0.28338484957229998</v>
      </c>
      <c r="C190" t="s">
        <v>26</v>
      </c>
      <c r="D190" t="s">
        <v>19</v>
      </c>
      <c r="F190" t="s">
        <v>20</v>
      </c>
      <c r="G190" t="s">
        <v>60</v>
      </c>
      <c r="H190" t="s">
        <v>23</v>
      </c>
    </row>
    <row r="191" spans="1:8" x14ac:dyDescent="0.3">
      <c r="A191" t="s">
        <v>352</v>
      </c>
      <c r="B191" s="6">
        <f>50*Parameters!$B$7/1000</f>
        <v>8.0500000000000002E-2</v>
      </c>
      <c r="C191" t="s">
        <v>581</v>
      </c>
      <c r="D191" t="s">
        <v>41</v>
      </c>
      <c r="F191" t="s">
        <v>20</v>
      </c>
      <c r="G191" t="s">
        <v>73</v>
      </c>
      <c r="H191" t="s">
        <v>353</v>
      </c>
    </row>
    <row r="192" spans="1:8" x14ac:dyDescent="0.3">
      <c r="A192" t="s">
        <v>42</v>
      </c>
      <c r="B192" s="6">
        <f>1.97/1000</f>
        <v>1.97E-3</v>
      </c>
      <c r="C192" t="s">
        <v>1051</v>
      </c>
      <c r="D192" t="s">
        <v>8</v>
      </c>
      <c r="F192" t="s">
        <v>20</v>
      </c>
      <c r="H192" t="s">
        <v>43</v>
      </c>
    </row>
    <row r="193" spans="1:8" x14ac:dyDescent="0.3">
      <c r="A193" t="s">
        <v>44</v>
      </c>
      <c r="B193" s="6">
        <f>0.591/1000</f>
        <v>5.9099999999999995E-4</v>
      </c>
      <c r="C193" t="s">
        <v>1051</v>
      </c>
      <c r="D193" t="s">
        <v>8</v>
      </c>
      <c r="F193" t="s">
        <v>20</v>
      </c>
      <c r="H193" t="s">
        <v>45</v>
      </c>
    </row>
    <row r="194" spans="1:8" x14ac:dyDescent="0.3">
      <c r="A194" t="s">
        <v>46</v>
      </c>
      <c r="B194" s="6">
        <f>0.5225/1000</f>
        <v>5.2249999999999996E-4</v>
      </c>
      <c r="C194" t="s">
        <v>1051</v>
      </c>
      <c r="D194" t="s">
        <v>8</v>
      </c>
      <c r="F194" t="s">
        <v>20</v>
      </c>
      <c r="H194" t="s">
        <v>47</v>
      </c>
    </row>
    <row r="195" spans="1:8" x14ac:dyDescent="0.3">
      <c r="A195" s="7" t="s">
        <v>48</v>
      </c>
      <c r="B195" s="6">
        <f>23.237/1000</f>
        <v>2.3236999999999997E-2</v>
      </c>
      <c r="C195" t="s">
        <v>26</v>
      </c>
      <c r="D195" t="s">
        <v>8</v>
      </c>
      <c r="F195" t="s">
        <v>20</v>
      </c>
      <c r="H195" s="7" t="s">
        <v>49</v>
      </c>
    </row>
    <row r="196" spans="1:8" x14ac:dyDescent="0.3">
      <c r="A196" t="s">
        <v>105</v>
      </c>
      <c r="B196" s="6">
        <f>11.76*1.14/1000/1000</f>
        <v>1.3406399999999998E-5</v>
      </c>
      <c r="C196" t="s">
        <v>26</v>
      </c>
      <c r="D196" t="s">
        <v>8</v>
      </c>
      <c r="F196" t="s">
        <v>20</v>
      </c>
      <c r="G196" t="s">
        <v>52</v>
      </c>
      <c r="H196" t="s">
        <v>106</v>
      </c>
    </row>
    <row r="197" spans="1:8" x14ac:dyDescent="0.3">
      <c r="A197" t="s">
        <v>50</v>
      </c>
      <c r="B197" s="6">
        <f>61.7*1.14/1000/1000</f>
        <v>7.0338000000000003E-5</v>
      </c>
      <c r="C197" t="s">
        <v>26</v>
      </c>
      <c r="D197" t="s">
        <v>8</v>
      </c>
      <c r="F197" t="s">
        <v>20</v>
      </c>
      <c r="G197" t="s">
        <v>51</v>
      </c>
      <c r="H197" t="s">
        <v>53</v>
      </c>
    </row>
    <row r="198" spans="1:8" x14ac:dyDescent="0.3">
      <c r="A198" t="s">
        <v>187</v>
      </c>
      <c r="B198" s="6">
        <v>4.5800000000000002E-6</v>
      </c>
      <c r="C198" t="s">
        <v>26</v>
      </c>
      <c r="D198" t="s">
        <v>119</v>
      </c>
      <c r="F198" t="s">
        <v>20</v>
      </c>
      <c r="G198" t="s">
        <v>216</v>
      </c>
      <c r="H198" t="s">
        <v>188</v>
      </c>
    </row>
    <row r="199" spans="1:8" x14ac:dyDescent="0.3">
      <c r="A199" t="s">
        <v>181</v>
      </c>
      <c r="B199" s="6">
        <v>9.1700000000000003E-6</v>
      </c>
      <c r="C199" t="s">
        <v>26</v>
      </c>
      <c r="D199" t="s">
        <v>119</v>
      </c>
      <c r="F199" t="s">
        <v>20</v>
      </c>
      <c r="G199" t="s">
        <v>216</v>
      </c>
      <c r="H199" t="s">
        <v>182</v>
      </c>
    </row>
    <row r="200" spans="1:8" x14ac:dyDescent="0.3">
      <c r="A200" t="s">
        <v>185</v>
      </c>
      <c r="B200" s="6">
        <v>3.6699999999999998E-5</v>
      </c>
      <c r="C200" t="s">
        <v>26</v>
      </c>
      <c r="D200" t="s">
        <v>119</v>
      </c>
      <c r="F200" t="s">
        <v>20</v>
      </c>
      <c r="G200" t="s">
        <v>216</v>
      </c>
      <c r="H200" t="s">
        <v>186</v>
      </c>
    </row>
    <row r="201" spans="1:8" x14ac:dyDescent="0.3">
      <c r="A201" t="s">
        <v>207</v>
      </c>
      <c r="B201" s="6">
        <v>9.1700000000000006E-5</v>
      </c>
      <c r="C201" t="s">
        <v>26</v>
      </c>
      <c r="D201" t="s">
        <v>8</v>
      </c>
      <c r="F201" t="s">
        <v>20</v>
      </c>
      <c r="G201" t="s">
        <v>216</v>
      </c>
      <c r="H201" t="s">
        <v>208</v>
      </c>
    </row>
    <row r="202" spans="1:8" x14ac:dyDescent="0.3">
      <c r="A202" t="s">
        <v>325</v>
      </c>
      <c r="B202" s="6">
        <f>(1.791+5.03)/1000</f>
        <v>6.8209999999999998E-3</v>
      </c>
      <c r="D202" t="s">
        <v>8</v>
      </c>
      <c r="E202" t="s">
        <v>37</v>
      </c>
      <c r="F202" t="s">
        <v>36</v>
      </c>
      <c r="G202" t="s">
        <v>997</v>
      </c>
    </row>
    <row r="203" spans="1:8" x14ac:dyDescent="0.3">
      <c r="A203" t="s">
        <v>994</v>
      </c>
      <c r="B203" s="6">
        <f>27.433/1000000</f>
        <v>2.7433E-5</v>
      </c>
      <c r="D203" t="s">
        <v>8</v>
      </c>
      <c r="E203" t="s">
        <v>37</v>
      </c>
      <c r="F203" t="s">
        <v>36</v>
      </c>
      <c r="G203" t="s">
        <v>998</v>
      </c>
    </row>
    <row r="204" spans="1:8" x14ac:dyDescent="0.3">
      <c r="A204" t="s">
        <v>40</v>
      </c>
      <c r="B204" s="6">
        <f>41.009/1000000</f>
        <v>4.1009E-5</v>
      </c>
      <c r="D204" t="s">
        <v>8</v>
      </c>
      <c r="E204" t="s">
        <v>37</v>
      </c>
      <c r="F204" t="s">
        <v>36</v>
      </c>
      <c r="G204" t="s">
        <v>999</v>
      </c>
    </row>
    <row r="205" spans="1:8" x14ac:dyDescent="0.3">
      <c r="A205" t="s">
        <v>127</v>
      </c>
      <c r="B205" s="6">
        <v>3.3464999999999999E-5</v>
      </c>
      <c r="D205" t="s">
        <v>8</v>
      </c>
      <c r="E205" t="s">
        <v>169</v>
      </c>
      <c r="F205" t="s">
        <v>36</v>
      </c>
      <c r="G205" t="s">
        <v>216</v>
      </c>
    </row>
    <row r="206" spans="1:8" x14ac:dyDescent="0.3">
      <c r="A206" t="s">
        <v>148</v>
      </c>
      <c r="B206" s="6">
        <v>-3.0948E-8</v>
      </c>
      <c r="D206" t="s">
        <v>8</v>
      </c>
      <c r="E206" t="s">
        <v>170</v>
      </c>
      <c r="F206" t="s">
        <v>36</v>
      </c>
      <c r="G206" t="s">
        <v>216</v>
      </c>
    </row>
    <row r="207" spans="1:8" x14ac:dyDescent="0.3">
      <c r="A207" t="s">
        <v>198</v>
      </c>
      <c r="B207" s="6">
        <v>1.5651999999999999E-10</v>
      </c>
      <c r="D207" t="s">
        <v>8</v>
      </c>
      <c r="E207" t="s">
        <v>171</v>
      </c>
      <c r="F207" t="s">
        <v>36</v>
      </c>
      <c r="G207" t="s">
        <v>216</v>
      </c>
    </row>
    <row r="208" spans="1:8" x14ac:dyDescent="0.3">
      <c r="A208" t="s">
        <v>198</v>
      </c>
      <c r="B208" s="6">
        <v>1.5720999999999999E-10</v>
      </c>
      <c r="D208" t="s">
        <v>8</v>
      </c>
      <c r="E208" t="s">
        <v>179</v>
      </c>
      <c r="F208" t="s">
        <v>36</v>
      </c>
      <c r="G208" t="s">
        <v>216</v>
      </c>
    </row>
    <row r="209" spans="1:7" x14ac:dyDescent="0.3">
      <c r="A209" t="s">
        <v>1046</v>
      </c>
      <c r="B209" s="6">
        <f>0.501*(44/12)*0.85</f>
        <v>1.56145</v>
      </c>
      <c r="D209" t="s">
        <v>8</v>
      </c>
      <c r="E209" t="s">
        <v>1047</v>
      </c>
      <c r="F209" t="s">
        <v>36</v>
      </c>
      <c r="G209" s="8" t="s">
        <v>367</v>
      </c>
    </row>
    <row r="210" spans="1:7" x14ac:dyDescent="0.3">
      <c r="A210" t="s">
        <v>145</v>
      </c>
      <c r="B210" s="6">
        <v>3.0170999999999999E-6</v>
      </c>
      <c r="D210" t="s">
        <v>8</v>
      </c>
      <c r="E210" t="s">
        <v>170</v>
      </c>
      <c r="F210" t="s">
        <v>36</v>
      </c>
      <c r="G210" t="s">
        <v>216</v>
      </c>
    </row>
    <row r="211" spans="1:7" x14ac:dyDescent="0.3">
      <c r="A211" t="s">
        <v>199</v>
      </c>
      <c r="B211" s="6">
        <v>5.8163000000000003E-8</v>
      </c>
      <c r="D211" t="s">
        <v>8</v>
      </c>
      <c r="E211" t="s">
        <v>171</v>
      </c>
      <c r="F211" t="s">
        <v>36</v>
      </c>
      <c r="G211" t="s">
        <v>216</v>
      </c>
    </row>
    <row r="212" spans="1:7" x14ac:dyDescent="0.3">
      <c r="A212" t="s">
        <v>199</v>
      </c>
      <c r="B212" s="6">
        <v>2.4666000000000001E-7</v>
      </c>
      <c r="D212" t="s">
        <v>8</v>
      </c>
      <c r="E212" t="s">
        <v>179</v>
      </c>
      <c r="F212" t="s">
        <v>36</v>
      </c>
      <c r="G212" t="s">
        <v>216</v>
      </c>
    </row>
    <row r="213" spans="1:7" x14ac:dyDescent="0.3">
      <c r="A213" t="s">
        <v>132</v>
      </c>
      <c r="B213" s="6">
        <v>-1.2501999999999999E-6</v>
      </c>
      <c r="D213" t="s">
        <v>8</v>
      </c>
      <c r="E213" t="s">
        <v>170</v>
      </c>
      <c r="F213" t="s">
        <v>36</v>
      </c>
      <c r="G213" t="s">
        <v>216</v>
      </c>
    </row>
    <row r="214" spans="1:7" x14ac:dyDescent="0.3">
      <c r="A214" t="s">
        <v>200</v>
      </c>
      <c r="B214" s="6">
        <v>6.0438000000000002E-8</v>
      </c>
      <c r="D214" t="s">
        <v>8</v>
      </c>
      <c r="E214" t="s">
        <v>171</v>
      </c>
      <c r="F214" t="s">
        <v>36</v>
      </c>
      <c r="G214" t="s">
        <v>216</v>
      </c>
    </row>
    <row r="215" spans="1:7" x14ac:dyDescent="0.3">
      <c r="A215" t="s">
        <v>200</v>
      </c>
      <c r="B215" s="6">
        <v>5.2185E-8</v>
      </c>
      <c r="D215" t="s">
        <v>8</v>
      </c>
      <c r="E215" t="s">
        <v>179</v>
      </c>
      <c r="F215" t="s">
        <v>36</v>
      </c>
      <c r="G215" t="s">
        <v>216</v>
      </c>
    </row>
    <row r="216" spans="1:7" x14ac:dyDescent="0.3">
      <c r="A216" t="s">
        <v>212</v>
      </c>
      <c r="B216" s="6">
        <v>6.8807000000000005E-7</v>
      </c>
      <c r="D216" t="s">
        <v>8</v>
      </c>
      <c r="E216" t="s">
        <v>170</v>
      </c>
      <c r="F216" t="s">
        <v>36</v>
      </c>
      <c r="G216" t="s">
        <v>216</v>
      </c>
    </row>
    <row r="217" spans="1:7" x14ac:dyDescent="0.3">
      <c r="A217" t="s">
        <v>108</v>
      </c>
      <c r="B217" s="6">
        <f>19.38*0.85</f>
        <v>16.472999999999999</v>
      </c>
      <c r="D217" t="s">
        <v>19</v>
      </c>
      <c r="E217" t="s">
        <v>112</v>
      </c>
      <c r="F217" t="s">
        <v>36</v>
      </c>
      <c r="G217" s="8" t="s">
        <v>367</v>
      </c>
    </row>
    <row r="218" spans="1:7" x14ac:dyDescent="0.3">
      <c r="A218" t="s">
        <v>213</v>
      </c>
      <c r="B218" s="6">
        <v>1.7202000000000001E-6</v>
      </c>
      <c r="D218" t="s">
        <v>8</v>
      </c>
      <c r="E218" t="s">
        <v>170</v>
      </c>
      <c r="F218" t="s">
        <v>36</v>
      </c>
      <c r="G218" t="s">
        <v>216</v>
      </c>
    </row>
    <row r="219" spans="1:7" x14ac:dyDescent="0.3">
      <c r="A219" t="s">
        <v>155</v>
      </c>
      <c r="B219" s="6">
        <v>8.2661000000000004E-6</v>
      </c>
      <c r="D219" t="s">
        <v>8</v>
      </c>
      <c r="E219" t="s">
        <v>170</v>
      </c>
      <c r="F219" t="s">
        <v>36</v>
      </c>
      <c r="G219" t="s">
        <v>216</v>
      </c>
    </row>
    <row r="220" spans="1:7" x14ac:dyDescent="0.3">
      <c r="A220" t="s">
        <v>168</v>
      </c>
      <c r="B220" s="6">
        <v>1.8898999999999999E-9</v>
      </c>
      <c r="D220" t="s">
        <v>8</v>
      </c>
      <c r="E220" t="s">
        <v>179</v>
      </c>
      <c r="F220" t="s">
        <v>36</v>
      </c>
      <c r="G220" t="s">
        <v>216</v>
      </c>
    </row>
    <row r="221" spans="1:7" x14ac:dyDescent="0.3">
      <c r="A221" t="s">
        <v>168</v>
      </c>
      <c r="B221" s="6">
        <v>1.274E-8</v>
      </c>
      <c r="D221" t="s">
        <v>8</v>
      </c>
      <c r="E221" t="s">
        <v>171</v>
      </c>
      <c r="F221" t="s">
        <v>36</v>
      </c>
      <c r="G221" t="s">
        <v>216</v>
      </c>
    </row>
    <row r="222" spans="1:7" x14ac:dyDescent="0.3">
      <c r="A222" t="s">
        <v>168</v>
      </c>
      <c r="B222" s="6">
        <v>3.9080999999999998E-8</v>
      </c>
      <c r="D222" t="s">
        <v>8</v>
      </c>
      <c r="E222" t="s">
        <v>170</v>
      </c>
      <c r="F222" t="s">
        <v>36</v>
      </c>
      <c r="G222" t="s">
        <v>216</v>
      </c>
    </row>
    <row r="223" spans="1:7" x14ac:dyDescent="0.3">
      <c r="A223" t="s">
        <v>201</v>
      </c>
      <c r="B223" s="6">
        <v>8.7036000000000004E-13</v>
      </c>
      <c r="D223" t="s">
        <v>8</v>
      </c>
      <c r="E223" t="s">
        <v>171</v>
      </c>
      <c r="F223" t="s">
        <v>36</v>
      </c>
      <c r="G223" t="s">
        <v>216</v>
      </c>
    </row>
    <row r="224" spans="1:7" x14ac:dyDescent="0.3">
      <c r="A224" t="s">
        <v>201</v>
      </c>
      <c r="B224" s="6">
        <v>6.4951000000000003E-13</v>
      </c>
      <c r="D224" t="s">
        <v>8</v>
      </c>
      <c r="E224" t="s">
        <v>179</v>
      </c>
      <c r="F224" t="s">
        <v>36</v>
      </c>
      <c r="G224" t="s">
        <v>216</v>
      </c>
    </row>
    <row r="225" spans="1:7" x14ac:dyDescent="0.3">
      <c r="A225" t="s">
        <v>201</v>
      </c>
      <c r="B225" s="6">
        <v>1.3905E-12</v>
      </c>
      <c r="D225" t="s">
        <v>8</v>
      </c>
      <c r="E225" t="s">
        <v>170</v>
      </c>
      <c r="F225" t="s">
        <v>36</v>
      </c>
      <c r="G225" t="s">
        <v>216</v>
      </c>
    </row>
    <row r="226" spans="1:7" x14ac:dyDescent="0.3">
      <c r="A226" t="s">
        <v>138</v>
      </c>
      <c r="B226" s="6">
        <v>6.4755E-8</v>
      </c>
      <c r="D226" t="s">
        <v>8</v>
      </c>
      <c r="E226" t="s">
        <v>170</v>
      </c>
      <c r="F226" t="s">
        <v>36</v>
      </c>
      <c r="G226" t="s">
        <v>216</v>
      </c>
    </row>
    <row r="227" spans="1:7" x14ac:dyDescent="0.3">
      <c r="A227" t="s">
        <v>202</v>
      </c>
      <c r="B227" s="6">
        <v>4.8989000000000003E-8</v>
      </c>
      <c r="D227" t="s">
        <v>8</v>
      </c>
      <c r="E227" t="s">
        <v>171</v>
      </c>
      <c r="F227" t="s">
        <v>36</v>
      </c>
      <c r="G227" t="s">
        <v>216</v>
      </c>
    </row>
    <row r="228" spans="1:7" x14ac:dyDescent="0.3">
      <c r="A228" t="s">
        <v>172</v>
      </c>
      <c r="B228" s="6">
        <v>4.3628E-3</v>
      </c>
      <c r="D228" t="s">
        <v>8</v>
      </c>
      <c r="E228" t="s">
        <v>179</v>
      </c>
      <c r="F228" t="s">
        <v>36</v>
      </c>
      <c r="G228" t="s">
        <v>216</v>
      </c>
    </row>
    <row r="229" spans="1:7" x14ac:dyDescent="0.3">
      <c r="A229" t="s">
        <v>38</v>
      </c>
      <c r="B229" s="6">
        <v>7.0705000000000003E-6</v>
      </c>
      <c r="D229" t="s">
        <v>8</v>
      </c>
      <c r="E229" t="s">
        <v>169</v>
      </c>
      <c r="F229" t="s">
        <v>36</v>
      </c>
      <c r="G229" t="s">
        <v>216</v>
      </c>
    </row>
    <row r="230" spans="1:7" x14ac:dyDescent="0.3">
      <c r="A230" t="s">
        <v>203</v>
      </c>
      <c r="B230" s="6">
        <v>0.92522000000000004</v>
      </c>
      <c r="D230" t="s">
        <v>113</v>
      </c>
      <c r="E230" t="s">
        <v>114</v>
      </c>
      <c r="F230" t="s">
        <v>36</v>
      </c>
      <c r="G230" t="s">
        <v>216</v>
      </c>
    </row>
    <row r="231" spans="1:7" x14ac:dyDescent="0.3">
      <c r="A231" t="s">
        <v>174</v>
      </c>
      <c r="B231" s="6">
        <v>1.9848E-5</v>
      </c>
      <c r="D231" t="s">
        <v>8</v>
      </c>
      <c r="E231" t="s">
        <v>179</v>
      </c>
      <c r="F231" t="s">
        <v>36</v>
      </c>
      <c r="G231" t="s">
        <v>216</v>
      </c>
    </row>
    <row r="232" spans="1:7" x14ac:dyDescent="0.3">
      <c r="A232" t="s">
        <v>174</v>
      </c>
      <c r="B232" s="6">
        <v>7.4398000000000002E-5</v>
      </c>
      <c r="D232" t="s">
        <v>8</v>
      </c>
      <c r="E232" t="s">
        <v>171</v>
      </c>
      <c r="F232" t="s">
        <v>36</v>
      </c>
      <c r="G232" t="s">
        <v>216</v>
      </c>
    </row>
    <row r="233" spans="1:7" x14ac:dyDescent="0.3">
      <c r="A233" t="s">
        <v>173</v>
      </c>
      <c r="B233" s="6">
        <v>1.8232000000000001E-5</v>
      </c>
      <c r="D233" t="s">
        <v>8</v>
      </c>
      <c r="E233" t="s">
        <v>171</v>
      </c>
      <c r="F233" t="s">
        <v>36</v>
      </c>
      <c r="G233" t="s">
        <v>216</v>
      </c>
    </row>
    <row r="234" spans="1:7" x14ac:dyDescent="0.3">
      <c r="A234" t="s">
        <v>204</v>
      </c>
      <c r="B234" s="6">
        <v>4.5872000000000003E-2</v>
      </c>
      <c r="D234" t="s">
        <v>115</v>
      </c>
      <c r="E234" t="s">
        <v>114</v>
      </c>
      <c r="F234" t="s">
        <v>36</v>
      </c>
      <c r="G234" t="s">
        <v>216</v>
      </c>
    </row>
    <row r="235" spans="1:7" x14ac:dyDescent="0.3">
      <c r="A235" t="s">
        <v>205</v>
      </c>
      <c r="B235" s="6">
        <v>4.5872000000000003E-2</v>
      </c>
      <c r="D235" t="s">
        <v>115</v>
      </c>
      <c r="E235" t="s">
        <v>114</v>
      </c>
      <c r="F235" t="s">
        <v>36</v>
      </c>
      <c r="G235" t="s">
        <v>216</v>
      </c>
    </row>
    <row r="236" spans="1:7" x14ac:dyDescent="0.3">
      <c r="A236" t="s">
        <v>142</v>
      </c>
      <c r="B236" s="6">
        <v>-8.3893999999999997E-6</v>
      </c>
      <c r="D236" t="s">
        <v>8</v>
      </c>
      <c r="E236" t="s">
        <v>170</v>
      </c>
      <c r="F236" t="s">
        <v>36</v>
      </c>
      <c r="G236" t="s">
        <v>216</v>
      </c>
    </row>
    <row r="237" spans="1:7" x14ac:dyDescent="0.3">
      <c r="A237" t="s">
        <v>206</v>
      </c>
      <c r="B237" s="6">
        <v>1.5839999999999999E-7</v>
      </c>
      <c r="D237" t="s">
        <v>8</v>
      </c>
      <c r="E237" t="s">
        <v>179</v>
      </c>
      <c r="F237" t="s">
        <v>36</v>
      </c>
      <c r="G237" t="s">
        <v>216</v>
      </c>
    </row>
    <row r="238" spans="1:7" x14ac:dyDescent="0.3">
      <c r="A238" t="s">
        <v>206</v>
      </c>
      <c r="B238" s="6">
        <v>4.9386000000000003E-8</v>
      </c>
      <c r="D238" t="s">
        <v>8</v>
      </c>
      <c r="E238" t="s">
        <v>171</v>
      </c>
      <c r="F238" t="s">
        <v>36</v>
      </c>
      <c r="G238" t="s">
        <v>216</v>
      </c>
    </row>
    <row r="240" spans="1:7" ht="15.6" x14ac:dyDescent="0.3">
      <c r="A240" s="1" t="s">
        <v>1</v>
      </c>
      <c r="B240" s="73" t="s">
        <v>374</v>
      </c>
    </row>
    <row r="241" spans="1:8" x14ac:dyDescent="0.3">
      <c r="A241" t="s">
        <v>2</v>
      </c>
      <c r="B241" s="6" t="s">
        <v>1050</v>
      </c>
    </row>
    <row r="242" spans="1:8" x14ac:dyDescent="0.3">
      <c r="A242" t="s">
        <v>3</v>
      </c>
      <c r="B242" s="6">
        <v>1</v>
      </c>
    </row>
    <row r="243" spans="1:8" ht="15.6" x14ac:dyDescent="0.3">
      <c r="A243" t="s">
        <v>4</v>
      </c>
      <c r="B243" s="74" t="s">
        <v>375</v>
      </c>
    </row>
    <row r="244" spans="1:8" x14ac:dyDescent="0.3">
      <c r="A244" t="s">
        <v>5</v>
      </c>
      <c r="B244" s="6" t="s">
        <v>6</v>
      </c>
    </row>
    <row r="245" spans="1:8" x14ac:dyDescent="0.3">
      <c r="A245" t="s">
        <v>7</v>
      </c>
      <c r="B245" s="6" t="s">
        <v>8</v>
      </c>
    </row>
    <row r="246" spans="1:8" x14ac:dyDescent="0.3">
      <c r="A246" t="s">
        <v>9</v>
      </c>
      <c r="B246" s="6" t="s">
        <v>10</v>
      </c>
    </row>
    <row r="247" spans="1:8" x14ac:dyDescent="0.3">
      <c r="A247" t="s">
        <v>11</v>
      </c>
      <c r="B247" s="6" t="s">
        <v>230</v>
      </c>
    </row>
    <row r="248" spans="1:8" x14ac:dyDescent="0.3">
      <c r="A248" t="s">
        <v>497</v>
      </c>
      <c r="B248" s="72">
        <f>Summary!O92</f>
        <v>0.54468815076983446</v>
      </c>
    </row>
    <row r="249" spans="1:8" ht="15.6" x14ac:dyDescent="0.3">
      <c r="A249" s="1" t="s">
        <v>12</v>
      </c>
    </row>
    <row r="250" spans="1:8" x14ac:dyDescent="0.3">
      <c r="A250" t="s">
        <v>13</v>
      </c>
      <c r="B250" s="6" t="s">
        <v>14</v>
      </c>
      <c r="C250" t="s">
        <v>2</v>
      </c>
      <c r="D250" t="s">
        <v>7</v>
      </c>
      <c r="E250" t="s">
        <v>15</v>
      </c>
      <c r="F250" t="s">
        <v>5</v>
      </c>
      <c r="G250" t="s">
        <v>11</v>
      </c>
      <c r="H250" t="s">
        <v>4</v>
      </c>
    </row>
    <row r="251" spans="1:8" ht="15.6" x14ac:dyDescent="0.3">
      <c r="A251" s="2" t="s">
        <v>374</v>
      </c>
      <c r="B251" s="6">
        <v>1</v>
      </c>
      <c r="C251" t="s">
        <v>1050</v>
      </c>
      <c r="D251" t="s">
        <v>8</v>
      </c>
      <c r="F251" t="s">
        <v>17</v>
      </c>
      <c r="G251" t="s">
        <v>18</v>
      </c>
      <c r="H251" s="2" t="s">
        <v>375</v>
      </c>
    </row>
    <row r="252" spans="1:8" ht="15.6" x14ac:dyDescent="0.3">
      <c r="A252" s="2" t="s">
        <v>64</v>
      </c>
      <c r="B252" s="6">
        <f>(1/((Parameters!C20*Parameters!B4*Parameters!B10)/1000))*Parameters!F32</f>
        <v>3.2444757981354098</v>
      </c>
      <c r="C252" t="s">
        <v>1050</v>
      </c>
      <c r="D252" t="s">
        <v>8</v>
      </c>
      <c r="F252" t="s">
        <v>20</v>
      </c>
      <c r="G252" t="s">
        <v>18</v>
      </c>
      <c r="H252" s="2" t="s">
        <v>376</v>
      </c>
    </row>
    <row r="253" spans="1:8" ht="15.6" x14ac:dyDescent="0.3">
      <c r="A253" s="2" t="s">
        <v>221</v>
      </c>
      <c r="B253" s="6">
        <f>(337*Parameters!$B$3)/(Parameters!$B$4*Parameters!$B$10)*Parameters!F32</f>
        <v>9.8054794980372589E-2</v>
      </c>
      <c r="C253" t="s">
        <v>26</v>
      </c>
      <c r="D253" t="s">
        <v>19</v>
      </c>
      <c r="F253" t="s">
        <v>20</v>
      </c>
      <c r="H253" s="2" t="s">
        <v>222</v>
      </c>
    </row>
    <row r="254" spans="1:8" ht="15.6" x14ac:dyDescent="0.3">
      <c r="A254" s="2" t="s">
        <v>252</v>
      </c>
      <c r="B254" s="6">
        <f>((346.23/1000)/(Parameters!$B$4*Parameters!$B$10))*Parameters!$F$32</f>
        <v>9.5483462725015969E-2</v>
      </c>
      <c r="C254" t="s">
        <v>31</v>
      </c>
      <c r="D254" t="s">
        <v>8</v>
      </c>
      <c r="F254" t="s">
        <v>20</v>
      </c>
      <c r="H254" s="2" t="s">
        <v>253</v>
      </c>
    </row>
    <row r="255" spans="1:8" ht="15.6" x14ac:dyDescent="0.3">
      <c r="A255" s="2" t="s">
        <v>254</v>
      </c>
      <c r="B255" s="6">
        <f>((41.55/1000)/(Parameters!$B$4*Parameters!$B$10))*Parameters!$F$32</f>
        <v>1.1458677400064735E-2</v>
      </c>
      <c r="C255" t="s">
        <v>255</v>
      </c>
      <c r="D255" t="s">
        <v>8</v>
      </c>
      <c r="F255" t="s">
        <v>20</v>
      </c>
      <c r="H255" s="2" t="s">
        <v>256</v>
      </c>
    </row>
    <row r="256" spans="1:8" ht="15.6" x14ac:dyDescent="0.3">
      <c r="A256" s="2" t="s">
        <v>257</v>
      </c>
      <c r="B256" s="6">
        <f>((20.77/1000)/(Parameters!$B$4*Parameters!$B$10))*Parameters!$F$32</f>
        <v>5.7279597978181608E-3</v>
      </c>
      <c r="C256" t="s">
        <v>31</v>
      </c>
      <c r="D256" t="s">
        <v>8</v>
      </c>
      <c r="F256" t="s">
        <v>20</v>
      </c>
      <c r="H256" s="2" t="s">
        <v>414</v>
      </c>
    </row>
    <row r="257" spans="1:8" ht="15.6" x14ac:dyDescent="0.3">
      <c r="A257" s="2" t="s">
        <v>370</v>
      </c>
      <c r="B257" s="6">
        <f>((76.17/1000)/(Parameters!$B$4*Parameters!$B$10))*Parameters!$F$32</f>
        <v>2.1006196331237806E-2</v>
      </c>
      <c r="C257" t="s">
        <v>31</v>
      </c>
      <c r="D257" t="s">
        <v>8</v>
      </c>
      <c r="F257" t="s">
        <v>20</v>
      </c>
      <c r="H257" s="2" t="s">
        <v>371</v>
      </c>
    </row>
    <row r="258" spans="1:8" ht="15.6" x14ac:dyDescent="0.3">
      <c r="A258" s="2" t="s">
        <v>388</v>
      </c>
      <c r="B258" s="6">
        <f>((117.72/1000)/(Parameters!$B$4*Parameters!$B$10))*Parameters!$F$32</f>
        <v>3.2464873731302545E-2</v>
      </c>
      <c r="C258" t="s">
        <v>26</v>
      </c>
      <c r="D258" t="s">
        <v>8</v>
      </c>
      <c r="F258" t="s">
        <v>20</v>
      </c>
      <c r="G258" t="s">
        <v>390</v>
      </c>
      <c r="H258" s="2" t="s">
        <v>389</v>
      </c>
    </row>
    <row r="259" spans="1:8" x14ac:dyDescent="0.3">
      <c r="A259" t="s">
        <v>265</v>
      </c>
      <c r="B259" s="6">
        <f>(B209*B252)-Parameters!$B$13</f>
        <v>3.1520867349985355</v>
      </c>
      <c r="D259" t="s">
        <v>8</v>
      </c>
      <c r="E259" t="s">
        <v>37</v>
      </c>
      <c r="F259" t="s">
        <v>36</v>
      </c>
      <c r="G259" t="s">
        <v>428</v>
      </c>
    </row>
    <row r="260" spans="1:8" x14ac:dyDescent="0.3">
      <c r="A260" t="s">
        <v>306</v>
      </c>
      <c r="B260" s="6">
        <f>1/(90000000*20)</f>
        <v>5.5555555555555553E-10</v>
      </c>
      <c r="C260" t="s">
        <v>26</v>
      </c>
      <c r="D260" t="s">
        <v>7</v>
      </c>
      <c r="F260" t="s">
        <v>20</v>
      </c>
      <c r="G260" t="s">
        <v>308</v>
      </c>
      <c r="H260" t="s">
        <v>307</v>
      </c>
    </row>
    <row r="261" spans="1:8" ht="15.6" x14ac:dyDescent="0.3">
      <c r="A261" s="2"/>
      <c r="H261" s="2"/>
    </row>
    <row r="262" spans="1:8" ht="15.6" x14ac:dyDescent="0.3">
      <c r="A262" s="1" t="s">
        <v>1</v>
      </c>
      <c r="B262" s="73" t="s">
        <v>377</v>
      </c>
    </row>
    <row r="263" spans="1:8" x14ac:dyDescent="0.3">
      <c r="A263" t="s">
        <v>2</v>
      </c>
      <c r="B263" s="6" t="s">
        <v>1050</v>
      </c>
    </row>
    <row r="264" spans="1:8" x14ac:dyDescent="0.3">
      <c r="A264" t="s">
        <v>3</v>
      </c>
      <c r="B264" s="6">
        <v>1</v>
      </c>
    </row>
    <row r="265" spans="1:8" ht="15.6" x14ac:dyDescent="0.3">
      <c r="A265" t="s">
        <v>4</v>
      </c>
      <c r="B265" s="74" t="s">
        <v>375</v>
      </c>
    </row>
    <row r="266" spans="1:8" x14ac:dyDescent="0.3">
      <c r="A266" t="s">
        <v>5</v>
      </c>
      <c r="B266" s="6" t="s">
        <v>6</v>
      </c>
    </row>
    <row r="267" spans="1:8" x14ac:dyDescent="0.3">
      <c r="A267" t="s">
        <v>7</v>
      </c>
      <c r="B267" s="6" t="s">
        <v>8</v>
      </c>
    </row>
    <row r="268" spans="1:8" x14ac:dyDescent="0.3">
      <c r="A268" t="s">
        <v>9</v>
      </c>
      <c r="B268" s="6" t="s">
        <v>10</v>
      </c>
    </row>
    <row r="269" spans="1:8" x14ac:dyDescent="0.3">
      <c r="A269" t="s">
        <v>11</v>
      </c>
      <c r="B269" s="6" t="s">
        <v>373</v>
      </c>
    </row>
    <row r="270" spans="1:8" x14ac:dyDescent="0.3">
      <c r="A270" t="s">
        <v>497</v>
      </c>
      <c r="B270" s="72">
        <f>Summary!O35</f>
        <v>0.49250777209309066</v>
      </c>
    </row>
    <row r="271" spans="1:8" ht="15.6" x14ac:dyDescent="0.3">
      <c r="A271" s="1" t="s">
        <v>12</v>
      </c>
    </row>
    <row r="272" spans="1:8" x14ac:dyDescent="0.3">
      <c r="A272" t="s">
        <v>13</v>
      </c>
      <c r="B272" s="6" t="s">
        <v>14</v>
      </c>
      <c r="C272" t="s">
        <v>2</v>
      </c>
      <c r="D272" t="s">
        <v>7</v>
      </c>
      <c r="E272" t="s">
        <v>15</v>
      </c>
      <c r="F272" t="s">
        <v>5</v>
      </c>
      <c r="G272" t="s">
        <v>11</v>
      </c>
      <c r="H272" t="s">
        <v>4</v>
      </c>
    </row>
    <row r="273" spans="1:8" ht="15.6" x14ac:dyDescent="0.3">
      <c r="A273" s="2" t="s">
        <v>377</v>
      </c>
      <c r="B273" s="6">
        <v>1</v>
      </c>
      <c r="C273" t="s">
        <v>1050</v>
      </c>
      <c r="D273" t="s">
        <v>8</v>
      </c>
      <c r="F273" t="s">
        <v>17</v>
      </c>
      <c r="G273" t="s">
        <v>18</v>
      </c>
      <c r="H273" s="2" t="s">
        <v>375</v>
      </c>
    </row>
    <row r="274" spans="1:8" ht="15.6" x14ac:dyDescent="0.3">
      <c r="A274" s="2" t="s">
        <v>64</v>
      </c>
      <c r="B274" s="6">
        <f>(1/((Parameters!C20*Parameters!B4*Parameters!B10)/1000))*Parameters!G32</f>
        <v>3.5882226085354634</v>
      </c>
      <c r="C274" t="s">
        <v>1050</v>
      </c>
      <c r="D274" t="s">
        <v>8</v>
      </c>
      <c r="F274" t="s">
        <v>20</v>
      </c>
      <c r="G274" t="s">
        <v>18</v>
      </c>
      <c r="H274" s="2" t="s">
        <v>376</v>
      </c>
    </row>
    <row r="275" spans="1:8" ht="15.6" x14ac:dyDescent="0.3">
      <c r="A275" s="2" t="s">
        <v>221</v>
      </c>
      <c r="B275" s="6">
        <f>(337*Parameters!$B$3)/(Parameters!$B$4*Parameters!$B$10)*Parameters!G32</f>
        <v>0.1084435372968679</v>
      </c>
      <c r="C275" t="s">
        <v>26</v>
      </c>
      <c r="D275" t="s">
        <v>19</v>
      </c>
      <c r="F275" t="s">
        <v>20</v>
      </c>
      <c r="H275" s="2" t="s">
        <v>222</v>
      </c>
    </row>
    <row r="276" spans="1:8" ht="15.6" x14ac:dyDescent="0.3">
      <c r="A276" s="2" t="s">
        <v>252</v>
      </c>
      <c r="B276" s="6">
        <f>((346.23/1000)/(Parameters!$B$4*Parameters!$B$10))*Parameters!$G$32</f>
        <v>0.10559977666902486</v>
      </c>
      <c r="C276" t="s">
        <v>31</v>
      </c>
      <c r="D276" t="s">
        <v>8</v>
      </c>
      <c r="F276" t="s">
        <v>20</v>
      </c>
      <c r="H276" s="2" t="s">
        <v>253</v>
      </c>
    </row>
    <row r="277" spans="1:8" ht="15.6" x14ac:dyDescent="0.3">
      <c r="A277" s="2" t="s">
        <v>254</v>
      </c>
      <c r="B277" s="6">
        <f>((41.55/1000)/(Parameters!$B$4*Parameters!$B$10))*Parameters!$G$32</f>
        <v>1.2672705197695122E-2</v>
      </c>
      <c r="C277" t="s">
        <v>255</v>
      </c>
      <c r="D277" t="s">
        <v>8</v>
      </c>
      <c r="F277" t="s">
        <v>20</v>
      </c>
      <c r="H277" s="2" t="s">
        <v>256</v>
      </c>
    </row>
    <row r="278" spans="1:8" ht="15.6" x14ac:dyDescent="0.3">
      <c r="A278" s="2" t="s">
        <v>257</v>
      </c>
      <c r="B278" s="6">
        <f>((20.77/1000)/(Parameters!$B$4*Parameters!$B$10))*Parameters!$G$32</f>
        <v>6.3348276042389344E-3</v>
      </c>
      <c r="C278" t="s">
        <v>31</v>
      </c>
      <c r="D278" t="s">
        <v>8</v>
      </c>
      <c r="F278" t="s">
        <v>20</v>
      </c>
      <c r="H278" s="2" t="s">
        <v>414</v>
      </c>
    </row>
    <row r="279" spans="1:8" ht="15.6" x14ac:dyDescent="0.3">
      <c r="A279" s="2" t="s">
        <v>370</v>
      </c>
      <c r="B279" s="6">
        <f>((76.17/1000)/(Parameters!$B$4*Parameters!$B$10))*Parameters!$G$32</f>
        <v>2.3231767867832431E-2</v>
      </c>
      <c r="C279" t="s">
        <v>31</v>
      </c>
      <c r="D279" t="s">
        <v>8</v>
      </c>
      <c r="F279" t="s">
        <v>20</v>
      </c>
      <c r="H279" s="2" t="s">
        <v>371</v>
      </c>
    </row>
    <row r="280" spans="1:8" ht="15.6" x14ac:dyDescent="0.3">
      <c r="A280" s="2" t="s">
        <v>388</v>
      </c>
      <c r="B280" s="6">
        <f>((117.72/1000)/(Parameters!$B$4*Parameters!$B$10))*Parameters!$G$32</f>
        <v>3.5904473065527555E-2</v>
      </c>
      <c r="C280" t="s">
        <v>26</v>
      </c>
      <c r="D280" t="s">
        <v>8</v>
      </c>
      <c r="F280" t="s">
        <v>20</v>
      </c>
      <c r="G280" t="s">
        <v>390</v>
      </c>
      <c r="H280" s="2" t="s">
        <v>389</v>
      </c>
    </row>
    <row r="281" spans="1:8" x14ac:dyDescent="0.3">
      <c r="A281" t="s">
        <v>265</v>
      </c>
      <c r="B281" s="6">
        <f>(B209*B274)-Parameters!$B$13</f>
        <v>3.6888301920976998</v>
      </c>
      <c r="D281" t="s">
        <v>8</v>
      </c>
      <c r="E281" t="s">
        <v>37</v>
      </c>
      <c r="F281" t="s">
        <v>36</v>
      </c>
      <c r="G281" t="s">
        <v>428</v>
      </c>
    </row>
    <row r="282" spans="1:8" x14ac:dyDescent="0.3">
      <c r="A282" t="s">
        <v>306</v>
      </c>
      <c r="B282" s="6">
        <f>1/(90000000*20)</f>
        <v>5.5555555555555553E-10</v>
      </c>
      <c r="C282" t="s">
        <v>26</v>
      </c>
      <c r="D282" t="s">
        <v>7</v>
      </c>
      <c r="F282" t="s">
        <v>20</v>
      </c>
      <c r="G282" t="s">
        <v>308</v>
      </c>
      <c r="H282" t="s">
        <v>307</v>
      </c>
    </row>
    <row r="283" spans="1:8" ht="15.6" x14ac:dyDescent="0.3">
      <c r="A283" s="2"/>
      <c r="H283" s="2"/>
    </row>
    <row r="284" spans="1:8" ht="15.6" x14ac:dyDescent="0.3">
      <c r="A284" s="1" t="s">
        <v>1</v>
      </c>
      <c r="B284" s="73" t="s">
        <v>508</v>
      </c>
    </row>
    <row r="285" spans="1:8" x14ac:dyDescent="0.3">
      <c r="A285" t="s">
        <v>2</v>
      </c>
      <c r="B285" s="6" t="s">
        <v>1050</v>
      </c>
    </row>
    <row r="286" spans="1:8" x14ac:dyDescent="0.3">
      <c r="A286" t="s">
        <v>3</v>
      </c>
      <c r="B286" s="6">
        <v>1</v>
      </c>
    </row>
    <row r="287" spans="1:8" ht="15.6" x14ac:dyDescent="0.3">
      <c r="A287" t="s">
        <v>4</v>
      </c>
      <c r="B287" s="74" t="s">
        <v>375</v>
      </c>
    </row>
    <row r="288" spans="1:8" x14ac:dyDescent="0.3">
      <c r="A288" t="s">
        <v>5</v>
      </c>
      <c r="B288" s="6" t="s">
        <v>6</v>
      </c>
    </row>
    <row r="289" spans="1:8" x14ac:dyDescent="0.3">
      <c r="A289" t="s">
        <v>7</v>
      </c>
      <c r="B289" s="6" t="s">
        <v>8</v>
      </c>
    </row>
    <row r="290" spans="1:8" x14ac:dyDescent="0.3">
      <c r="A290" t="s">
        <v>9</v>
      </c>
      <c r="B290" s="6" t="s">
        <v>10</v>
      </c>
    </row>
    <row r="291" spans="1:8" x14ac:dyDescent="0.3">
      <c r="A291" t="s">
        <v>11</v>
      </c>
      <c r="B291" s="6" t="s">
        <v>504</v>
      </c>
    </row>
    <row r="292" spans="1:8" x14ac:dyDescent="0.3">
      <c r="A292" t="s">
        <v>497</v>
      </c>
      <c r="B292" s="72">
        <f>Summary!O130</f>
        <v>0.44859484577135844</v>
      </c>
    </row>
    <row r="293" spans="1:8" ht="15.6" x14ac:dyDescent="0.3">
      <c r="A293" s="1" t="s">
        <v>12</v>
      </c>
    </row>
    <row r="294" spans="1:8" x14ac:dyDescent="0.3">
      <c r="A294" t="s">
        <v>13</v>
      </c>
      <c r="B294" s="6" t="s">
        <v>14</v>
      </c>
      <c r="C294" t="s">
        <v>2</v>
      </c>
      <c r="D294" t="s">
        <v>7</v>
      </c>
      <c r="E294" t="s">
        <v>15</v>
      </c>
      <c r="F294" t="s">
        <v>5</v>
      </c>
      <c r="G294" t="s">
        <v>11</v>
      </c>
      <c r="H294" t="s">
        <v>4</v>
      </c>
    </row>
    <row r="295" spans="1:8" ht="15.6" x14ac:dyDescent="0.3">
      <c r="A295" s="2" t="s">
        <v>508</v>
      </c>
      <c r="B295" s="6">
        <v>1</v>
      </c>
      <c r="C295" t="s">
        <v>1050</v>
      </c>
      <c r="D295" t="s">
        <v>8</v>
      </c>
      <c r="F295" t="s">
        <v>17</v>
      </c>
      <c r="G295" t="s">
        <v>18</v>
      </c>
      <c r="H295" s="2" t="s">
        <v>375</v>
      </c>
    </row>
    <row r="296" spans="1:8" ht="15.6" x14ac:dyDescent="0.3">
      <c r="A296" s="2" t="s">
        <v>64</v>
      </c>
      <c r="B296" s="6">
        <f>(1/((Parameters!C20*Parameters!B4*Parameters!B10)/1000))</f>
        <v>3.9394735346660368</v>
      </c>
      <c r="C296" t="s">
        <v>1050</v>
      </c>
      <c r="D296" t="s">
        <v>8</v>
      </c>
      <c r="F296" t="s">
        <v>20</v>
      </c>
      <c r="G296" t="s">
        <v>18</v>
      </c>
      <c r="H296" s="2" t="s">
        <v>376</v>
      </c>
    </row>
    <row r="297" spans="1:8" ht="15.6" x14ac:dyDescent="0.3">
      <c r="A297" s="2" t="s">
        <v>221</v>
      </c>
      <c r="B297" s="6">
        <f>(337*Parameters!$B$3)/(Parameters!$B$4*Parameters!$B$10)</f>
        <v>0.11905906957120109</v>
      </c>
      <c r="C297" t="s">
        <v>26</v>
      </c>
      <c r="D297" t="s">
        <v>19</v>
      </c>
      <c r="F297" t="s">
        <v>20</v>
      </c>
      <c r="H297" s="2" t="s">
        <v>222</v>
      </c>
    </row>
    <row r="298" spans="1:8" ht="15.6" x14ac:dyDescent="0.3">
      <c r="A298" s="2" t="s">
        <v>252</v>
      </c>
      <c r="B298" s="6">
        <f>((346.23/1000)/(Parameters!$B$4*Parameters!$B$10))</f>
        <v>0.11593693336213089</v>
      </c>
      <c r="C298" t="s">
        <v>31</v>
      </c>
      <c r="D298" t="s">
        <v>8</v>
      </c>
      <c r="F298" t="s">
        <v>20</v>
      </c>
      <c r="H298" s="2" t="s">
        <v>253</v>
      </c>
    </row>
    <row r="299" spans="1:8" ht="15.6" x14ac:dyDescent="0.3">
      <c r="A299" s="2" t="s">
        <v>254</v>
      </c>
      <c r="B299" s="6">
        <f>((41.55/1000)/(Parameters!$B$4*Parameters!$B$10))</f>
        <v>1.3913235656056776E-2</v>
      </c>
      <c r="C299" t="s">
        <v>255</v>
      </c>
      <c r="D299" t="s">
        <v>8</v>
      </c>
      <c r="F299" t="s">
        <v>20</v>
      </c>
      <c r="H299" s="2" t="s">
        <v>256</v>
      </c>
    </row>
    <row r="300" spans="1:8" ht="15.6" x14ac:dyDescent="0.3">
      <c r="A300" s="2" t="s">
        <v>257</v>
      </c>
      <c r="B300" s="6">
        <f>((20.77/1000)/(Parameters!$B$4*Parameters!$B$10))</f>
        <v>6.9549435517761559E-3</v>
      </c>
      <c r="C300" t="s">
        <v>31</v>
      </c>
      <c r="D300" t="s">
        <v>8</v>
      </c>
      <c r="F300" t="s">
        <v>20</v>
      </c>
      <c r="H300" s="2" t="s">
        <v>414</v>
      </c>
    </row>
    <row r="301" spans="1:8" ht="15.6" x14ac:dyDescent="0.3">
      <c r="A301" s="2" t="s">
        <v>370</v>
      </c>
      <c r="B301" s="6">
        <f>((76.17/1000)/(Parameters!$B$4*Parameters!$B$10))</f>
        <v>2.5505924426518525E-2</v>
      </c>
      <c r="C301" t="s">
        <v>31</v>
      </c>
      <c r="D301" t="s">
        <v>8</v>
      </c>
      <c r="F301" t="s">
        <v>20</v>
      </c>
      <c r="H301" s="2" t="s">
        <v>371</v>
      </c>
    </row>
    <row r="302" spans="1:8" ht="15.6" x14ac:dyDescent="0.3">
      <c r="A302" s="2" t="s">
        <v>315</v>
      </c>
      <c r="B302" s="6">
        <f>((106.73/1000)/(Parameters!$B$4*Parameters!$B$10))</f>
        <v>3.5739100880167025E-2</v>
      </c>
      <c r="C302" t="s">
        <v>31</v>
      </c>
      <c r="D302" t="s">
        <v>8</v>
      </c>
      <c r="F302" t="s">
        <v>20</v>
      </c>
      <c r="G302" t="s">
        <v>314</v>
      </c>
      <c r="H302" s="2" t="s">
        <v>316</v>
      </c>
    </row>
    <row r="303" spans="1:8" ht="15.6" x14ac:dyDescent="0.3">
      <c r="A303" s="2" t="s">
        <v>384</v>
      </c>
      <c r="B303" s="6">
        <f>((26.58/1000)/(Parameters!$B$4*Parameters!$B$10))</f>
        <v>8.9004525568709778E-3</v>
      </c>
      <c r="C303" t="s">
        <v>26</v>
      </c>
      <c r="D303" t="s">
        <v>8</v>
      </c>
      <c r="F303" t="s">
        <v>20</v>
      </c>
      <c r="G303" t="s">
        <v>386</v>
      </c>
      <c r="H303" s="2" t="s">
        <v>385</v>
      </c>
    </row>
    <row r="304" spans="1:8" ht="15.6" x14ac:dyDescent="0.3">
      <c r="A304" s="2" t="s">
        <v>388</v>
      </c>
      <c r="B304" s="6">
        <f>((117.72/1000)/(Parameters!$B$4*Parameters!$B$10))</f>
        <v>3.9419160082575302E-2</v>
      </c>
      <c r="C304" t="s">
        <v>26</v>
      </c>
      <c r="D304" t="s">
        <v>8</v>
      </c>
      <c r="F304" t="s">
        <v>20</v>
      </c>
      <c r="G304" t="s">
        <v>390</v>
      </c>
      <c r="H304" s="2" t="s">
        <v>389</v>
      </c>
    </row>
    <row r="305" spans="1:10" x14ac:dyDescent="0.3">
      <c r="A305" t="s">
        <v>265</v>
      </c>
      <c r="B305" s="6">
        <f>(B209*B296)-Parameters!$B$13</f>
        <v>4.2372909507042831</v>
      </c>
      <c r="D305" t="s">
        <v>8</v>
      </c>
      <c r="E305" t="s">
        <v>37</v>
      </c>
      <c r="F305" t="s">
        <v>36</v>
      </c>
      <c r="G305" t="s">
        <v>428</v>
      </c>
    </row>
    <row r="306" spans="1:10" x14ac:dyDescent="0.3">
      <c r="A306" t="s">
        <v>306</v>
      </c>
      <c r="B306" s="6">
        <f>1/(90000000*20)</f>
        <v>5.5555555555555553E-10</v>
      </c>
      <c r="C306" t="s">
        <v>26</v>
      </c>
      <c r="D306" t="s">
        <v>7</v>
      </c>
      <c r="F306" t="s">
        <v>20</v>
      </c>
      <c r="G306" t="s">
        <v>308</v>
      </c>
      <c r="H306" t="s">
        <v>307</v>
      </c>
    </row>
    <row r="307" spans="1:10" x14ac:dyDescent="0.3">
      <c r="A307" s="36" t="s">
        <v>28</v>
      </c>
      <c r="B307" s="37">
        <f>Parameters!D19/Parameters!B4*Parameters!B10*-1</f>
        <v>-0.50274302587613584</v>
      </c>
      <c r="C307" t="s">
        <v>1051</v>
      </c>
      <c r="D307" s="36" t="s">
        <v>29</v>
      </c>
      <c r="E307" s="36"/>
      <c r="F307" s="36" t="s">
        <v>20</v>
      </c>
      <c r="G307" s="36" t="s">
        <v>505</v>
      </c>
      <c r="H307" s="36" t="s">
        <v>30</v>
      </c>
      <c r="I307" s="36"/>
    </row>
    <row r="308" spans="1:10" ht="15.6" x14ac:dyDescent="0.3">
      <c r="A308" s="2"/>
      <c r="H308" s="2"/>
    </row>
    <row r="309" spans="1:10" ht="15.6" x14ac:dyDescent="0.3">
      <c r="A309" s="1" t="s">
        <v>1</v>
      </c>
      <c r="B309" s="73" t="s">
        <v>394</v>
      </c>
    </row>
    <row r="310" spans="1:10" x14ac:dyDescent="0.3">
      <c r="A310" t="s">
        <v>2</v>
      </c>
      <c r="B310" s="6" t="s">
        <v>1050</v>
      </c>
    </row>
    <row r="311" spans="1:10" x14ac:dyDescent="0.3">
      <c r="A311" t="s">
        <v>3</v>
      </c>
      <c r="B311" s="6">
        <v>1</v>
      </c>
    </row>
    <row r="312" spans="1:10" ht="15.6" x14ac:dyDescent="0.3">
      <c r="A312" t="s">
        <v>4</v>
      </c>
      <c r="B312" s="74" t="s">
        <v>337</v>
      </c>
    </row>
    <row r="313" spans="1:10" x14ac:dyDescent="0.3">
      <c r="A313" t="s">
        <v>5</v>
      </c>
      <c r="B313" s="6" t="s">
        <v>6</v>
      </c>
    </row>
    <row r="314" spans="1:10" x14ac:dyDescent="0.3">
      <c r="A314" t="s">
        <v>7</v>
      </c>
      <c r="B314" s="6" t="s">
        <v>8</v>
      </c>
    </row>
    <row r="315" spans="1:10" x14ac:dyDescent="0.3">
      <c r="A315" t="s">
        <v>9</v>
      </c>
      <c r="B315" s="6" t="s">
        <v>393</v>
      </c>
    </row>
    <row r="316" spans="1:10" x14ac:dyDescent="0.3">
      <c r="A316" t="s">
        <v>11</v>
      </c>
      <c r="B316" s="6" t="s">
        <v>362</v>
      </c>
    </row>
    <row r="317" spans="1:10" ht="15.6" x14ac:dyDescent="0.3">
      <c r="A317" s="1" t="s">
        <v>12</v>
      </c>
    </row>
    <row r="318" spans="1:10" x14ac:dyDescent="0.3">
      <c r="A318" t="s">
        <v>13</v>
      </c>
      <c r="B318" s="6" t="s">
        <v>14</v>
      </c>
      <c r="C318" t="s">
        <v>2</v>
      </c>
      <c r="D318" t="s">
        <v>7</v>
      </c>
      <c r="E318" t="s">
        <v>15</v>
      </c>
      <c r="F318" t="s">
        <v>5</v>
      </c>
      <c r="G318" t="s">
        <v>338</v>
      </c>
      <c r="H318" t="s">
        <v>339</v>
      </c>
      <c r="I318" t="s">
        <v>11</v>
      </c>
      <c r="J318" t="s">
        <v>4</v>
      </c>
    </row>
    <row r="319" spans="1:10" x14ac:dyDescent="0.3">
      <c r="A319" s="36" t="s">
        <v>394</v>
      </c>
      <c r="B319" s="37">
        <v>1</v>
      </c>
      <c r="C319" t="s">
        <v>1050</v>
      </c>
      <c r="D319" s="36" t="s">
        <v>8</v>
      </c>
      <c r="E319" s="36"/>
      <c r="F319" s="36" t="s">
        <v>17</v>
      </c>
      <c r="G319" s="36"/>
      <c r="H319" s="36"/>
      <c r="I319" s="36" t="s">
        <v>18</v>
      </c>
      <c r="J319" s="36" t="s">
        <v>337</v>
      </c>
    </row>
    <row r="320" spans="1:10" ht="15.6" x14ac:dyDescent="0.3">
      <c r="A320" s="2" t="s">
        <v>374</v>
      </c>
      <c r="B320" s="6">
        <v>1.00057</v>
      </c>
      <c r="C320" t="s">
        <v>1050</v>
      </c>
      <c r="D320" t="s">
        <v>8</v>
      </c>
      <c r="F320" s="36" t="s">
        <v>20</v>
      </c>
      <c r="G320" t="s">
        <v>18</v>
      </c>
      <c r="I320" s="36"/>
      <c r="J320" s="2" t="s">
        <v>375</v>
      </c>
    </row>
    <row r="321" spans="1:10" x14ac:dyDescent="0.3">
      <c r="A321" s="36" t="s">
        <v>28</v>
      </c>
      <c r="B321" s="37">
        <v>6.7000000000000002E-3</v>
      </c>
      <c r="C321" t="s">
        <v>1051</v>
      </c>
      <c r="D321" s="36" t="s">
        <v>29</v>
      </c>
      <c r="E321" s="36"/>
      <c r="F321" s="36" t="s">
        <v>20</v>
      </c>
      <c r="G321" s="36"/>
      <c r="H321" s="36"/>
      <c r="I321" s="36"/>
      <c r="J321" s="36" t="s">
        <v>30</v>
      </c>
    </row>
    <row r="322" spans="1:10" x14ac:dyDescent="0.3">
      <c r="A322" s="36" t="s">
        <v>340</v>
      </c>
      <c r="B322" s="37">
        <v>-1.6799999999999999E-4</v>
      </c>
      <c r="C322" s="36" t="s">
        <v>31</v>
      </c>
      <c r="D322" s="36" t="s">
        <v>8</v>
      </c>
      <c r="E322" s="36"/>
      <c r="F322" s="36" t="s">
        <v>20</v>
      </c>
      <c r="G322" s="36"/>
      <c r="H322" s="36"/>
      <c r="I322" s="36"/>
      <c r="J322" s="36" t="s">
        <v>341</v>
      </c>
    </row>
    <row r="323" spans="1:10" x14ac:dyDescent="0.3">
      <c r="A323" s="36" t="s">
        <v>342</v>
      </c>
      <c r="B323" s="37">
        <v>5.8399999999999999E-4</v>
      </c>
      <c r="C323" s="36" t="s">
        <v>31</v>
      </c>
      <c r="D323" s="36" t="s">
        <v>19</v>
      </c>
      <c r="E323" s="36"/>
      <c r="F323" s="36" t="s">
        <v>20</v>
      </c>
      <c r="G323" s="36"/>
      <c r="H323" s="36"/>
      <c r="I323" s="36"/>
      <c r="J323" s="36" t="s">
        <v>343</v>
      </c>
    </row>
    <row r="324" spans="1:10" x14ac:dyDescent="0.3">
      <c r="A324" s="36" t="s">
        <v>344</v>
      </c>
      <c r="B324" s="37">
        <v>2.5999999999999998E-10</v>
      </c>
      <c r="C324" s="36" t="s">
        <v>31</v>
      </c>
      <c r="D324" s="36" t="s">
        <v>7</v>
      </c>
      <c r="E324" s="36"/>
      <c r="F324" s="36" t="s">
        <v>20</v>
      </c>
      <c r="G324" s="36"/>
      <c r="H324" s="36"/>
      <c r="I324" s="36"/>
      <c r="J324" s="36" t="s">
        <v>345</v>
      </c>
    </row>
    <row r="325" spans="1:10" x14ac:dyDescent="0.3">
      <c r="A325" s="36" t="s">
        <v>346</v>
      </c>
      <c r="B325" s="37">
        <v>-6.2700000000000001E-6</v>
      </c>
      <c r="C325" s="36" t="s">
        <v>31</v>
      </c>
      <c r="D325" s="36" t="s">
        <v>8</v>
      </c>
      <c r="E325" s="36"/>
      <c r="F325" s="36" t="s">
        <v>20</v>
      </c>
      <c r="G325" s="36"/>
      <c r="H325" s="36"/>
      <c r="I325" s="36"/>
      <c r="J325" s="36" t="s">
        <v>347</v>
      </c>
    </row>
    <row r="326" spans="1:10" x14ac:dyDescent="0.3">
      <c r="A326" s="36" t="s">
        <v>348</v>
      </c>
      <c r="B326" s="37">
        <v>-7.4999999999999993E-5</v>
      </c>
      <c r="C326" s="36" t="s">
        <v>31</v>
      </c>
      <c r="D326" s="36" t="s">
        <v>121</v>
      </c>
      <c r="E326" s="36"/>
      <c r="F326" s="36" t="s">
        <v>20</v>
      </c>
      <c r="G326" s="36"/>
      <c r="H326" s="36"/>
      <c r="I326" s="36"/>
      <c r="J326" s="36" t="s">
        <v>349</v>
      </c>
    </row>
    <row r="327" spans="1:10" x14ac:dyDescent="0.3">
      <c r="A327" s="36" t="s">
        <v>350</v>
      </c>
      <c r="B327" s="37">
        <v>6.8900000000000005E-4</v>
      </c>
      <c r="C327" s="36" t="s">
        <v>31</v>
      </c>
      <c r="D327" s="36" t="s">
        <v>8</v>
      </c>
      <c r="E327" s="36"/>
      <c r="F327" s="36" t="s">
        <v>20</v>
      </c>
      <c r="G327" s="36"/>
      <c r="H327" s="36"/>
      <c r="I327" s="36"/>
      <c r="J327" s="36" t="s">
        <v>351</v>
      </c>
    </row>
    <row r="328" spans="1:10" x14ac:dyDescent="0.3">
      <c r="A328" s="36" t="s">
        <v>100</v>
      </c>
      <c r="B328" s="37">
        <v>3.3599999999999998E-2</v>
      </c>
      <c r="C328" s="36" t="s">
        <v>31</v>
      </c>
      <c r="D328" s="36" t="s">
        <v>41</v>
      </c>
      <c r="E328" s="36"/>
      <c r="F328" s="36" t="s">
        <v>20</v>
      </c>
      <c r="G328" s="36"/>
      <c r="H328" s="36"/>
      <c r="I328" s="36"/>
      <c r="J328" s="36" t="s">
        <v>103</v>
      </c>
    </row>
    <row r="329" spans="1:10" x14ac:dyDescent="0.3">
      <c r="A329" s="36" t="s">
        <v>352</v>
      </c>
      <c r="B329" s="37">
        <v>3.2599999999999997E-2</v>
      </c>
      <c r="C329" s="36" t="s">
        <v>581</v>
      </c>
      <c r="D329" s="36" t="s">
        <v>41</v>
      </c>
      <c r="E329" s="36"/>
      <c r="F329" s="36" t="s">
        <v>20</v>
      </c>
      <c r="G329" s="36"/>
      <c r="H329" s="36"/>
      <c r="I329" s="36"/>
      <c r="J329" s="36" t="s">
        <v>353</v>
      </c>
    </row>
    <row r="330" spans="1:10" x14ac:dyDescent="0.3">
      <c r="A330" s="36" t="s">
        <v>354</v>
      </c>
      <c r="B330" s="37">
        <v>-6.8899999999999999E-7</v>
      </c>
      <c r="C330" s="36" t="s">
        <v>31</v>
      </c>
      <c r="D330" s="36" t="s">
        <v>121</v>
      </c>
      <c r="E330" s="36"/>
      <c r="F330" s="36" t="s">
        <v>20</v>
      </c>
      <c r="G330" s="36"/>
      <c r="H330" s="36"/>
      <c r="I330" s="36"/>
      <c r="J330" s="36" t="s">
        <v>355</v>
      </c>
    </row>
    <row r="332" spans="1:10" ht="15.6" x14ac:dyDescent="0.3">
      <c r="A332" s="1" t="s">
        <v>1</v>
      </c>
      <c r="B332" s="73" t="s">
        <v>395</v>
      </c>
    </row>
    <row r="333" spans="1:10" x14ac:dyDescent="0.3">
      <c r="A333" t="s">
        <v>2</v>
      </c>
      <c r="B333" s="6" t="s">
        <v>1050</v>
      </c>
    </row>
    <row r="334" spans="1:10" x14ac:dyDescent="0.3">
      <c r="A334" t="s">
        <v>3</v>
      </c>
      <c r="B334" s="6">
        <v>1</v>
      </c>
    </row>
    <row r="335" spans="1:10" ht="15.6" x14ac:dyDescent="0.3">
      <c r="A335" t="s">
        <v>4</v>
      </c>
      <c r="B335" s="74" t="s">
        <v>337</v>
      </c>
    </row>
    <row r="336" spans="1:10" x14ac:dyDescent="0.3">
      <c r="A336" t="s">
        <v>5</v>
      </c>
      <c r="B336" s="6" t="s">
        <v>6</v>
      </c>
    </row>
    <row r="337" spans="1:10" x14ac:dyDescent="0.3">
      <c r="A337" t="s">
        <v>7</v>
      </c>
      <c r="B337" s="6" t="s">
        <v>8</v>
      </c>
    </row>
    <row r="338" spans="1:10" x14ac:dyDescent="0.3">
      <c r="A338" t="s">
        <v>9</v>
      </c>
      <c r="B338" s="6" t="s">
        <v>393</v>
      </c>
    </row>
    <row r="339" spans="1:10" x14ac:dyDescent="0.3">
      <c r="A339" t="s">
        <v>11</v>
      </c>
      <c r="B339" s="6" t="s">
        <v>361</v>
      </c>
    </row>
    <row r="340" spans="1:10" ht="15.6" x14ac:dyDescent="0.3">
      <c r="A340" s="1" t="s">
        <v>12</v>
      </c>
    </row>
    <row r="341" spans="1:10" x14ac:dyDescent="0.3">
      <c r="A341" t="s">
        <v>13</v>
      </c>
      <c r="B341" s="6" t="s">
        <v>14</v>
      </c>
      <c r="C341" t="s">
        <v>2</v>
      </c>
      <c r="D341" t="s">
        <v>7</v>
      </c>
      <c r="E341" t="s">
        <v>15</v>
      </c>
      <c r="F341" t="s">
        <v>5</v>
      </c>
      <c r="G341" t="s">
        <v>338</v>
      </c>
      <c r="H341" t="s">
        <v>339</v>
      </c>
      <c r="I341" t="s">
        <v>11</v>
      </c>
      <c r="J341" t="s">
        <v>4</v>
      </c>
    </row>
    <row r="342" spans="1:10" x14ac:dyDescent="0.3">
      <c r="A342" s="36" t="s">
        <v>395</v>
      </c>
      <c r="B342" s="37">
        <v>1</v>
      </c>
      <c r="C342" t="s">
        <v>1050</v>
      </c>
      <c r="D342" s="36" t="s">
        <v>8</v>
      </c>
      <c r="E342" s="36"/>
      <c r="F342" s="36" t="s">
        <v>17</v>
      </c>
      <c r="G342" s="36"/>
      <c r="H342" s="36"/>
      <c r="I342" s="36" t="s">
        <v>18</v>
      </c>
      <c r="J342" s="36" t="s">
        <v>337</v>
      </c>
    </row>
    <row r="343" spans="1:10" ht="15.6" x14ac:dyDescent="0.3">
      <c r="A343" s="2" t="s">
        <v>377</v>
      </c>
      <c r="B343" s="6">
        <v>1.00057</v>
      </c>
      <c r="C343" t="s">
        <v>1050</v>
      </c>
      <c r="D343" t="s">
        <v>8</v>
      </c>
      <c r="F343" s="36" t="s">
        <v>20</v>
      </c>
      <c r="G343" t="s">
        <v>18</v>
      </c>
      <c r="I343" s="36"/>
      <c r="J343" s="2" t="s">
        <v>375</v>
      </c>
    </row>
    <row r="344" spans="1:10" x14ac:dyDescent="0.3">
      <c r="A344" s="36" t="s">
        <v>28</v>
      </c>
      <c r="B344" s="37">
        <v>6.7000000000000002E-3</v>
      </c>
      <c r="C344" t="s">
        <v>1051</v>
      </c>
      <c r="D344" s="36" t="s">
        <v>29</v>
      </c>
      <c r="E344" s="36"/>
      <c r="F344" s="36" t="s">
        <v>20</v>
      </c>
      <c r="G344" s="36"/>
      <c r="H344" s="36"/>
      <c r="I344" s="36"/>
      <c r="J344" s="36" t="s">
        <v>30</v>
      </c>
    </row>
    <row r="345" spans="1:10" x14ac:dyDescent="0.3">
      <c r="A345" s="36" t="s">
        <v>340</v>
      </c>
      <c r="B345" s="37">
        <v>-1.6799999999999999E-4</v>
      </c>
      <c r="C345" s="36" t="s">
        <v>31</v>
      </c>
      <c r="D345" s="36" t="s">
        <v>8</v>
      </c>
      <c r="E345" s="36"/>
      <c r="F345" s="36" t="s">
        <v>20</v>
      </c>
      <c r="G345" s="36"/>
      <c r="H345" s="36"/>
      <c r="I345" s="36"/>
      <c r="J345" s="36" t="s">
        <v>341</v>
      </c>
    </row>
    <row r="346" spans="1:10" x14ac:dyDescent="0.3">
      <c r="A346" s="36" t="s">
        <v>342</v>
      </c>
      <c r="B346" s="37">
        <v>5.8399999999999999E-4</v>
      </c>
      <c r="C346" s="36" t="s">
        <v>31</v>
      </c>
      <c r="D346" s="36" t="s">
        <v>19</v>
      </c>
      <c r="E346" s="36"/>
      <c r="F346" s="36" t="s">
        <v>20</v>
      </c>
      <c r="G346" s="36"/>
      <c r="H346" s="36"/>
      <c r="I346" s="36"/>
      <c r="J346" s="36" t="s">
        <v>343</v>
      </c>
    </row>
    <row r="347" spans="1:10" x14ac:dyDescent="0.3">
      <c r="A347" s="36" t="s">
        <v>344</v>
      </c>
      <c r="B347" s="37">
        <v>2.5999999999999998E-10</v>
      </c>
      <c r="C347" s="36" t="s">
        <v>31</v>
      </c>
      <c r="D347" s="36" t="s">
        <v>7</v>
      </c>
      <c r="E347" s="36"/>
      <c r="F347" s="36" t="s">
        <v>20</v>
      </c>
      <c r="G347" s="36"/>
      <c r="H347" s="36"/>
      <c r="I347" s="36"/>
      <c r="J347" s="36" t="s">
        <v>345</v>
      </c>
    </row>
    <row r="348" spans="1:10" x14ac:dyDescent="0.3">
      <c r="A348" s="36" t="s">
        <v>346</v>
      </c>
      <c r="B348" s="37">
        <v>-6.2700000000000001E-6</v>
      </c>
      <c r="C348" s="36" t="s">
        <v>31</v>
      </c>
      <c r="D348" s="36" t="s">
        <v>8</v>
      </c>
      <c r="E348" s="36"/>
      <c r="F348" s="36" t="s">
        <v>20</v>
      </c>
      <c r="G348" s="36"/>
      <c r="H348" s="36"/>
      <c r="I348" s="36"/>
      <c r="J348" s="36" t="s">
        <v>347</v>
      </c>
    </row>
    <row r="349" spans="1:10" x14ac:dyDescent="0.3">
      <c r="A349" s="36" t="s">
        <v>348</v>
      </c>
      <c r="B349" s="37">
        <v>-7.4999999999999993E-5</v>
      </c>
      <c r="C349" s="36" t="s">
        <v>31</v>
      </c>
      <c r="D349" s="36" t="s">
        <v>121</v>
      </c>
      <c r="E349" s="36"/>
      <c r="F349" s="36" t="s">
        <v>20</v>
      </c>
      <c r="G349" s="36"/>
      <c r="H349" s="36"/>
      <c r="I349" s="36"/>
      <c r="J349" s="36" t="s">
        <v>349</v>
      </c>
    </row>
    <row r="350" spans="1:10" x14ac:dyDescent="0.3">
      <c r="A350" s="36" t="s">
        <v>350</v>
      </c>
      <c r="B350" s="37">
        <v>6.8900000000000005E-4</v>
      </c>
      <c r="C350" s="36" t="s">
        <v>31</v>
      </c>
      <c r="D350" s="36" t="s">
        <v>8</v>
      </c>
      <c r="E350" s="36"/>
      <c r="F350" s="36" t="s">
        <v>20</v>
      </c>
      <c r="G350" s="36"/>
      <c r="H350" s="36"/>
      <c r="I350" s="36"/>
      <c r="J350" s="36" t="s">
        <v>351</v>
      </c>
    </row>
    <row r="351" spans="1:10" x14ac:dyDescent="0.3">
      <c r="A351" s="36" t="s">
        <v>100</v>
      </c>
      <c r="B351" s="37">
        <v>3.3599999999999998E-2</v>
      </c>
      <c r="C351" s="36" t="s">
        <v>31</v>
      </c>
      <c r="D351" s="36" t="s">
        <v>41</v>
      </c>
      <c r="E351" s="36"/>
      <c r="F351" s="36" t="s">
        <v>20</v>
      </c>
      <c r="G351" s="36"/>
      <c r="H351" s="36"/>
      <c r="I351" s="36"/>
      <c r="J351" s="36" t="s">
        <v>103</v>
      </c>
    </row>
    <row r="352" spans="1:10" x14ac:dyDescent="0.3">
      <c r="A352" s="36" t="s">
        <v>352</v>
      </c>
      <c r="B352" s="37">
        <v>3.2599999999999997E-2</v>
      </c>
      <c r="C352" s="36" t="s">
        <v>581</v>
      </c>
      <c r="D352" s="36" t="s">
        <v>41</v>
      </c>
      <c r="E352" s="36"/>
      <c r="F352" s="36" t="s">
        <v>20</v>
      </c>
      <c r="G352" s="36"/>
      <c r="H352" s="36"/>
      <c r="I352" s="36"/>
      <c r="J352" s="36" t="s">
        <v>353</v>
      </c>
    </row>
    <row r="353" spans="1:10" x14ac:dyDescent="0.3">
      <c r="A353" s="36" t="s">
        <v>354</v>
      </c>
      <c r="B353" s="37">
        <v>-6.8899999999999999E-7</v>
      </c>
      <c r="C353" s="36" t="s">
        <v>31</v>
      </c>
      <c r="D353" s="36" t="s">
        <v>121</v>
      </c>
      <c r="E353" s="36"/>
      <c r="F353" s="36" t="s">
        <v>20</v>
      </c>
      <c r="G353" s="36"/>
      <c r="H353" s="36"/>
      <c r="I353" s="36"/>
      <c r="J353" s="36" t="s">
        <v>355</v>
      </c>
    </row>
    <row r="354" spans="1:10" x14ac:dyDescent="0.3">
      <c r="A354" s="36"/>
      <c r="B354" s="37"/>
      <c r="C354" s="36"/>
      <c r="D354" s="36"/>
      <c r="E354" s="36"/>
      <c r="F354" s="36"/>
      <c r="G354" s="36"/>
      <c r="H354" s="36"/>
      <c r="I354" s="36"/>
      <c r="J354" s="36"/>
    </row>
    <row r="355" spans="1:10" ht="15.6" x14ac:dyDescent="0.3">
      <c r="A355" s="1" t="s">
        <v>1</v>
      </c>
      <c r="B355" s="73" t="s">
        <v>509</v>
      </c>
    </row>
    <row r="356" spans="1:10" x14ac:dyDescent="0.3">
      <c r="A356" t="s">
        <v>2</v>
      </c>
      <c r="B356" s="6" t="s">
        <v>1050</v>
      </c>
    </row>
    <row r="357" spans="1:10" x14ac:dyDescent="0.3">
      <c r="A357" t="s">
        <v>3</v>
      </c>
      <c r="B357" s="6">
        <v>1</v>
      </c>
    </row>
    <row r="358" spans="1:10" ht="15.6" x14ac:dyDescent="0.3">
      <c r="A358" t="s">
        <v>4</v>
      </c>
      <c r="B358" s="74" t="s">
        <v>337</v>
      </c>
    </row>
    <row r="359" spans="1:10" x14ac:dyDescent="0.3">
      <c r="A359" t="s">
        <v>5</v>
      </c>
      <c r="B359" s="6" t="s">
        <v>6</v>
      </c>
    </row>
    <row r="360" spans="1:10" x14ac:dyDescent="0.3">
      <c r="A360" t="s">
        <v>7</v>
      </c>
      <c r="B360" s="6" t="s">
        <v>8</v>
      </c>
    </row>
    <row r="361" spans="1:10" x14ac:dyDescent="0.3">
      <c r="A361" t="s">
        <v>9</v>
      </c>
      <c r="B361" s="6" t="s">
        <v>393</v>
      </c>
    </row>
    <row r="362" spans="1:10" x14ac:dyDescent="0.3">
      <c r="A362" t="s">
        <v>11</v>
      </c>
      <c r="B362" s="6" t="s">
        <v>507</v>
      </c>
    </row>
    <row r="363" spans="1:10" ht="15.6" x14ac:dyDescent="0.3">
      <c r="A363" s="1" t="s">
        <v>12</v>
      </c>
    </row>
    <row r="364" spans="1:10" x14ac:dyDescent="0.3">
      <c r="A364" t="s">
        <v>13</v>
      </c>
      <c r="B364" s="6" t="s">
        <v>14</v>
      </c>
      <c r="C364" t="s">
        <v>2</v>
      </c>
      <c r="D364" t="s">
        <v>7</v>
      </c>
      <c r="E364" t="s">
        <v>15</v>
      </c>
      <c r="F364" t="s">
        <v>5</v>
      </c>
      <c r="G364" t="s">
        <v>338</v>
      </c>
      <c r="H364" t="s">
        <v>339</v>
      </c>
      <c r="I364" t="s">
        <v>11</v>
      </c>
      <c r="J364" t="s">
        <v>4</v>
      </c>
    </row>
    <row r="365" spans="1:10" x14ac:dyDescent="0.3">
      <c r="A365" s="36" t="s">
        <v>509</v>
      </c>
      <c r="B365" s="37">
        <v>1</v>
      </c>
      <c r="C365" t="s">
        <v>1050</v>
      </c>
      <c r="D365" s="36" t="s">
        <v>8</v>
      </c>
      <c r="E365" s="36"/>
      <c r="F365" s="36" t="s">
        <v>17</v>
      </c>
      <c r="G365" s="36"/>
      <c r="H365" s="36"/>
      <c r="I365" s="36" t="s">
        <v>18</v>
      </c>
      <c r="J365" s="36" t="s">
        <v>337</v>
      </c>
    </row>
    <row r="366" spans="1:10" ht="15.6" x14ac:dyDescent="0.3">
      <c r="A366" s="2" t="s">
        <v>508</v>
      </c>
      <c r="B366" s="6">
        <v>1.00057</v>
      </c>
      <c r="C366" t="s">
        <v>1050</v>
      </c>
      <c r="D366" t="s">
        <v>8</v>
      </c>
      <c r="F366" s="36" t="s">
        <v>20</v>
      </c>
      <c r="G366" t="s">
        <v>18</v>
      </c>
      <c r="I366" s="36"/>
      <c r="J366" s="2" t="s">
        <v>375</v>
      </c>
    </row>
    <row r="367" spans="1:10" x14ac:dyDescent="0.3">
      <c r="A367" s="36" t="s">
        <v>28</v>
      </c>
      <c r="B367" s="37">
        <v>6.7000000000000002E-3</v>
      </c>
      <c r="C367" t="s">
        <v>1051</v>
      </c>
      <c r="D367" s="36" t="s">
        <v>29</v>
      </c>
      <c r="E367" s="36"/>
      <c r="F367" s="36" t="s">
        <v>20</v>
      </c>
      <c r="G367" s="36"/>
      <c r="H367" s="36"/>
      <c r="I367" s="36"/>
      <c r="J367" s="36" t="s">
        <v>30</v>
      </c>
    </row>
    <row r="368" spans="1:10" x14ac:dyDescent="0.3">
      <c r="A368" s="36" t="s">
        <v>340</v>
      </c>
      <c r="B368" s="37">
        <v>-1.6799999999999999E-4</v>
      </c>
      <c r="C368" s="36" t="s">
        <v>31</v>
      </c>
      <c r="D368" s="36" t="s">
        <v>8</v>
      </c>
      <c r="E368" s="36"/>
      <c r="F368" s="36" t="s">
        <v>20</v>
      </c>
      <c r="G368" s="36"/>
      <c r="H368" s="36"/>
      <c r="I368" s="36"/>
      <c r="J368" s="36" t="s">
        <v>341</v>
      </c>
    </row>
    <row r="369" spans="1:10" x14ac:dyDescent="0.3">
      <c r="A369" s="36" t="s">
        <v>342</v>
      </c>
      <c r="B369" s="37">
        <v>5.8399999999999999E-4</v>
      </c>
      <c r="C369" s="36" t="s">
        <v>31</v>
      </c>
      <c r="D369" s="36" t="s">
        <v>19</v>
      </c>
      <c r="E369" s="36"/>
      <c r="F369" s="36" t="s">
        <v>20</v>
      </c>
      <c r="G369" s="36"/>
      <c r="H369" s="36"/>
      <c r="I369" s="36"/>
      <c r="J369" s="36" t="s">
        <v>343</v>
      </c>
    </row>
    <row r="370" spans="1:10" x14ac:dyDescent="0.3">
      <c r="A370" s="36" t="s">
        <v>344</v>
      </c>
      <c r="B370" s="37">
        <v>2.5999999999999998E-10</v>
      </c>
      <c r="C370" s="36" t="s">
        <v>31</v>
      </c>
      <c r="D370" s="36" t="s">
        <v>7</v>
      </c>
      <c r="E370" s="36"/>
      <c r="F370" s="36" t="s">
        <v>20</v>
      </c>
      <c r="G370" s="36"/>
      <c r="H370" s="36"/>
      <c r="I370" s="36"/>
      <c r="J370" s="36" t="s">
        <v>345</v>
      </c>
    </row>
    <row r="371" spans="1:10" x14ac:dyDescent="0.3">
      <c r="A371" s="36" t="s">
        <v>346</v>
      </c>
      <c r="B371" s="37">
        <v>-6.2700000000000001E-6</v>
      </c>
      <c r="C371" s="36" t="s">
        <v>31</v>
      </c>
      <c r="D371" s="36" t="s">
        <v>8</v>
      </c>
      <c r="E371" s="36"/>
      <c r="F371" s="36" t="s">
        <v>20</v>
      </c>
      <c r="G371" s="36"/>
      <c r="H371" s="36"/>
      <c r="I371" s="36"/>
      <c r="J371" s="36" t="s">
        <v>347</v>
      </c>
    </row>
    <row r="372" spans="1:10" x14ac:dyDescent="0.3">
      <c r="A372" s="36" t="s">
        <v>348</v>
      </c>
      <c r="B372" s="37">
        <v>-7.4999999999999993E-5</v>
      </c>
      <c r="C372" s="36" t="s">
        <v>31</v>
      </c>
      <c r="D372" s="36" t="s">
        <v>121</v>
      </c>
      <c r="E372" s="36"/>
      <c r="F372" s="36" t="s">
        <v>20</v>
      </c>
      <c r="G372" s="36"/>
      <c r="H372" s="36"/>
      <c r="I372" s="36"/>
      <c r="J372" s="36" t="s">
        <v>349</v>
      </c>
    </row>
    <row r="373" spans="1:10" x14ac:dyDescent="0.3">
      <c r="A373" s="36" t="s">
        <v>350</v>
      </c>
      <c r="B373" s="37">
        <v>6.8900000000000005E-4</v>
      </c>
      <c r="C373" s="36" t="s">
        <v>31</v>
      </c>
      <c r="D373" s="36" t="s">
        <v>8</v>
      </c>
      <c r="E373" s="36"/>
      <c r="F373" s="36" t="s">
        <v>20</v>
      </c>
      <c r="G373" s="36"/>
      <c r="H373" s="36"/>
      <c r="I373" s="36"/>
      <c r="J373" s="36" t="s">
        <v>351</v>
      </c>
    </row>
    <row r="374" spans="1:10" x14ac:dyDescent="0.3">
      <c r="A374" s="36" t="s">
        <v>100</v>
      </c>
      <c r="B374" s="37">
        <v>3.3599999999999998E-2</v>
      </c>
      <c r="C374" s="36" t="s">
        <v>31</v>
      </c>
      <c r="D374" s="36" t="s">
        <v>41</v>
      </c>
      <c r="E374" s="36"/>
      <c r="F374" s="36" t="s">
        <v>20</v>
      </c>
      <c r="G374" s="36"/>
      <c r="H374" s="36"/>
      <c r="I374" s="36"/>
      <c r="J374" s="36" t="s">
        <v>103</v>
      </c>
    </row>
    <row r="375" spans="1:10" x14ac:dyDescent="0.3">
      <c r="A375" s="36" t="s">
        <v>352</v>
      </c>
      <c r="B375" s="37">
        <v>3.2599999999999997E-2</v>
      </c>
      <c r="C375" s="36" t="s">
        <v>581</v>
      </c>
      <c r="D375" s="36" t="s">
        <v>41</v>
      </c>
      <c r="E375" s="36"/>
      <c r="F375" s="36" t="s">
        <v>20</v>
      </c>
      <c r="G375" s="36"/>
      <c r="H375" s="36"/>
      <c r="I375" s="36"/>
      <c r="J375" s="36" t="s">
        <v>353</v>
      </c>
    </row>
    <row r="376" spans="1:10" x14ac:dyDescent="0.3">
      <c r="A376" s="36" t="s">
        <v>354</v>
      </c>
      <c r="B376" s="37">
        <v>-6.8899999999999999E-7</v>
      </c>
      <c r="C376" s="36" t="s">
        <v>31</v>
      </c>
      <c r="D376" s="36" t="s">
        <v>121</v>
      </c>
      <c r="E376" s="36"/>
      <c r="F376" s="36" t="s">
        <v>20</v>
      </c>
      <c r="G376" s="36"/>
      <c r="H376" s="36"/>
      <c r="I376" s="36"/>
      <c r="J376" s="36" t="s">
        <v>355</v>
      </c>
    </row>
    <row r="377" spans="1:10" x14ac:dyDescent="0.3">
      <c r="A377" s="36"/>
      <c r="B377" s="37"/>
      <c r="C377" s="36"/>
      <c r="D377" s="36"/>
      <c r="E377" s="36"/>
      <c r="F377" s="36"/>
      <c r="G377" s="36"/>
      <c r="H377" s="36"/>
      <c r="I377" s="36"/>
      <c r="J377" s="36"/>
    </row>
    <row r="378" spans="1:10" ht="15.6" x14ac:dyDescent="0.3">
      <c r="A378" s="1" t="s">
        <v>1</v>
      </c>
      <c r="B378" s="73" t="s">
        <v>65</v>
      </c>
    </row>
    <row r="379" spans="1:10" x14ac:dyDescent="0.3">
      <c r="A379" t="s">
        <v>2</v>
      </c>
      <c r="B379" s="6" t="s">
        <v>1050</v>
      </c>
    </row>
    <row r="380" spans="1:10" x14ac:dyDescent="0.3">
      <c r="A380" t="s">
        <v>3</v>
      </c>
      <c r="B380" s="6">
        <v>1</v>
      </c>
    </row>
    <row r="381" spans="1:10" ht="15.6" x14ac:dyDescent="0.3">
      <c r="A381" t="s">
        <v>4</v>
      </c>
      <c r="B381" s="74" t="s">
        <v>61</v>
      </c>
    </row>
    <row r="382" spans="1:10" x14ac:dyDescent="0.3">
      <c r="A382" t="s">
        <v>5</v>
      </c>
      <c r="B382" s="6" t="s">
        <v>6</v>
      </c>
    </row>
    <row r="383" spans="1:10" x14ac:dyDescent="0.3">
      <c r="A383" t="s">
        <v>7</v>
      </c>
      <c r="B383" s="6" t="s">
        <v>8</v>
      </c>
    </row>
    <row r="384" spans="1:10" x14ac:dyDescent="0.3">
      <c r="A384" t="s">
        <v>9</v>
      </c>
      <c r="B384" s="6" t="s">
        <v>10</v>
      </c>
    </row>
    <row r="385" spans="1:8" x14ac:dyDescent="0.3">
      <c r="A385" t="s">
        <v>11</v>
      </c>
      <c r="B385" s="6" t="s">
        <v>175</v>
      </c>
    </row>
    <row r="386" spans="1:8" x14ac:dyDescent="0.3">
      <c r="A386" t="s">
        <v>850</v>
      </c>
      <c r="B386" s="5">
        <f>Summary!R8</f>
        <v>16.243640636399999</v>
      </c>
    </row>
    <row r="387" spans="1:8" x14ac:dyDescent="0.3">
      <c r="A387" t="s">
        <v>856</v>
      </c>
      <c r="B387" s="78">
        <f>Summary!Q8</f>
        <v>0.12</v>
      </c>
    </row>
    <row r="388" spans="1:8" ht="15.6" x14ac:dyDescent="0.3">
      <c r="A388" s="1" t="s">
        <v>12</v>
      </c>
    </row>
    <row r="389" spans="1:8" x14ac:dyDescent="0.3">
      <c r="A389" t="s">
        <v>13</v>
      </c>
      <c r="B389" s="6" t="s">
        <v>14</v>
      </c>
      <c r="C389" t="s">
        <v>2</v>
      </c>
      <c r="D389" t="s">
        <v>7</v>
      </c>
      <c r="E389" t="s">
        <v>15</v>
      </c>
      <c r="F389" t="s">
        <v>5</v>
      </c>
      <c r="G389" t="s">
        <v>11</v>
      </c>
      <c r="H389" t="s">
        <v>4</v>
      </c>
    </row>
    <row r="390" spans="1:8" ht="15.6" x14ac:dyDescent="0.3">
      <c r="A390" s="2" t="s">
        <v>65</v>
      </c>
      <c r="B390" s="6">
        <v>1</v>
      </c>
      <c r="C390" t="s">
        <v>1050</v>
      </c>
      <c r="D390" t="s">
        <v>8</v>
      </c>
      <c r="F390" t="s">
        <v>17</v>
      </c>
      <c r="G390" t="s">
        <v>18</v>
      </c>
      <c r="H390" s="2" t="s">
        <v>61</v>
      </c>
    </row>
    <row r="391" spans="1:8" x14ac:dyDescent="0.3">
      <c r="A391" t="s">
        <v>22</v>
      </c>
      <c r="B391" s="6">
        <f>185000*Parameters!$B$3/1000</f>
        <v>0.1951853415</v>
      </c>
      <c r="C391" t="s">
        <v>26</v>
      </c>
      <c r="D391" t="s">
        <v>19</v>
      </c>
      <c r="F391" t="s">
        <v>20</v>
      </c>
      <c r="G391" t="s">
        <v>60</v>
      </c>
      <c r="H391" t="s">
        <v>23</v>
      </c>
    </row>
    <row r="392" spans="1:8" x14ac:dyDescent="0.3">
      <c r="A392" t="s">
        <v>28</v>
      </c>
      <c r="B392" s="6">
        <f>415*Parameters!$B$3/1000/3.6</f>
        <v>1.2162449958333332E-4</v>
      </c>
      <c r="C392" t="s">
        <v>1051</v>
      </c>
      <c r="D392" t="s">
        <v>29</v>
      </c>
      <c r="F392" t="s">
        <v>20</v>
      </c>
      <c r="H392" t="s">
        <v>30</v>
      </c>
    </row>
    <row r="393" spans="1:8" x14ac:dyDescent="0.3">
      <c r="A393" t="s">
        <v>352</v>
      </c>
      <c r="B393" s="6">
        <f>50*Parameters!$B$7/1000</f>
        <v>8.0500000000000002E-2</v>
      </c>
      <c r="C393" t="s">
        <v>581</v>
      </c>
      <c r="D393" t="s">
        <v>41</v>
      </c>
      <c r="F393" t="s">
        <v>20</v>
      </c>
      <c r="G393" t="s">
        <v>73</v>
      </c>
      <c r="H393" t="s">
        <v>353</v>
      </c>
    </row>
    <row r="394" spans="1:8" x14ac:dyDescent="0.3">
      <c r="A394" t="s">
        <v>42</v>
      </c>
      <c r="B394" s="6">
        <f>1.462/1000</f>
        <v>1.462E-3</v>
      </c>
      <c r="C394" t="s">
        <v>1051</v>
      </c>
      <c r="D394" t="s">
        <v>8</v>
      </c>
      <c r="F394" t="s">
        <v>20</v>
      </c>
      <c r="H394" t="s">
        <v>43</v>
      </c>
    </row>
    <row r="395" spans="1:8" x14ac:dyDescent="0.3">
      <c r="A395" t="s">
        <v>44</v>
      </c>
      <c r="B395" s="6">
        <f>0.65/1000</f>
        <v>6.4999999999999997E-4</v>
      </c>
      <c r="C395" t="s">
        <v>1051</v>
      </c>
      <c r="D395" t="s">
        <v>8</v>
      </c>
      <c r="F395" t="s">
        <v>20</v>
      </c>
      <c r="H395" t="s">
        <v>45</v>
      </c>
    </row>
    <row r="396" spans="1:8" x14ac:dyDescent="0.3">
      <c r="A396" t="s">
        <v>46</v>
      </c>
      <c r="B396" s="6">
        <f>1.002/1000</f>
        <v>1.0020000000000001E-3</v>
      </c>
      <c r="C396" t="s">
        <v>1051</v>
      </c>
      <c r="D396" t="s">
        <v>8</v>
      </c>
      <c r="F396" t="s">
        <v>20</v>
      </c>
      <c r="H396" t="s">
        <v>47</v>
      </c>
    </row>
    <row r="397" spans="1:8" x14ac:dyDescent="0.3">
      <c r="A397" t="s">
        <v>50</v>
      </c>
      <c r="B397" s="6">
        <f>16.08*1.14/1000/1000</f>
        <v>1.8331199999999995E-5</v>
      </c>
      <c r="C397" t="s">
        <v>26</v>
      </c>
      <c r="D397" t="s">
        <v>8</v>
      </c>
      <c r="F397" t="s">
        <v>20</v>
      </c>
      <c r="G397" t="s">
        <v>51</v>
      </c>
      <c r="H397" t="s">
        <v>53</v>
      </c>
    </row>
    <row r="398" spans="1:8" x14ac:dyDescent="0.3">
      <c r="A398" t="s">
        <v>214</v>
      </c>
      <c r="B398" s="6">
        <v>2.7522999999999999E-2</v>
      </c>
      <c r="C398" t="s">
        <v>31</v>
      </c>
      <c r="D398" t="s">
        <v>8</v>
      </c>
      <c r="F398" t="s">
        <v>20</v>
      </c>
      <c r="G398" t="s">
        <v>216</v>
      </c>
      <c r="H398" t="s">
        <v>215</v>
      </c>
    </row>
    <row r="399" spans="1:8" x14ac:dyDescent="0.3">
      <c r="A399" t="s">
        <v>187</v>
      </c>
      <c r="B399" s="6">
        <v>4.5800000000000002E-6</v>
      </c>
      <c r="C399" t="s">
        <v>26</v>
      </c>
      <c r="D399" t="s">
        <v>119</v>
      </c>
      <c r="F399" t="s">
        <v>20</v>
      </c>
      <c r="G399" t="s">
        <v>216</v>
      </c>
      <c r="H399" t="s">
        <v>188</v>
      </c>
    </row>
    <row r="400" spans="1:8" x14ac:dyDescent="0.3">
      <c r="A400" t="s">
        <v>181</v>
      </c>
      <c r="B400" s="6">
        <v>9.1700000000000003E-6</v>
      </c>
      <c r="C400" t="s">
        <v>26</v>
      </c>
      <c r="D400" t="s">
        <v>119</v>
      </c>
      <c r="F400" t="s">
        <v>20</v>
      </c>
      <c r="G400" t="s">
        <v>216</v>
      </c>
      <c r="H400" t="s">
        <v>182</v>
      </c>
    </row>
    <row r="401" spans="1:8" x14ac:dyDescent="0.3">
      <c r="A401" t="s">
        <v>185</v>
      </c>
      <c r="B401" s="6">
        <v>3.6699999999999998E-5</v>
      </c>
      <c r="C401" t="s">
        <v>26</v>
      </c>
      <c r="D401" t="s">
        <v>119</v>
      </c>
      <c r="F401" t="s">
        <v>20</v>
      </c>
      <c r="G401" t="s">
        <v>216</v>
      </c>
      <c r="H401" t="s">
        <v>186</v>
      </c>
    </row>
    <row r="402" spans="1:8" x14ac:dyDescent="0.3">
      <c r="A402" t="s">
        <v>207</v>
      </c>
      <c r="B402" s="6">
        <v>9.1700000000000006E-5</v>
      </c>
      <c r="C402" t="s">
        <v>26</v>
      </c>
      <c r="D402" t="s">
        <v>8</v>
      </c>
      <c r="F402" t="s">
        <v>20</v>
      </c>
      <c r="G402" t="s">
        <v>216</v>
      </c>
      <c r="H402" t="s">
        <v>208</v>
      </c>
    </row>
    <row r="403" spans="1:8" x14ac:dyDescent="0.3">
      <c r="A403" t="s">
        <v>325</v>
      </c>
      <c r="B403" s="6">
        <f>(1.33)/1000</f>
        <v>1.33E-3</v>
      </c>
      <c r="D403" t="s">
        <v>8</v>
      </c>
      <c r="E403" t="s">
        <v>37</v>
      </c>
      <c r="F403" t="s">
        <v>36</v>
      </c>
      <c r="G403" t="s">
        <v>1000</v>
      </c>
    </row>
    <row r="404" spans="1:8" x14ac:dyDescent="0.3">
      <c r="A404" t="s">
        <v>994</v>
      </c>
      <c r="B404" s="6">
        <f>20.36/1000000</f>
        <v>2.0359999999999998E-5</v>
      </c>
      <c r="D404" t="s">
        <v>8</v>
      </c>
      <c r="E404" t="s">
        <v>37</v>
      </c>
      <c r="F404" t="s">
        <v>36</v>
      </c>
      <c r="G404" t="s">
        <v>1001</v>
      </c>
    </row>
    <row r="405" spans="1:8" x14ac:dyDescent="0.3">
      <c r="A405" t="s">
        <v>40</v>
      </c>
      <c r="B405" s="6">
        <f>30.436/1000000</f>
        <v>3.0436000000000001E-5</v>
      </c>
      <c r="D405" t="s">
        <v>8</v>
      </c>
      <c r="E405" t="s">
        <v>37</v>
      </c>
      <c r="F405" t="s">
        <v>36</v>
      </c>
      <c r="G405" t="s">
        <v>1002</v>
      </c>
    </row>
    <row r="406" spans="1:8" x14ac:dyDescent="0.3">
      <c r="A406" t="s">
        <v>127</v>
      </c>
      <c r="B406" s="6">
        <v>3.3464999999999999E-5</v>
      </c>
      <c r="D406" t="s">
        <v>8</v>
      </c>
      <c r="E406" t="s">
        <v>169</v>
      </c>
      <c r="F406" t="s">
        <v>36</v>
      </c>
      <c r="G406" t="s">
        <v>216</v>
      </c>
    </row>
    <row r="407" spans="1:8" x14ac:dyDescent="0.3">
      <c r="A407" t="s">
        <v>148</v>
      </c>
      <c r="B407" s="6">
        <v>-3.0948E-8</v>
      </c>
      <c r="D407" t="s">
        <v>8</v>
      </c>
      <c r="E407" t="s">
        <v>170</v>
      </c>
      <c r="F407" t="s">
        <v>36</v>
      </c>
      <c r="G407" t="s">
        <v>216</v>
      </c>
    </row>
    <row r="408" spans="1:8" x14ac:dyDescent="0.3">
      <c r="A408" t="s">
        <v>198</v>
      </c>
      <c r="B408" s="6">
        <v>1.5651999999999999E-10</v>
      </c>
      <c r="D408" t="s">
        <v>8</v>
      </c>
      <c r="E408" t="s">
        <v>171</v>
      </c>
      <c r="F408" t="s">
        <v>36</v>
      </c>
      <c r="G408" t="s">
        <v>216</v>
      </c>
    </row>
    <row r="409" spans="1:8" x14ac:dyDescent="0.3">
      <c r="A409" t="s">
        <v>198</v>
      </c>
      <c r="B409" s="6">
        <v>1.5720999999999999E-10</v>
      </c>
      <c r="D409" t="s">
        <v>8</v>
      </c>
      <c r="E409" t="s">
        <v>179</v>
      </c>
      <c r="F409" t="s">
        <v>36</v>
      </c>
      <c r="G409" t="s">
        <v>216</v>
      </c>
    </row>
    <row r="410" spans="1:8" x14ac:dyDescent="0.3">
      <c r="A410" t="s">
        <v>1046</v>
      </c>
      <c r="B410" s="6">
        <v>1.758866488192</v>
      </c>
      <c r="D410" t="s">
        <v>8</v>
      </c>
      <c r="E410" t="s">
        <v>1047</v>
      </c>
      <c r="F410" t="s">
        <v>36</v>
      </c>
      <c r="G410" t="s">
        <v>216</v>
      </c>
    </row>
    <row r="411" spans="1:8" x14ac:dyDescent="0.3">
      <c r="A411" t="s">
        <v>145</v>
      </c>
      <c r="B411" s="6">
        <v>3.0170999999999999E-6</v>
      </c>
      <c r="D411" t="s">
        <v>8</v>
      </c>
      <c r="E411" t="s">
        <v>170</v>
      </c>
      <c r="F411" t="s">
        <v>36</v>
      </c>
      <c r="G411" t="s">
        <v>216</v>
      </c>
    </row>
    <row r="412" spans="1:8" x14ac:dyDescent="0.3">
      <c r="A412" t="s">
        <v>199</v>
      </c>
      <c r="B412" s="6">
        <v>5.8163000000000003E-8</v>
      </c>
      <c r="D412" t="s">
        <v>8</v>
      </c>
      <c r="E412" t="s">
        <v>171</v>
      </c>
      <c r="F412" t="s">
        <v>36</v>
      </c>
      <c r="G412" t="s">
        <v>216</v>
      </c>
    </row>
    <row r="413" spans="1:8" x14ac:dyDescent="0.3">
      <c r="A413" t="s">
        <v>199</v>
      </c>
      <c r="B413" s="6">
        <v>2.4666000000000001E-7</v>
      </c>
      <c r="D413" t="s">
        <v>8</v>
      </c>
      <c r="E413" t="s">
        <v>179</v>
      </c>
      <c r="F413" t="s">
        <v>36</v>
      </c>
      <c r="G413" t="s">
        <v>216</v>
      </c>
    </row>
    <row r="414" spans="1:8" x14ac:dyDescent="0.3">
      <c r="A414" t="s">
        <v>132</v>
      </c>
      <c r="B414" s="6">
        <v>-1.2501999999999999E-6</v>
      </c>
      <c r="D414" t="s">
        <v>8</v>
      </c>
      <c r="E414" t="s">
        <v>170</v>
      </c>
      <c r="F414" t="s">
        <v>36</v>
      </c>
      <c r="G414" t="s">
        <v>216</v>
      </c>
    </row>
    <row r="415" spans="1:8" x14ac:dyDescent="0.3">
      <c r="A415" t="s">
        <v>200</v>
      </c>
      <c r="B415" s="6">
        <v>6.0438000000000002E-8</v>
      </c>
      <c r="D415" t="s">
        <v>8</v>
      </c>
      <c r="E415" t="s">
        <v>171</v>
      </c>
      <c r="F415" t="s">
        <v>36</v>
      </c>
      <c r="G415" t="s">
        <v>216</v>
      </c>
    </row>
    <row r="416" spans="1:8" x14ac:dyDescent="0.3">
      <c r="A416" t="s">
        <v>200</v>
      </c>
      <c r="B416" s="6">
        <v>5.2185E-8</v>
      </c>
      <c r="D416" t="s">
        <v>8</v>
      </c>
      <c r="E416" t="s">
        <v>179</v>
      </c>
      <c r="F416" t="s">
        <v>36</v>
      </c>
      <c r="G416" t="s">
        <v>216</v>
      </c>
    </row>
    <row r="417" spans="1:7" x14ac:dyDescent="0.3">
      <c r="A417" t="s">
        <v>212</v>
      </c>
      <c r="B417" s="6">
        <v>6.8807000000000005E-7</v>
      </c>
      <c r="D417" t="s">
        <v>8</v>
      </c>
      <c r="E417" t="s">
        <v>170</v>
      </c>
      <c r="F417" t="s">
        <v>36</v>
      </c>
      <c r="G417" t="s">
        <v>216</v>
      </c>
    </row>
    <row r="418" spans="1:7" x14ac:dyDescent="0.3">
      <c r="A418" t="s">
        <v>108</v>
      </c>
      <c r="B418" s="6">
        <v>20.399999999999999</v>
      </c>
      <c r="D418" t="s">
        <v>19</v>
      </c>
      <c r="E418" t="s">
        <v>112</v>
      </c>
      <c r="F418" t="s">
        <v>36</v>
      </c>
      <c r="G418" t="s">
        <v>216</v>
      </c>
    </row>
    <row r="419" spans="1:7" x14ac:dyDescent="0.3">
      <c r="A419" t="s">
        <v>213</v>
      </c>
      <c r="B419" s="6">
        <v>1.7202000000000001E-6</v>
      </c>
      <c r="D419" t="s">
        <v>8</v>
      </c>
      <c r="E419" t="s">
        <v>170</v>
      </c>
      <c r="F419" t="s">
        <v>36</v>
      </c>
      <c r="G419" t="s">
        <v>216</v>
      </c>
    </row>
    <row r="420" spans="1:7" x14ac:dyDescent="0.3">
      <c r="A420" t="s">
        <v>155</v>
      </c>
      <c r="B420" s="6">
        <v>8.2661000000000004E-6</v>
      </c>
      <c r="D420" t="s">
        <v>8</v>
      </c>
      <c r="E420" t="s">
        <v>170</v>
      </c>
      <c r="F420" t="s">
        <v>36</v>
      </c>
      <c r="G420" t="s">
        <v>216</v>
      </c>
    </row>
    <row r="421" spans="1:7" x14ac:dyDescent="0.3">
      <c r="A421" t="s">
        <v>168</v>
      </c>
      <c r="B421" s="6">
        <v>1.8898999999999999E-9</v>
      </c>
      <c r="D421" t="s">
        <v>8</v>
      </c>
      <c r="E421" t="s">
        <v>179</v>
      </c>
      <c r="F421" t="s">
        <v>36</v>
      </c>
      <c r="G421" t="s">
        <v>216</v>
      </c>
    </row>
    <row r="422" spans="1:7" x14ac:dyDescent="0.3">
      <c r="A422" t="s">
        <v>168</v>
      </c>
      <c r="B422" s="6">
        <v>1.274E-8</v>
      </c>
      <c r="D422" t="s">
        <v>8</v>
      </c>
      <c r="E422" t="s">
        <v>171</v>
      </c>
      <c r="F422" t="s">
        <v>36</v>
      </c>
      <c r="G422" t="s">
        <v>216</v>
      </c>
    </row>
    <row r="423" spans="1:7" x14ac:dyDescent="0.3">
      <c r="A423" t="s">
        <v>168</v>
      </c>
      <c r="B423" s="6">
        <v>3.9080999999999998E-8</v>
      </c>
      <c r="D423" t="s">
        <v>8</v>
      </c>
      <c r="E423" t="s">
        <v>170</v>
      </c>
      <c r="F423" t="s">
        <v>36</v>
      </c>
      <c r="G423" t="s">
        <v>216</v>
      </c>
    </row>
    <row r="424" spans="1:7" x14ac:dyDescent="0.3">
      <c r="A424" t="s">
        <v>201</v>
      </c>
      <c r="B424" s="6">
        <v>8.7036000000000004E-13</v>
      </c>
      <c r="D424" t="s">
        <v>8</v>
      </c>
      <c r="E424" t="s">
        <v>171</v>
      </c>
      <c r="F424" t="s">
        <v>36</v>
      </c>
      <c r="G424" t="s">
        <v>216</v>
      </c>
    </row>
    <row r="425" spans="1:7" x14ac:dyDescent="0.3">
      <c r="A425" t="s">
        <v>201</v>
      </c>
      <c r="B425" s="6">
        <v>6.4951000000000003E-13</v>
      </c>
      <c r="D425" t="s">
        <v>8</v>
      </c>
      <c r="E425" t="s">
        <v>179</v>
      </c>
      <c r="F425" t="s">
        <v>36</v>
      </c>
      <c r="G425" t="s">
        <v>216</v>
      </c>
    </row>
    <row r="426" spans="1:7" x14ac:dyDescent="0.3">
      <c r="A426" t="s">
        <v>201</v>
      </c>
      <c r="B426" s="6">
        <v>1.3905E-12</v>
      </c>
      <c r="D426" t="s">
        <v>8</v>
      </c>
      <c r="E426" t="s">
        <v>170</v>
      </c>
      <c r="F426" t="s">
        <v>36</v>
      </c>
      <c r="G426" t="s">
        <v>216</v>
      </c>
    </row>
    <row r="427" spans="1:7" x14ac:dyDescent="0.3">
      <c r="A427" t="s">
        <v>138</v>
      </c>
      <c r="B427" s="6">
        <v>6.4755E-8</v>
      </c>
      <c r="D427" t="s">
        <v>8</v>
      </c>
      <c r="E427" t="s">
        <v>170</v>
      </c>
      <c r="F427" t="s">
        <v>36</v>
      </c>
      <c r="G427" t="s">
        <v>216</v>
      </c>
    </row>
    <row r="428" spans="1:7" x14ac:dyDescent="0.3">
      <c r="A428" t="s">
        <v>202</v>
      </c>
      <c r="B428" s="6">
        <v>4.8989000000000003E-8</v>
      </c>
      <c r="D428" t="s">
        <v>8</v>
      </c>
      <c r="E428" t="s">
        <v>171</v>
      </c>
      <c r="F428" t="s">
        <v>36</v>
      </c>
      <c r="G428" t="s">
        <v>216</v>
      </c>
    </row>
    <row r="429" spans="1:7" x14ac:dyDescent="0.3">
      <c r="A429" t="s">
        <v>172</v>
      </c>
      <c r="B429" s="6">
        <v>4.3628E-3</v>
      </c>
      <c r="D429" t="s">
        <v>8</v>
      </c>
      <c r="E429" t="s">
        <v>179</v>
      </c>
      <c r="F429" t="s">
        <v>36</v>
      </c>
      <c r="G429" t="s">
        <v>216</v>
      </c>
    </row>
    <row r="430" spans="1:7" x14ac:dyDescent="0.3">
      <c r="A430" t="s">
        <v>38</v>
      </c>
      <c r="B430" s="6">
        <v>7.0705000000000003E-6</v>
      </c>
      <c r="D430" t="s">
        <v>8</v>
      </c>
      <c r="E430" t="s">
        <v>169</v>
      </c>
      <c r="F430" t="s">
        <v>36</v>
      </c>
      <c r="G430" t="s">
        <v>216</v>
      </c>
    </row>
    <row r="431" spans="1:7" x14ac:dyDescent="0.3">
      <c r="A431" t="s">
        <v>203</v>
      </c>
      <c r="B431" s="6">
        <v>0.92522000000000004</v>
      </c>
      <c r="D431" t="s">
        <v>113</v>
      </c>
      <c r="E431" t="s">
        <v>114</v>
      </c>
      <c r="F431" t="s">
        <v>36</v>
      </c>
      <c r="G431" t="s">
        <v>216</v>
      </c>
    </row>
    <row r="432" spans="1:7" x14ac:dyDescent="0.3">
      <c r="A432" t="s">
        <v>174</v>
      </c>
      <c r="B432" s="6">
        <v>1.9848E-5</v>
      </c>
      <c r="D432" t="s">
        <v>8</v>
      </c>
      <c r="E432" t="s">
        <v>179</v>
      </c>
      <c r="F432" t="s">
        <v>36</v>
      </c>
      <c r="G432" t="s">
        <v>216</v>
      </c>
    </row>
    <row r="433" spans="1:7" x14ac:dyDescent="0.3">
      <c r="A433" t="s">
        <v>174</v>
      </c>
      <c r="B433" s="6">
        <v>7.4398000000000002E-5</v>
      </c>
      <c r="D433" t="s">
        <v>8</v>
      </c>
      <c r="E433" t="s">
        <v>171</v>
      </c>
      <c r="F433" t="s">
        <v>36</v>
      </c>
      <c r="G433" t="s">
        <v>216</v>
      </c>
    </row>
    <row r="434" spans="1:7" x14ac:dyDescent="0.3">
      <c r="A434" t="s">
        <v>173</v>
      </c>
      <c r="B434" s="6">
        <v>1.8232000000000001E-5</v>
      </c>
      <c r="D434" t="s">
        <v>8</v>
      </c>
      <c r="E434" t="s">
        <v>171</v>
      </c>
      <c r="F434" t="s">
        <v>36</v>
      </c>
      <c r="G434" t="s">
        <v>216</v>
      </c>
    </row>
    <row r="435" spans="1:7" x14ac:dyDescent="0.3">
      <c r="A435" t="s">
        <v>204</v>
      </c>
      <c r="B435" s="6">
        <v>4.5872000000000003E-2</v>
      </c>
      <c r="D435" t="s">
        <v>115</v>
      </c>
      <c r="E435" t="s">
        <v>114</v>
      </c>
      <c r="F435" t="s">
        <v>36</v>
      </c>
      <c r="G435" t="s">
        <v>216</v>
      </c>
    </row>
    <row r="436" spans="1:7" x14ac:dyDescent="0.3">
      <c r="A436" t="s">
        <v>205</v>
      </c>
      <c r="B436" s="6">
        <v>4.5872000000000003E-2</v>
      </c>
      <c r="D436" t="s">
        <v>115</v>
      </c>
      <c r="E436" t="s">
        <v>114</v>
      </c>
      <c r="F436" t="s">
        <v>36</v>
      </c>
      <c r="G436" t="s">
        <v>216</v>
      </c>
    </row>
    <row r="437" spans="1:7" x14ac:dyDescent="0.3">
      <c r="A437" t="s">
        <v>142</v>
      </c>
      <c r="B437" s="6">
        <v>-8.3893999999999997E-6</v>
      </c>
      <c r="D437" t="s">
        <v>8</v>
      </c>
      <c r="E437" t="s">
        <v>170</v>
      </c>
      <c r="F437" t="s">
        <v>36</v>
      </c>
      <c r="G437" t="s">
        <v>216</v>
      </c>
    </row>
    <row r="438" spans="1:7" x14ac:dyDescent="0.3">
      <c r="A438" t="s">
        <v>206</v>
      </c>
      <c r="B438" s="6">
        <v>1.5839999999999999E-7</v>
      </c>
      <c r="D438" t="s">
        <v>8</v>
      </c>
      <c r="E438" t="s">
        <v>179</v>
      </c>
      <c r="F438" t="s">
        <v>36</v>
      </c>
      <c r="G438" t="s">
        <v>216</v>
      </c>
    </row>
    <row r="439" spans="1:7" x14ac:dyDescent="0.3">
      <c r="A439" t="s">
        <v>206</v>
      </c>
      <c r="B439" s="6">
        <v>4.9386000000000003E-8</v>
      </c>
      <c r="D439" t="s">
        <v>8</v>
      </c>
      <c r="E439" t="s">
        <v>171</v>
      </c>
      <c r="F439" t="s">
        <v>36</v>
      </c>
      <c r="G439" t="s">
        <v>216</v>
      </c>
    </row>
    <row r="441" spans="1:7" ht="15.6" x14ac:dyDescent="0.3">
      <c r="A441" s="1" t="s">
        <v>1</v>
      </c>
      <c r="B441" s="73" t="s">
        <v>369</v>
      </c>
    </row>
    <row r="442" spans="1:7" x14ac:dyDescent="0.3">
      <c r="A442" t="s">
        <v>2</v>
      </c>
      <c r="B442" s="6" t="s">
        <v>1050</v>
      </c>
    </row>
    <row r="443" spans="1:7" x14ac:dyDescent="0.3">
      <c r="A443" t="s">
        <v>3</v>
      </c>
      <c r="B443" s="6">
        <v>1</v>
      </c>
    </row>
    <row r="444" spans="1:7" ht="15.6" x14ac:dyDescent="0.3">
      <c r="A444" t="s">
        <v>4</v>
      </c>
      <c r="B444" s="74" t="s">
        <v>219</v>
      </c>
    </row>
    <row r="445" spans="1:7" x14ac:dyDescent="0.3">
      <c r="A445" t="s">
        <v>5</v>
      </c>
      <c r="B445" s="6" t="s">
        <v>6</v>
      </c>
    </row>
    <row r="446" spans="1:7" x14ac:dyDescent="0.3">
      <c r="A446" t="s">
        <v>7</v>
      </c>
      <c r="B446" s="6" t="s">
        <v>8</v>
      </c>
    </row>
    <row r="447" spans="1:7" x14ac:dyDescent="0.3">
      <c r="A447" t="s">
        <v>9</v>
      </c>
      <c r="B447" s="6" t="s">
        <v>10</v>
      </c>
    </row>
    <row r="448" spans="1:7" x14ac:dyDescent="0.3">
      <c r="A448" t="s">
        <v>11</v>
      </c>
      <c r="B448" s="6" t="s">
        <v>230</v>
      </c>
    </row>
    <row r="449" spans="1:8" x14ac:dyDescent="0.3">
      <c r="A449" t="s">
        <v>497</v>
      </c>
      <c r="B449" s="72">
        <f>Summary!O93</f>
        <v>0.56354491774569326</v>
      </c>
    </row>
    <row r="450" spans="1:8" ht="15.6" x14ac:dyDescent="0.3">
      <c r="A450" s="1" t="s">
        <v>12</v>
      </c>
    </row>
    <row r="451" spans="1:8" x14ac:dyDescent="0.3">
      <c r="A451" t="s">
        <v>13</v>
      </c>
      <c r="B451" s="6" t="s">
        <v>14</v>
      </c>
      <c r="C451" t="s">
        <v>2</v>
      </c>
      <c r="D451" t="s">
        <v>7</v>
      </c>
      <c r="E451" t="s">
        <v>15</v>
      </c>
      <c r="F451" t="s">
        <v>5</v>
      </c>
      <c r="G451" t="s">
        <v>11</v>
      </c>
      <c r="H451" t="s">
        <v>4</v>
      </c>
    </row>
    <row r="452" spans="1:8" ht="15.6" x14ac:dyDescent="0.3">
      <c r="A452" s="2" t="s">
        <v>369</v>
      </c>
      <c r="B452" s="6">
        <v>1</v>
      </c>
      <c r="C452" t="s">
        <v>1050</v>
      </c>
      <c r="D452" t="s">
        <v>8</v>
      </c>
      <c r="F452" t="s">
        <v>17</v>
      </c>
      <c r="G452" t="s">
        <v>18</v>
      </c>
      <c r="H452" s="2" t="s">
        <v>219</v>
      </c>
    </row>
    <row r="453" spans="1:8" ht="15.6" x14ac:dyDescent="0.3">
      <c r="A453" s="2" t="s">
        <v>65</v>
      </c>
      <c r="B453" s="6">
        <f>(1/((Parameters!C20*Parameters!B4*Parameters!B10)/1000))*Parameters!F32</f>
        <v>3.2444757981354098</v>
      </c>
      <c r="C453" t="s">
        <v>1050</v>
      </c>
      <c r="D453" t="s">
        <v>8</v>
      </c>
      <c r="F453" t="s">
        <v>20</v>
      </c>
      <c r="G453" t="s">
        <v>18</v>
      </c>
      <c r="H453" s="2" t="s">
        <v>61</v>
      </c>
    </row>
    <row r="454" spans="1:8" ht="15.6" x14ac:dyDescent="0.3">
      <c r="A454" s="2" t="s">
        <v>221</v>
      </c>
      <c r="B454" s="6">
        <f>(337*Parameters!$B$3)/(Parameters!$B$4*Parameters!$B$10)*Parameters!F32</f>
        <v>9.8054794980372589E-2</v>
      </c>
      <c r="C454" t="s">
        <v>26</v>
      </c>
      <c r="D454" t="s">
        <v>19</v>
      </c>
      <c r="F454" t="s">
        <v>20</v>
      </c>
      <c r="H454" s="2" t="s">
        <v>222</v>
      </c>
    </row>
    <row r="455" spans="1:8" ht="15.6" x14ac:dyDescent="0.3">
      <c r="A455" s="2" t="s">
        <v>252</v>
      </c>
      <c r="B455" s="6">
        <f>((346.23/1000)/(Parameters!$B$4*Parameters!$B$10))*Parameters!$F$32</f>
        <v>9.5483462725015969E-2</v>
      </c>
      <c r="C455" t="s">
        <v>31</v>
      </c>
      <c r="D455" t="s">
        <v>8</v>
      </c>
      <c r="F455" t="s">
        <v>20</v>
      </c>
      <c r="H455" s="2" t="s">
        <v>253</v>
      </c>
    </row>
    <row r="456" spans="1:8" ht="15.6" x14ac:dyDescent="0.3">
      <c r="A456" s="2" t="s">
        <v>254</v>
      </c>
      <c r="B456" s="6">
        <f>((41.55/1000)/(Parameters!$B$4*Parameters!$B$10))*Parameters!$F$32</f>
        <v>1.1458677400064735E-2</v>
      </c>
      <c r="C456" t="s">
        <v>255</v>
      </c>
      <c r="D456" t="s">
        <v>8</v>
      </c>
      <c r="F456" t="s">
        <v>20</v>
      </c>
      <c r="H456" s="2" t="s">
        <v>256</v>
      </c>
    </row>
    <row r="457" spans="1:8" ht="15.6" x14ac:dyDescent="0.3">
      <c r="A457" s="2" t="s">
        <v>257</v>
      </c>
      <c r="B457" s="6">
        <f>((20.77/1000)/(Parameters!$B$4*Parameters!$B$10))*Parameters!$F$32</f>
        <v>5.7279597978181608E-3</v>
      </c>
      <c r="C457" t="s">
        <v>31</v>
      </c>
      <c r="D457" t="s">
        <v>8</v>
      </c>
      <c r="F457" t="s">
        <v>20</v>
      </c>
      <c r="H457" s="2" t="s">
        <v>414</v>
      </c>
    </row>
    <row r="458" spans="1:8" ht="15.6" x14ac:dyDescent="0.3">
      <c r="A458" s="2" t="s">
        <v>370</v>
      </c>
      <c r="B458" s="6">
        <f>((76.17/1000)/(Parameters!$B$4*Parameters!$B$10))*Parameters!$F$32</f>
        <v>2.1006196331237806E-2</v>
      </c>
      <c r="C458" t="s">
        <v>31</v>
      </c>
      <c r="D458" t="s">
        <v>8</v>
      </c>
      <c r="F458" t="s">
        <v>20</v>
      </c>
      <c r="H458" s="2" t="s">
        <v>371</v>
      </c>
    </row>
    <row r="459" spans="1:8" ht="15.6" x14ac:dyDescent="0.3">
      <c r="A459" s="2" t="s">
        <v>388</v>
      </c>
      <c r="B459" s="6">
        <f>((117.72/1000)/(Parameters!$B$4*Parameters!$B$10))*Parameters!$F$32</f>
        <v>3.2464873731302545E-2</v>
      </c>
      <c r="C459" t="s">
        <v>26</v>
      </c>
      <c r="D459" t="s">
        <v>8</v>
      </c>
      <c r="F459" t="s">
        <v>20</v>
      </c>
      <c r="G459" t="s">
        <v>390</v>
      </c>
      <c r="H459" s="2" t="s">
        <v>389</v>
      </c>
    </row>
    <row r="460" spans="1:8" x14ac:dyDescent="0.3">
      <c r="A460" t="s">
        <v>265</v>
      </c>
      <c r="B460" s="6">
        <f>(B410*B453)-Parameters!$B$13</f>
        <v>3.7925997530903643</v>
      </c>
      <c r="D460" t="s">
        <v>8</v>
      </c>
      <c r="E460" t="s">
        <v>37</v>
      </c>
      <c r="F460" t="s">
        <v>36</v>
      </c>
      <c r="G460" t="s">
        <v>428</v>
      </c>
    </row>
    <row r="461" spans="1:8" x14ac:dyDescent="0.3">
      <c r="A461" t="s">
        <v>306</v>
      </c>
      <c r="B461" s="6">
        <f>1/(90000000*20)</f>
        <v>5.5555555555555553E-10</v>
      </c>
      <c r="C461" t="s">
        <v>26</v>
      </c>
      <c r="D461" t="s">
        <v>7</v>
      </c>
      <c r="F461" t="s">
        <v>20</v>
      </c>
      <c r="G461" t="s">
        <v>308</v>
      </c>
      <c r="H461" t="s">
        <v>307</v>
      </c>
    </row>
    <row r="462" spans="1:8" ht="15.6" x14ac:dyDescent="0.3">
      <c r="A462" s="2"/>
      <c r="H462" s="2"/>
    </row>
    <row r="463" spans="1:8" ht="15.6" x14ac:dyDescent="0.3">
      <c r="A463" s="1" t="s">
        <v>1</v>
      </c>
      <c r="B463" s="73" t="s">
        <v>372</v>
      </c>
    </row>
    <row r="464" spans="1:8" x14ac:dyDescent="0.3">
      <c r="A464" t="s">
        <v>2</v>
      </c>
      <c r="B464" s="6" t="s">
        <v>1050</v>
      </c>
    </row>
    <row r="465" spans="1:8" x14ac:dyDescent="0.3">
      <c r="A465" t="s">
        <v>3</v>
      </c>
      <c r="B465" s="6">
        <v>1</v>
      </c>
    </row>
    <row r="466" spans="1:8" ht="15.6" x14ac:dyDescent="0.3">
      <c r="A466" t="s">
        <v>4</v>
      </c>
      <c r="B466" s="74" t="s">
        <v>219</v>
      </c>
    </row>
    <row r="467" spans="1:8" x14ac:dyDescent="0.3">
      <c r="A467" t="s">
        <v>5</v>
      </c>
      <c r="B467" s="6" t="s">
        <v>6</v>
      </c>
    </row>
    <row r="468" spans="1:8" x14ac:dyDescent="0.3">
      <c r="A468" t="s">
        <v>7</v>
      </c>
      <c r="B468" s="6" t="s">
        <v>8</v>
      </c>
    </row>
    <row r="469" spans="1:8" x14ac:dyDescent="0.3">
      <c r="A469" t="s">
        <v>9</v>
      </c>
      <c r="B469" s="6" t="s">
        <v>10</v>
      </c>
    </row>
    <row r="470" spans="1:8" x14ac:dyDescent="0.3">
      <c r="A470" t="s">
        <v>11</v>
      </c>
      <c r="B470" s="6" t="s">
        <v>373</v>
      </c>
    </row>
    <row r="471" spans="1:8" x14ac:dyDescent="0.3">
      <c r="A471" t="s">
        <v>497</v>
      </c>
      <c r="B471" s="72">
        <f>Summary!O36</f>
        <v>0.50955808662450253</v>
      </c>
    </row>
    <row r="472" spans="1:8" ht="15.6" x14ac:dyDescent="0.3">
      <c r="A472" s="1" t="s">
        <v>12</v>
      </c>
    </row>
    <row r="473" spans="1:8" x14ac:dyDescent="0.3">
      <c r="A473" t="s">
        <v>13</v>
      </c>
      <c r="B473" s="6" t="s">
        <v>14</v>
      </c>
      <c r="C473" t="s">
        <v>2</v>
      </c>
      <c r="D473" t="s">
        <v>7</v>
      </c>
      <c r="E473" t="s">
        <v>15</v>
      </c>
      <c r="F473" t="s">
        <v>5</v>
      </c>
      <c r="G473" t="s">
        <v>11</v>
      </c>
      <c r="H473" t="s">
        <v>4</v>
      </c>
    </row>
    <row r="474" spans="1:8" ht="15.6" x14ac:dyDescent="0.3">
      <c r="A474" s="2" t="s">
        <v>372</v>
      </c>
      <c r="B474" s="6">
        <v>1</v>
      </c>
      <c r="C474" t="s">
        <v>1050</v>
      </c>
      <c r="D474" t="s">
        <v>8</v>
      </c>
      <c r="F474" t="s">
        <v>17</v>
      </c>
      <c r="G474" t="s">
        <v>18</v>
      </c>
      <c r="H474" s="2" t="s">
        <v>219</v>
      </c>
    </row>
    <row r="475" spans="1:8" ht="15.6" x14ac:dyDescent="0.3">
      <c r="A475" s="2" t="s">
        <v>65</v>
      </c>
      <c r="B475" s="6">
        <f>(1/((Parameters!$C$20*Parameters!$B$4*Parameters!$B$10)/1000))*Parameters!G32</f>
        <v>3.5882226085354634</v>
      </c>
      <c r="C475" t="s">
        <v>1050</v>
      </c>
      <c r="D475" t="s">
        <v>8</v>
      </c>
      <c r="F475" t="s">
        <v>20</v>
      </c>
      <c r="G475" t="s">
        <v>18</v>
      </c>
      <c r="H475" s="2" t="s">
        <v>61</v>
      </c>
    </row>
    <row r="476" spans="1:8" ht="15.6" x14ac:dyDescent="0.3">
      <c r="A476" s="2" t="s">
        <v>221</v>
      </c>
      <c r="B476" s="6">
        <f>(337*Parameters!$B$3)/(Parameters!$B$4*Parameters!$B$10)*Parameters!$G$32</f>
        <v>0.1084435372968679</v>
      </c>
      <c r="C476" t="s">
        <v>26</v>
      </c>
      <c r="D476" t="s">
        <v>19</v>
      </c>
      <c r="F476" t="s">
        <v>20</v>
      </c>
      <c r="H476" s="2" t="s">
        <v>222</v>
      </c>
    </row>
    <row r="477" spans="1:8" ht="15.6" x14ac:dyDescent="0.3">
      <c r="A477" s="2" t="s">
        <v>252</v>
      </c>
      <c r="B477" s="6">
        <f>((346.23/1000)/(Parameters!$B$4*Parameters!$B$10))*Parameters!$G$32</f>
        <v>0.10559977666902486</v>
      </c>
      <c r="C477" t="s">
        <v>31</v>
      </c>
      <c r="D477" t="s">
        <v>8</v>
      </c>
      <c r="F477" t="s">
        <v>20</v>
      </c>
      <c r="H477" s="2" t="s">
        <v>253</v>
      </c>
    </row>
    <row r="478" spans="1:8" ht="15.6" x14ac:dyDescent="0.3">
      <c r="A478" s="2" t="s">
        <v>254</v>
      </c>
      <c r="B478" s="6">
        <f>((41.55/1000)/(Parameters!$B$4*Parameters!$B$10))*Parameters!$G$32</f>
        <v>1.2672705197695122E-2</v>
      </c>
      <c r="C478" t="s">
        <v>255</v>
      </c>
      <c r="D478" t="s">
        <v>8</v>
      </c>
      <c r="F478" t="s">
        <v>20</v>
      </c>
      <c r="H478" s="2" t="s">
        <v>256</v>
      </c>
    </row>
    <row r="479" spans="1:8" ht="15.6" x14ac:dyDescent="0.3">
      <c r="A479" s="2" t="s">
        <v>257</v>
      </c>
      <c r="B479" s="6">
        <f>((20.77/1000)/(Parameters!$B$4*Parameters!$B$10))*Parameters!$G$32</f>
        <v>6.3348276042389344E-3</v>
      </c>
      <c r="C479" t="s">
        <v>31</v>
      </c>
      <c r="D479" t="s">
        <v>8</v>
      </c>
      <c r="F479" t="s">
        <v>20</v>
      </c>
      <c r="H479" s="2" t="s">
        <v>414</v>
      </c>
    </row>
    <row r="480" spans="1:8" ht="15.6" x14ac:dyDescent="0.3">
      <c r="A480" s="2" t="s">
        <v>370</v>
      </c>
      <c r="B480" s="6">
        <f>((76.17/1000)/(Parameters!$B$4*Parameters!$B$10))*Parameters!$G$32</f>
        <v>2.3231767867832431E-2</v>
      </c>
      <c r="C480" t="s">
        <v>31</v>
      </c>
      <c r="D480" t="s">
        <v>8</v>
      </c>
      <c r="F480" t="s">
        <v>20</v>
      </c>
      <c r="H480" s="2" t="s">
        <v>371</v>
      </c>
    </row>
    <row r="481" spans="1:8" ht="15.6" x14ac:dyDescent="0.3">
      <c r="A481" s="2" t="s">
        <v>388</v>
      </c>
      <c r="B481" s="6">
        <f>((117.72/1000)/(Parameters!$B$4*Parameters!$B$10))*Parameters!$G$32</f>
        <v>3.5904473065527555E-2</v>
      </c>
      <c r="C481" t="s">
        <v>26</v>
      </c>
      <c r="D481" t="s">
        <v>8</v>
      </c>
      <c r="F481" t="s">
        <v>20</v>
      </c>
      <c r="G481" t="s">
        <v>390</v>
      </c>
      <c r="H481" s="2" t="s">
        <v>389</v>
      </c>
    </row>
    <row r="482" spans="1:8" x14ac:dyDescent="0.3">
      <c r="A482" t="s">
        <v>265</v>
      </c>
      <c r="B482" s="6">
        <f>(B410*B475)-Parameters!$B$13</f>
        <v>4.397204498325908</v>
      </c>
      <c r="D482" t="s">
        <v>8</v>
      </c>
      <c r="E482" t="s">
        <v>37</v>
      </c>
      <c r="F482" t="s">
        <v>36</v>
      </c>
      <c r="G482" t="s">
        <v>428</v>
      </c>
    </row>
    <row r="483" spans="1:8" x14ac:dyDescent="0.3">
      <c r="A483" t="s">
        <v>306</v>
      </c>
      <c r="B483" s="6">
        <f>1/(90000000*20)</f>
        <v>5.5555555555555553E-10</v>
      </c>
      <c r="C483" t="s">
        <v>26</v>
      </c>
      <c r="D483" t="s">
        <v>7</v>
      </c>
      <c r="F483" t="s">
        <v>20</v>
      </c>
      <c r="G483" t="s">
        <v>308</v>
      </c>
      <c r="H483" t="s">
        <v>307</v>
      </c>
    </row>
    <row r="484" spans="1:8" ht="15.6" x14ac:dyDescent="0.3">
      <c r="A484" s="2"/>
      <c r="H484" s="2"/>
    </row>
    <row r="485" spans="1:8" ht="15.6" x14ac:dyDescent="0.3">
      <c r="A485" s="1" t="s">
        <v>1</v>
      </c>
      <c r="B485" s="73" t="s">
        <v>510</v>
      </c>
    </row>
    <row r="486" spans="1:8" x14ac:dyDescent="0.3">
      <c r="A486" t="s">
        <v>2</v>
      </c>
      <c r="B486" s="6" t="s">
        <v>1050</v>
      </c>
    </row>
    <row r="487" spans="1:8" x14ac:dyDescent="0.3">
      <c r="A487" t="s">
        <v>3</v>
      </c>
      <c r="B487" s="6">
        <v>1</v>
      </c>
    </row>
    <row r="488" spans="1:8" ht="15.6" x14ac:dyDescent="0.3">
      <c r="A488" t="s">
        <v>4</v>
      </c>
      <c r="B488" s="74" t="s">
        <v>219</v>
      </c>
    </row>
    <row r="489" spans="1:8" x14ac:dyDescent="0.3">
      <c r="A489" t="s">
        <v>5</v>
      </c>
      <c r="B489" s="6" t="s">
        <v>6</v>
      </c>
    </row>
    <row r="490" spans="1:8" x14ac:dyDescent="0.3">
      <c r="A490" t="s">
        <v>7</v>
      </c>
      <c r="B490" s="6" t="s">
        <v>8</v>
      </c>
    </row>
    <row r="491" spans="1:8" x14ac:dyDescent="0.3">
      <c r="A491" t="s">
        <v>9</v>
      </c>
      <c r="B491" s="6" t="s">
        <v>10</v>
      </c>
    </row>
    <row r="492" spans="1:8" x14ac:dyDescent="0.3">
      <c r="A492" t="s">
        <v>11</v>
      </c>
      <c r="B492" s="6" t="s">
        <v>504</v>
      </c>
    </row>
    <row r="493" spans="1:8" x14ac:dyDescent="0.3">
      <c r="A493" t="s">
        <v>497</v>
      </c>
      <c r="B493" s="72">
        <f>Summary!O93</f>
        <v>0.56354491774569326</v>
      </c>
    </row>
    <row r="494" spans="1:8" ht="15.6" x14ac:dyDescent="0.3">
      <c r="A494" s="1" t="s">
        <v>12</v>
      </c>
    </row>
    <row r="495" spans="1:8" x14ac:dyDescent="0.3">
      <c r="A495" t="s">
        <v>13</v>
      </c>
      <c r="B495" s="6" t="s">
        <v>14</v>
      </c>
      <c r="C495" t="s">
        <v>2</v>
      </c>
      <c r="D495" t="s">
        <v>7</v>
      </c>
      <c r="E495" t="s">
        <v>15</v>
      </c>
      <c r="F495" t="s">
        <v>5</v>
      </c>
      <c r="G495" t="s">
        <v>11</v>
      </c>
      <c r="H495" t="s">
        <v>4</v>
      </c>
    </row>
    <row r="496" spans="1:8" ht="15.6" x14ac:dyDescent="0.3">
      <c r="A496" s="2" t="s">
        <v>510</v>
      </c>
      <c r="B496" s="6">
        <v>1</v>
      </c>
      <c r="C496" t="s">
        <v>1050</v>
      </c>
      <c r="D496" t="s">
        <v>8</v>
      </c>
      <c r="F496" t="s">
        <v>17</v>
      </c>
      <c r="G496" t="s">
        <v>18</v>
      </c>
      <c r="H496" s="2" t="s">
        <v>219</v>
      </c>
    </row>
    <row r="497" spans="1:9" ht="15.6" x14ac:dyDescent="0.3">
      <c r="A497" s="2" t="s">
        <v>65</v>
      </c>
      <c r="B497" s="6">
        <f>(1/((Parameters!$C$20*Parameters!$B$4*Parameters!$B$10)/1000))</f>
        <v>3.9394735346660368</v>
      </c>
      <c r="C497" t="s">
        <v>1050</v>
      </c>
      <c r="D497" t="s">
        <v>8</v>
      </c>
      <c r="F497" t="s">
        <v>20</v>
      </c>
      <c r="G497" t="s">
        <v>18</v>
      </c>
      <c r="H497" s="2" t="s">
        <v>61</v>
      </c>
    </row>
    <row r="498" spans="1:9" ht="15.6" x14ac:dyDescent="0.3">
      <c r="A498" s="2" t="s">
        <v>221</v>
      </c>
      <c r="B498" s="6">
        <f>(337*Parameters!$B$3)/(Parameters!$B$4*Parameters!$B$10)</f>
        <v>0.11905906957120109</v>
      </c>
      <c r="C498" t="s">
        <v>26</v>
      </c>
      <c r="D498" t="s">
        <v>19</v>
      </c>
      <c r="F498" t="s">
        <v>20</v>
      </c>
      <c r="H498" s="2" t="s">
        <v>222</v>
      </c>
    </row>
    <row r="499" spans="1:9" ht="15.6" x14ac:dyDescent="0.3">
      <c r="A499" s="2" t="s">
        <v>252</v>
      </c>
      <c r="B499" s="6">
        <f>((346.23/1000)/(Parameters!$B$4*Parameters!$B$10))</f>
        <v>0.11593693336213089</v>
      </c>
      <c r="C499" t="s">
        <v>31</v>
      </c>
      <c r="D499" t="s">
        <v>8</v>
      </c>
      <c r="F499" t="s">
        <v>20</v>
      </c>
      <c r="H499" s="2" t="s">
        <v>253</v>
      </c>
    </row>
    <row r="500" spans="1:9" ht="15.6" x14ac:dyDescent="0.3">
      <c r="A500" s="2" t="s">
        <v>254</v>
      </c>
      <c r="B500" s="6">
        <f>((41.55/1000)/(Parameters!$B$4*Parameters!$B$10))</f>
        <v>1.3913235656056776E-2</v>
      </c>
      <c r="C500" t="s">
        <v>255</v>
      </c>
      <c r="D500" t="s">
        <v>8</v>
      </c>
      <c r="F500" t="s">
        <v>20</v>
      </c>
      <c r="H500" s="2" t="s">
        <v>256</v>
      </c>
    </row>
    <row r="501" spans="1:9" ht="15.6" x14ac:dyDescent="0.3">
      <c r="A501" s="2" t="s">
        <v>257</v>
      </c>
      <c r="B501" s="6">
        <f>((20.77/1000)/(Parameters!$B$4*Parameters!$B$10))</f>
        <v>6.9549435517761559E-3</v>
      </c>
      <c r="C501" t="s">
        <v>31</v>
      </c>
      <c r="D501" t="s">
        <v>8</v>
      </c>
      <c r="F501" t="s">
        <v>20</v>
      </c>
      <c r="H501" s="2" t="s">
        <v>414</v>
      </c>
    </row>
    <row r="502" spans="1:9" ht="15.6" x14ac:dyDescent="0.3">
      <c r="A502" s="2" t="s">
        <v>370</v>
      </c>
      <c r="B502" s="6">
        <f>((76.17/1000)/(Parameters!$B$4*Parameters!$B$10))</f>
        <v>2.5505924426518525E-2</v>
      </c>
      <c r="C502" t="s">
        <v>31</v>
      </c>
      <c r="D502" t="s">
        <v>8</v>
      </c>
      <c r="F502" t="s">
        <v>20</v>
      </c>
      <c r="H502" s="2" t="s">
        <v>371</v>
      </c>
    </row>
    <row r="503" spans="1:9" ht="15.6" x14ac:dyDescent="0.3">
      <c r="A503" s="2" t="s">
        <v>388</v>
      </c>
      <c r="B503" s="6">
        <f>((117.72/1000)/(Parameters!$B$4*Parameters!$B$10))</f>
        <v>3.9419160082575302E-2</v>
      </c>
      <c r="C503" t="s">
        <v>26</v>
      </c>
      <c r="D503" t="s">
        <v>8</v>
      </c>
      <c r="F503" t="s">
        <v>20</v>
      </c>
      <c r="G503" t="s">
        <v>390</v>
      </c>
      <c r="H503" s="2" t="s">
        <v>389</v>
      </c>
    </row>
    <row r="504" spans="1:9" x14ac:dyDescent="0.3">
      <c r="A504" t="s">
        <v>265</v>
      </c>
      <c r="B504" s="6">
        <f>(B410*B497)-Parameters!$B$13</f>
        <v>5.0150079812433779</v>
      </c>
      <c r="D504" t="s">
        <v>8</v>
      </c>
      <c r="E504" t="s">
        <v>37</v>
      </c>
      <c r="F504" t="s">
        <v>36</v>
      </c>
      <c r="G504" t="s">
        <v>428</v>
      </c>
    </row>
    <row r="505" spans="1:9" x14ac:dyDescent="0.3">
      <c r="A505" t="s">
        <v>306</v>
      </c>
      <c r="B505" s="6">
        <f>1/(90000000*20)</f>
        <v>5.5555555555555553E-10</v>
      </c>
      <c r="C505" t="s">
        <v>26</v>
      </c>
      <c r="D505" t="s">
        <v>7</v>
      </c>
      <c r="F505" t="s">
        <v>20</v>
      </c>
      <c r="G505" t="s">
        <v>308</v>
      </c>
      <c r="H505" t="s">
        <v>307</v>
      </c>
    </row>
    <row r="506" spans="1:9" x14ac:dyDescent="0.3">
      <c r="A506" s="36" t="s">
        <v>28</v>
      </c>
      <c r="B506" s="37">
        <f>Parameters!C19/Parameters!B4*Parameters!B10*-1</f>
        <v>-0.50274302587613584</v>
      </c>
      <c r="C506" t="s">
        <v>1051</v>
      </c>
      <c r="D506" s="36" t="s">
        <v>29</v>
      </c>
      <c r="E506" s="36"/>
      <c r="F506" s="36" t="s">
        <v>20</v>
      </c>
      <c r="G506" s="36" t="s">
        <v>505</v>
      </c>
      <c r="H506" s="36" t="s">
        <v>30</v>
      </c>
      <c r="I506" s="36"/>
    </row>
    <row r="507" spans="1:9" ht="15.6" x14ac:dyDescent="0.3">
      <c r="A507" s="2"/>
      <c r="H507" s="2"/>
    </row>
    <row r="508" spans="1:9" ht="15.6" x14ac:dyDescent="0.3">
      <c r="A508" s="1" t="s">
        <v>1</v>
      </c>
      <c r="B508" s="73" t="s">
        <v>396</v>
      </c>
    </row>
    <row r="509" spans="1:9" x14ac:dyDescent="0.3">
      <c r="A509" t="s">
        <v>2</v>
      </c>
      <c r="B509" s="6" t="s">
        <v>1050</v>
      </c>
    </row>
    <row r="510" spans="1:9" x14ac:dyDescent="0.3">
      <c r="A510" t="s">
        <v>3</v>
      </c>
      <c r="B510" s="6">
        <v>1</v>
      </c>
    </row>
    <row r="511" spans="1:9" ht="15.6" x14ac:dyDescent="0.3">
      <c r="A511" t="s">
        <v>4</v>
      </c>
      <c r="B511" s="74" t="s">
        <v>337</v>
      </c>
    </row>
    <row r="512" spans="1:9" x14ac:dyDescent="0.3">
      <c r="A512" t="s">
        <v>5</v>
      </c>
      <c r="B512" s="6" t="s">
        <v>6</v>
      </c>
    </row>
    <row r="513" spans="1:10" x14ac:dyDescent="0.3">
      <c r="A513" t="s">
        <v>7</v>
      </c>
      <c r="B513" s="6" t="s">
        <v>8</v>
      </c>
    </row>
    <row r="514" spans="1:10" x14ac:dyDescent="0.3">
      <c r="A514" t="s">
        <v>9</v>
      </c>
      <c r="B514" s="6" t="s">
        <v>393</v>
      </c>
    </row>
    <row r="515" spans="1:10" x14ac:dyDescent="0.3">
      <c r="A515" t="s">
        <v>11</v>
      </c>
      <c r="B515" s="6" t="s">
        <v>362</v>
      </c>
    </row>
    <row r="516" spans="1:10" ht="15.6" x14ac:dyDescent="0.3">
      <c r="A516" s="1" t="s">
        <v>12</v>
      </c>
    </row>
    <row r="517" spans="1:10" x14ac:dyDescent="0.3">
      <c r="A517" t="s">
        <v>13</v>
      </c>
      <c r="B517" s="6" t="s">
        <v>14</v>
      </c>
      <c r="C517" t="s">
        <v>2</v>
      </c>
      <c r="D517" t="s">
        <v>7</v>
      </c>
      <c r="E517" t="s">
        <v>15</v>
      </c>
      <c r="F517" t="s">
        <v>5</v>
      </c>
      <c r="G517" t="s">
        <v>338</v>
      </c>
      <c r="H517" t="s">
        <v>339</v>
      </c>
      <c r="I517" t="s">
        <v>11</v>
      </c>
      <c r="J517" t="s">
        <v>4</v>
      </c>
    </row>
    <row r="518" spans="1:10" x14ac:dyDescent="0.3">
      <c r="A518" s="36" t="s">
        <v>396</v>
      </c>
      <c r="B518" s="37">
        <v>1</v>
      </c>
      <c r="C518" t="s">
        <v>1050</v>
      </c>
      <c r="D518" s="36" t="s">
        <v>8</v>
      </c>
      <c r="E518" s="36"/>
      <c r="F518" s="36" t="s">
        <v>17</v>
      </c>
      <c r="G518" s="36"/>
      <c r="H518" s="36"/>
      <c r="I518" s="36" t="s">
        <v>18</v>
      </c>
      <c r="J518" s="36" t="s">
        <v>337</v>
      </c>
    </row>
    <row r="519" spans="1:10" ht="15.6" x14ac:dyDescent="0.3">
      <c r="A519" s="2" t="s">
        <v>369</v>
      </c>
      <c r="B519" s="6">
        <v>1.00057</v>
      </c>
      <c r="C519" t="s">
        <v>1050</v>
      </c>
      <c r="D519" t="s">
        <v>8</v>
      </c>
      <c r="F519" s="36" t="s">
        <v>20</v>
      </c>
      <c r="G519" t="s">
        <v>18</v>
      </c>
      <c r="I519" s="36"/>
      <c r="J519" s="2" t="s">
        <v>219</v>
      </c>
    </row>
    <row r="520" spans="1:10" x14ac:dyDescent="0.3">
      <c r="A520" s="36" t="s">
        <v>28</v>
      </c>
      <c r="B520" s="37">
        <v>6.7000000000000002E-3</v>
      </c>
      <c r="C520" t="s">
        <v>1051</v>
      </c>
      <c r="D520" s="36" t="s">
        <v>29</v>
      </c>
      <c r="E520" s="36"/>
      <c r="F520" s="36" t="s">
        <v>20</v>
      </c>
      <c r="G520" s="36"/>
      <c r="H520" s="36"/>
      <c r="I520" s="36"/>
      <c r="J520" s="36" t="s">
        <v>30</v>
      </c>
    </row>
    <row r="521" spans="1:10" x14ac:dyDescent="0.3">
      <c r="A521" s="36" t="s">
        <v>340</v>
      </c>
      <c r="B521" s="37">
        <v>-1.6799999999999999E-4</v>
      </c>
      <c r="C521" s="36" t="s">
        <v>31</v>
      </c>
      <c r="D521" s="36" t="s">
        <v>8</v>
      </c>
      <c r="E521" s="36"/>
      <c r="F521" s="36" t="s">
        <v>20</v>
      </c>
      <c r="G521" s="36"/>
      <c r="H521" s="36"/>
      <c r="I521" s="36"/>
      <c r="J521" s="36" t="s">
        <v>341</v>
      </c>
    </row>
    <row r="522" spans="1:10" x14ac:dyDescent="0.3">
      <c r="A522" s="36" t="s">
        <v>342</v>
      </c>
      <c r="B522" s="37">
        <v>5.8399999999999999E-4</v>
      </c>
      <c r="C522" s="36" t="s">
        <v>31</v>
      </c>
      <c r="D522" s="36" t="s">
        <v>19</v>
      </c>
      <c r="E522" s="36"/>
      <c r="F522" s="36" t="s">
        <v>20</v>
      </c>
      <c r="G522" s="36"/>
      <c r="H522" s="36"/>
      <c r="I522" s="36"/>
      <c r="J522" s="36" t="s">
        <v>343</v>
      </c>
    </row>
    <row r="523" spans="1:10" x14ac:dyDescent="0.3">
      <c r="A523" s="36" t="s">
        <v>344</v>
      </c>
      <c r="B523" s="37">
        <v>2.5999999999999998E-10</v>
      </c>
      <c r="C523" s="36" t="s">
        <v>31</v>
      </c>
      <c r="D523" s="36" t="s">
        <v>7</v>
      </c>
      <c r="E523" s="36"/>
      <c r="F523" s="36" t="s">
        <v>20</v>
      </c>
      <c r="G523" s="36"/>
      <c r="H523" s="36"/>
      <c r="I523" s="36"/>
      <c r="J523" s="36" t="s">
        <v>345</v>
      </c>
    </row>
    <row r="524" spans="1:10" x14ac:dyDescent="0.3">
      <c r="A524" s="36" t="s">
        <v>346</v>
      </c>
      <c r="B524" s="37">
        <v>-6.2700000000000001E-6</v>
      </c>
      <c r="C524" s="36" t="s">
        <v>31</v>
      </c>
      <c r="D524" s="36" t="s">
        <v>8</v>
      </c>
      <c r="E524" s="36"/>
      <c r="F524" s="36" t="s">
        <v>20</v>
      </c>
      <c r="G524" s="36"/>
      <c r="H524" s="36"/>
      <c r="I524" s="36"/>
      <c r="J524" s="36" t="s">
        <v>347</v>
      </c>
    </row>
    <row r="525" spans="1:10" x14ac:dyDescent="0.3">
      <c r="A525" s="36" t="s">
        <v>348</v>
      </c>
      <c r="B525" s="37">
        <v>-7.4999999999999993E-5</v>
      </c>
      <c r="C525" s="36" t="s">
        <v>31</v>
      </c>
      <c r="D525" s="36" t="s">
        <v>121</v>
      </c>
      <c r="E525" s="36"/>
      <c r="F525" s="36" t="s">
        <v>20</v>
      </c>
      <c r="G525" s="36"/>
      <c r="H525" s="36"/>
      <c r="I525" s="36"/>
      <c r="J525" s="36" t="s">
        <v>349</v>
      </c>
    </row>
    <row r="526" spans="1:10" x14ac:dyDescent="0.3">
      <c r="A526" s="36" t="s">
        <v>350</v>
      </c>
      <c r="B526" s="37">
        <v>6.8900000000000005E-4</v>
      </c>
      <c r="C526" s="36" t="s">
        <v>31</v>
      </c>
      <c r="D526" s="36" t="s">
        <v>8</v>
      </c>
      <c r="E526" s="36"/>
      <c r="F526" s="36" t="s">
        <v>20</v>
      </c>
      <c r="G526" s="36"/>
      <c r="H526" s="36"/>
      <c r="I526" s="36"/>
      <c r="J526" s="36" t="s">
        <v>351</v>
      </c>
    </row>
    <row r="527" spans="1:10" x14ac:dyDescent="0.3">
      <c r="A527" s="36" t="s">
        <v>100</v>
      </c>
      <c r="B527" s="37">
        <v>3.3599999999999998E-2</v>
      </c>
      <c r="C527" s="36" t="s">
        <v>31</v>
      </c>
      <c r="D527" s="36" t="s">
        <v>41</v>
      </c>
      <c r="E527" s="36"/>
      <c r="F527" s="36" t="s">
        <v>20</v>
      </c>
      <c r="G527" s="36"/>
      <c r="H527" s="36"/>
      <c r="I527" s="36"/>
      <c r="J527" s="36" t="s">
        <v>103</v>
      </c>
    </row>
    <row r="528" spans="1:10" x14ac:dyDescent="0.3">
      <c r="A528" s="36" t="s">
        <v>352</v>
      </c>
      <c r="B528" s="37">
        <v>3.2599999999999997E-2</v>
      </c>
      <c r="C528" s="36" t="s">
        <v>581</v>
      </c>
      <c r="D528" s="36" t="s">
        <v>41</v>
      </c>
      <c r="E528" s="36"/>
      <c r="F528" s="36" t="s">
        <v>20</v>
      </c>
      <c r="G528" s="36"/>
      <c r="H528" s="36"/>
      <c r="I528" s="36"/>
      <c r="J528" s="36" t="s">
        <v>353</v>
      </c>
    </row>
    <row r="529" spans="1:10" x14ac:dyDescent="0.3">
      <c r="A529" s="36" t="s">
        <v>354</v>
      </c>
      <c r="B529" s="37">
        <v>-6.8899999999999999E-7</v>
      </c>
      <c r="C529" s="36" t="s">
        <v>31</v>
      </c>
      <c r="D529" s="36" t="s">
        <v>121</v>
      </c>
      <c r="E529" s="36"/>
      <c r="F529" s="36" t="s">
        <v>20</v>
      </c>
      <c r="G529" s="36"/>
      <c r="H529" s="36"/>
      <c r="I529" s="36"/>
      <c r="J529" s="36" t="s">
        <v>355</v>
      </c>
    </row>
    <row r="531" spans="1:10" ht="15.6" x14ac:dyDescent="0.3">
      <c r="A531" s="1" t="s">
        <v>1</v>
      </c>
      <c r="B531" s="73" t="s">
        <v>397</v>
      </c>
    </row>
    <row r="532" spans="1:10" x14ac:dyDescent="0.3">
      <c r="A532" t="s">
        <v>2</v>
      </c>
      <c r="B532" s="6" t="s">
        <v>1050</v>
      </c>
    </row>
    <row r="533" spans="1:10" x14ac:dyDescent="0.3">
      <c r="A533" t="s">
        <v>3</v>
      </c>
      <c r="B533" s="6">
        <v>1</v>
      </c>
    </row>
    <row r="534" spans="1:10" ht="15.6" x14ac:dyDescent="0.3">
      <c r="A534" t="s">
        <v>4</v>
      </c>
      <c r="B534" s="74" t="s">
        <v>337</v>
      </c>
    </row>
    <row r="535" spans="1:10" x14ac:dyDescent="0.3">
      <c r="A535" t="s">
        <v>5</v>
      </c>
      <c r="B535" s="6" t="s">
        <v>6</v>
      </c>
    </row>
    <row r="536" spans="1:10" x14ac:dyDescent="0.3">
      <c r="A536" t="s">
        <v>7</v>
      </c>
      <c r="B536" s="6" t="s">
        <v>8</v>
      </c>
    </row>
    <row r="537" spans="1:10" x14ac:dyDescent="0.3">
      <c r="A537" t="s">
        <v>9</v>
      </c>
      <c r="B537" s="6" t="s">
        <v>393</v>
      </c>
    </row>
    <row r="538" spans="1:10" x14ac:dyDescent="0.3">
      <c r="A538" t="s">
        <v>11</v>
      </c>
      <c r="B538" s="6" t="s">
        <v>361</v>
      </c>
    </row>
    <row r="539" spans="1:10" ht="15.6" x14ac:dyDescent="0.3">
      <c r="A539" s="1" t="s">
        <v>12</v>
      </c>
    </row>
    <row r="540" spans="1:10" x14ac:dyDescent="0.3">
      <c r="A540" t="s">
        <v>13</v>
      </c>
      <c r="B540" s="6" t="s">
        <v>14</v>
      </c>
      <c r="C540" t="s">
        <v>2</v>
      </c>
      <c r="D540" t="s">
        <v>7</v>
      </c>
      <c r="E540" t="s">
        <v>15</v>
      </c>
      <c r="F540" t="s">
        <v>5</v>
      </c>
      <c r="G540" t="s">
        <v>338</v>
      </c>
      <c r="H540" t="s">
        <v>339</v>
      </c>
      <c r="I540" t="s">
        <v>11</v>
      </c>
      <c r="J540" t="s">
        <v>4</v>
      </c>
    </row>
    <row r="541" spans="1:10" x14ac:dyDescent="0.3">
      <c r="A541" s="36" t="s">
        <v>397</v>
      </c>
      <c r="B541" s="37">
        <v>1</v>
      </c>
      <c r="C541" t="s">
        <v>1050</v>
      </c>
      <c r="D541" s="36" t="s">
        <v>8</v>
      </c>
      <c r="E541" s="36"/>
      <c r="F541" s="36" t="s">
        <v>17</v>
      </c>
      <c r="G541" s="36"/>
      <c r="H541" s="36"/>
      <c r="I541" s="36" t="s">
        <v>18</v>
      </c>
      <c r="J541" s="36" t="s">
        <v>337</v>
      </c>
    </row>
    <row r="542" spans="1:10" ht="15.6" x14ac:dyDescent="0.3">
      <c r="A542" s="2" t="s">
        <v>372</v>
      </c>
      <c r="B542" s="6">
        <v>1.00057</v>
      </c>
      <c r="C542" t="s">
        <v>1050</v>
      </c>
      <c r="D542" t="s">
        <v>8</v>
      </c>
      <c r="F542" s="36" t="s">
        <v>20</v>
      </c>
      <c r="G542" t="s">
        <v>18</v>
      </c>
      <c r="I542" s="36"/>
      <c r="J542" s="2" t="s">
        <v>219</v>
      </c>
    </row>
    <row r="543" spans="1:10" x14ac:dyDescent="0.3">
      <c r="A543" s="36" t="s">
        <v>28</v>
      </c>
      <c r="B543" s="37">
        <v>6.7000000000000002E-3</v>
      </c>
      <c r="C543" t="s">
        <v>1051</v>
      </c>
      <c r="D543" s="36" t="s">
        <v>29</v>
      </c>
      <c r="E543" s="36"/>
      <c r="F543" s="36" t="s">
        <v>20</v>
      </c>
      <c r="G543" s="36"/>
      <c r="H543" s="36"/>
      <c r="I543" s="36"/>
      <c r="J543" s="36" t="s">
        <v>30</v>
      </c>
    </row>
    <row r="544" spans="1:10" x14ac:dyDescent="0.3">
      <c r="A544" s="36" t="s">
        <v>340</v>
      </c>
      <c r="B544" s="37">
        <v>-1.6799999999999999E-4</v>
      </c>
      <c r="C544" s="36" t="s">
        <v>31</v>
      </c>
      <c r="D544" s="36" t="s">
        <v>8</v>
      </c>
      <c r="E544" s="36"/>
      <c r="F544" s="36" t="s">
        <v>20</v>
      </c>
      <c r="G544" s="36"/>
      <c r="H544" s="36"/>
      <c r="I544" s="36"/>
      <c r="J544" s="36" t="s">
        <v>341</v>
      </c>
    </row>
    <row r="545" spans="1:10" x14ac:dyDescent="0.3">
      <c r="A545" s="36" t="s">
        <v>342</v>
      </c>
      <c r="B545" s="37">
        <v>5.8399999999999999E-4</v>
      </c>
      <c r="C545" s="36" t="s">
        <v>31</v>
      </c>
      <c r="D545" s="36" t="s">
        <v>19</v>
      </c>
      <c r="E545" s="36"/>
      <c r="F545" s="36" t="s">
        <v>20</v>
      </c>
      <c r="G545" s="36"/>
      <c r="H545" s="36"/>
      <c r="I545" s="36"/>
      <c r="J545" s="36" t="s">
        <v>343</v>
      </c>
    </row>
    <row r="546" spans="1:10" x14ac:dyDescent="0.3">
      <c r="A546" s="36" t="s">
        <v>344</v>
      </c>
      <c r="B546" s="37">
        <v>2.5999999999999998E-10</v>
      </c>
      <c r="C546" s="36" t="s">
        <v>31</v>
      </c>
      <c r="D546" s="36" t="s">
        <v>7</v>
      </c>
      <c r="E546" s="36"/>
      <c r="F546" s="36" t="s">
        <v>20</v>
      </c>
      <c r="G546" s="36"/>
      <c r="H546" s="36"/>
      <c r="I546" s="36"/>
      <c r="J546" s="36" t="s">
        <v>345</v>
      </c>
    </row>
    <row r="547" spans="1:10" x14ac:dyDescent="0.3">
      <c r="A547" s="36" t="s">
        <v>346</v>
      </c>
      <c r="B547" s="37">
        <v>-6.2700000000000001E-6</v>
      </c>
      <c r="C547" s="36" t="s">
        <v>31</v>
      </c>
      <c r="D547" s="36" t="s">
        <v>8</v>
      </c>
      <c r="E547" s="36"/>
      <c r="F547" s="36" t="s">
        <v>20</v>
      </c>
      <c r="G547" s="36"/>
      <c r="H547" s="36"/>
      <c r="I547" s="36"/>
      <c r="J547" s="36" t="s">
        <v>347</v>
      </c>
    </row>
    <row r="548" spans="1:10" x14ac:dyDescent="0.3">
      <c r="A548" s="36" t="s">
        <v>348</v>
      </c>
      <c r="B548" s="37">
        <v>-7.4999999999999993E-5</v>
      </c>
      <c r="C548" s="36" t="s">
        <v>31</v>
      </c>
      <c r="D548" s="36" t="s">
        <v>121</v>
      </c>
      <c r="E548" s="36"/>
      <c r="F548" s="36" t="s">
        <v>20</v>
      </c>
      <c r="G548" s="36"/>
      <c r="H548" s="36"/>
      <c r="I548" s="36"/>
      <c r="J548" s="36" t="s">
        <v>349</v>
      </c>
    </row>
    <row r="549" spans="1:10" x14ac:dyDescent="0.3">
      <c r="A549" s="36" t="s">
        <v>350</v>
      </c>
      <c r="B549" s="37">
        <v>6.8900000000000005E-4</v>
      </c>
      <c r="C549" s="36" t="s">
        <v>31</v>
      </c>
      <c r="D549" s="36" t="s">
        <v>8</v>
      </c>
      <c r="E549" s="36"/>
      <c r="F549" s="36" t="s">
        <v>20</v>
      </c>
      <c r="G549" s="36"/>
      <c r="H549" s="36"/>
      <c r="I549" s="36"/>
      <c r="J549" s="36" t="s">
        <v>351</v>
      </c>
    </row>
    <row r="550" spans="1:10" x14ac:dyDescent="0.3">
      <c r="A550" s="36" t="s">
        <v>100</v>
      </c>
      <c r="B550" s="37">
        <v>3.3599999999999998E-2</v>
      </c>
      <c r="C550" s="36" t="s">
        <v>31</v>
      </c>
      <c r="D550" s="36" t="s">
        <v>41</v>
      </c>
      <c r="E550" s="36"/>
      <c r="F550" s="36" t="s">
        <v>20</v>
      </c>
      <c r="G550" s="36"/>
      <c r="H550" s="36"/>
      <c r="I550" s="36"/>
      <c r="J550" s="36" t="s">
        <v>103</v>
      </c>
    </row>
    <row r="551" spans="1:10" x14ac:dyDescent="0.3">
      <c r="A551" s="36" t="s">
        <v>352</v>
      </c>
      <c r="B551" s="37">
        <v>3.2599999999999997E-2</v>
      </c>
      <c r="C551" s="36" t="s">
        <v>581</v>
      </c>
      <c r="D551" s="36" t="s">
        <v>41</v>
      </c>
      <c r="E551" s="36"/>
      <c r="F551" s="36" t="s">
        <v>20</v>
      </c>
      <c r="G551" s="36"/>
      <c r="H551" s="36"/>
      <c r="I551" s="36"/>
      <c r="J551" s="36" t="s">
        <v>353</v>
      </c>
    </row>
    <row r="552" spans="1:10" x14ac:dyDescent="0.3">
      <c r="A552" s="36" t="s">
        <v>354</v>
      </c>
      <c r="B552" s="37">
        <v>-6.8899999999999999E-7</v>
      </c>
      <c r="C552" s="36" t="s">
        <v>31</v>
      </c>
      <c r="D552" s="36" t="s">
        <v>121</v>
      </c>
      <c r="E552" s="36"/>
      <c r="F552" s="36" t="s">
        <v>20</v>
      </c>
      <c r="G552" s="36"/>
      <c r="H552" s="36"/>
      <c r="I552" s="36"/>
      <c r="J552" s="36" t="s">
        <v>355</v>
      </c>
    </row>
    <row r="553" spans="1:10" x14ac:dyDescent="0.3">
      <c r="A553" s="36"/>
      <c r="B553" s="37"/>
      <c r="C553" s="36"/>
      <c r="D553" s="36"/>
      <c r="E553" s="36"/>
      <c r="F553" s="36"/>
      <c r="G553" s="36"/>
      <c r="H553" s="36"/>
      <c r="I553" s="36"/>
      <c r="J553" s="36"/>
    </row>
    <row r="554" spans="1:10" ht="15.6" x14ac:dyDescent="0.3">
      <c r="A554" s="1" t="s">
        <v>1</v>
      </c>
      <c r="B554" s="73" t="s">
        <v>511</v>
      </c>
    </row>
    <row r="555" spans="1:10" x14ac:dyDescent="0.3">
      <c r="A555" t="s">
        <v>2</v>
      </c>
      <c r="B555" s="6" t="s">
        <v>1050</v>
      </c>
    </row>
    <row r="556" spans="1:10" x14ac:dyDescent="0.3">
      <c r="A556" t="s">
        <v>3</v>
      </c>
      <c r="B556" s="6">
        <v>1</v>
      </c>
    </row>
    <row r="557" spans="1:10" ht="15.6" x14ac:dyDescent="0.3">
      <c r="A557" t="s">
        <v>4</v>
      </c>
      <c r="B557" s="74" t="s">
        <v>337</v>
      </c>
    </row>
    <row r="558" spans="1:10" x14ac:dyDescent="0.3">
      <c r="A558" t="s">
        <v>5</v>
      </c>
      <c r="B558" s="6" t="s">
        <v>6</v>
      </c>
    </row>
    <row r="559" spans="1:10" x14ac:dyDescent="0.3">
      <c r="A559" t="s">
        <v>7</v>
      </c>
      <c r="B559" s="6" t="s">
        <v>8</v>
      </c>
    </row>
    <row r="560" spans="1:10" x14ac:dyDescent="0.3">
      <c r="A560" t="s">
        <v>9</v>
      </c>
      <c r="B560" s="6" t="s">
        <v>393</v>
      </c>
    </row>
    <row r="561" spans="1:10" x14ac:dyDescent="0.3">
      <c r="A561" t="s">
        <v>11</v>
      </c>
      <c r="B561" s="6" t="s">
        <v>507</v>
      </c>
    </row>
    <row r="562" spans="1:10" ht="15.6" x14ac:dyDescent="0.3">
      <c r="A562" s="1" t="s">
        <v>12</v>
      </c>
    </row>
    <row r="563" spans="1:10" x14ac:dyDescent="0.3">
      <c r="A563" t="s">
        <v>13</v>
      </c>
      <c r="B563" s="6" t="s">
        <v>14</v>
      </c>
      <c r="C563" t="s">
        <v>2</v>
      </c>
      <c r="D563" t="s">
        <v>7</v>
      </c>
      <c r="E563" t="s">
        <v>15</v>
      </c>
      <c r="F563" t="s">
        <v>5</v>
      </c>
      <c r="G563" t="s">
        <v>338</v>
      </c>
      <c r="H563" t="s">
        <v>339</v>
      </c>
      <c r="I563" t="s">
        <v>11</v>
      </c>
      <c r="J563" t="s">
        <v>4</v>
      </c>
    </row>
    <row r="564" spans="1:10" x14ac:dyDescent="0.3">
      <c r="A564" s="36" t="s">
        <v>511</v>
      </c>
      <c r="B564" s="37">
        <v>1</v>
      </c>
      <c r="C564" t="s">
        <v>1050</v>
      </c>
      <c r="D564" s="36" t="s">
        <v>8</v>
      </c>
      <c r="E564" s="36"/>
      <c r="F564" s="36" t="s">
        <v>17</v>
      </c>
      <c r="G564" s="36"/>
      <c r="H564" s="36"/>
      <c r="I564" s="36" t="s">
        <v>18</v>
      </c>
      <c r="J564" s="36" t="s">
        <v>337</v>
      </c>
    </row>
    <row r="565" spans="1:10" ht="15.6" x14ac:dyDescent="0.3">
      <c r="A565" s="2" t="s">
        <v>510</v>
      </c>
      <c r="B565" s="6">
        <v>1.00057</v>
      </c>
      <c r="C565" t="s">
        <v>1050</v>
      </c>
      <c r="D565" t="s">
        <v>8</v>
      </c>
      <c r="F565" s="36" t="s">
        <v>20</v>
      </c>
      <c r="G565" t="s">
        <v>18</v>
      </c>
      <c r="I565" s="36"/>
      <c r="J565" s="2" t="s">
        <v>219</v>
      </c>
    </row>
    <row r="566" spans="1:10" x14ac:dyDescent="0.3">
      <c r="A566" s="36" t="s">
        <v>28</v>
      </c>
      <c r="B566" s="37">
        <v>6.7000000000000002E-3</v>
      </c>
      <c r="C566" t="s">
        <v>1051</v>
      </c>
      <c r="D566" s="36" t="s">
        <v>29</v>
      </c>
      <c r="E566" s="36"/>
      <c r="F566" s="36" t="s">
        <v>20</v>
      </c>
      <c r="G566" s="36"/>
      <c r="H566" s="36"/>
      <c r="I566" s="36"/>
      <c r="J566" s="36" t="s">
        <v>30</v>
      </c>
    </row>
    <row r="567" spans="1:10" x14ac:dyDescent="0.3">
      <c r="A567" s="36" t="s">
        <v>340</v>
      </c>
      <c r="B567" s="37">
        <v>-1.6799999999999999E-4</v>
      </c>
      <c r="C567" s="36" t="s">
        <v>31</v>
      </c>
      <c r="D567" s="36" t="s">
        <v>8</v>
      </c>
      <c r="E567" s="36"/>
      <c r="F567" s="36" t="s">
        <v>20</v>
      </c>
      <c r="G567" s="36"/>
      <c r="H567" s="36"/>
      <c r="I567" s="36"/>
      <c r="J567" s="36" t="s">
        <v>341</v>
      </c>
    </row>
    <row r="568" spans="1:10" x14ac:dyDescent="0.3">
      <c r="A568" s="36" t="s">
        <v>342</v>
      </c>
      <c r="B568" s="37">
        <v>5.8399999999999999E-4</v>
      </c>
      <c r="C568" s="36" t="s">
        <v>31</v>
      </c>
      <c r="D568" s="36" t="s">
        <v>19</v>
      </c>
      <c r="E568" s="36"/>
      <c r="F568" s="36" t="s">
        <v>20</v>
      </c>
      <c r="G568" s="36"/>
      <c r="H568" s="36"/>
      <c r="I568" s="36"/>
      <c r="J568" s="36" t="s">
        <v>343</v>
      </c>
    </row>
    <row r="569" spans="1:10" x14ac:dyDescent="0.3">
      <c r="A569" s="36" t="s">
        <v>344</v>
      </c>
      <c r="B569" s="37">
        <v>2.5999999999999998E-10</v>
      </c>
      <c r="C569" s="36" t="s">
        <v>31</v>
      </c>
      <c r="D569" s="36" t="s">
        <v>7</v>
      </c>
      <c r="E569" s="36"/>
      <c r="F569" s="36" t="s">
        <v>20</v>
      </c>
      <c r="G569" s="36"/>
      <c r="H569" s="36"/>
      <c r="I569" s="36"/>
      <c r="J569" s="36" t="s">
        <v>345</v>
      </c>
    </row>
    <row r="570" spans="1:10" x14ac:dyDescent="0.3">
      <c r="A570" s="36" t="s">
        <v>346</v>
      </c>
      <c r="B570" s="37">
        <v>-6.2700000000000001E-6</v>
      </c>
      <c r="C570" s="36" t="s">
        <v>31</v>
      </c>
      <c r="D570" s="36" t="s">
        <v>8</v>
      </c>
      <c r="E570" s="36"/>
      <c r="F570" s="36" t="s">
        <v>20</v>
      </c>
      <c r="G570" s="36"/>
      <c r="H570" s="36"/>
      <c r="I570" s="36"/>
      <c r="J570" s="36" t="s">
        <v>347</v>
      </c>
    </row>
    <row r="571" spans="1:10" x14ac:dyDescent="0.3">
      <c r="A571" s="36" t="s">
        <v>348</v>
      </c>
      <c r="B571" s="37">
        <v>-7.4999999999999993E-5</v>
      </c>
      <c r="C571" s="36" t="s">
        <v>31</v>
      </c>
      <c r="D571" s="36" t="s">
        <v>121</v>
      </c>
      <c r="E571" s="36"/>
      <c r="F571" s="36" t="s">
        <v>20</v>
      </c>
      <c r="G571" s="36"/>
      <c r="H571" s="36"/>
      <c r="I571" s="36"/>
      <c r="J571" s="36" t="s">
        <v>349</v>
      </c>
    </row>
    <row r="572" spans="1:10" x14ac:dyDescent="0.3">
      <c r="A572" s="36" t="s">
        <v>350</v>
      </c>
      <c r="B572" s="37">
        <v>6.8900000000000005E-4</v>
      </c>
      <c r="C572" s="36" t="s">
        <v>31</v>
      </c>
      <c r="D572" s="36" t="s">
        <v>8</v>
      </c>
      <c r="E572" s="36"/>
      <c r="F572" s="36" t="s">
        <v>20</v>
      </c>
      <c r="G572" s="36"/>
      <c r="H572" s="36"/>
      <c r="I572" s="36"/>
      <c r="J572" s="36" t="s">
        <v>351</v>
      </c>
    </row>
    <row r="573" spans="1:10" x14ac:dyDescent="0.3">
      <c r="A573" s="36" t="s">
        <v>100</v>
      </c>
      <c r="B573" s="37">
        <v>3.3599999999999998E-2</v>
      </c>
      <c r="C573" s="36" t="s">
        <v>31</v>
      </c>
      <c r="D573" s="36" t="s">
        <v>41</v>
      </c>
      <c r="E573" s="36"/>
      <c r="F573" s="36" t="s">
        <v>20</v>
      </c>
      <c r="G573" s="36"/>
      <c r="H573" s="36"/>
      <c r="I573" s="36"/>
      <c r="J573" s="36" t="s">
        <v>103</v>
      </c>
    </row>
    <row r="574" spans="1:10" x14ac:dyDescent="0.3">
      <c r="A574" s="36" t="s">
        <v>352</v>
      </c>
      <c r="B574" s="37">
        <v>3.2599999999999997E-2</v>
      </c>
      <c r="C574" s="36" t="s">
        <v>581</v>
      </c>
      <c r="D574" s="36" t="s">
        <v>41</v>
      </c>
      <c r="E574" s="36"/>
      <c r="F574" s="36" t="s">
        <v>20</v>
      </c>
      <c r="G574" s="36"/>
      <c r="H574" s="36"/>
      <c r="I574" s="36"/>
      <c r="J574" s="36" t="s">
        <v>353</v>
      </c>
    </row>
    <row r="575" spans="1:10" x14ac:dyDescent="0.3">
      <c r="A575" s="36" t="s">
        <v>354</v>
      </c>
      <c r="B575" s="37">
        <v>-6.8899999999999999E-7</v>
      </c>
      <c r="C575" s="36" t="s">
        <v>31</v>
      </c>
      <c r="D575" s="36" t="s">
        <v>121</v>
      </c>
      <c r="E575" s="36"/>
      <c r="F575" s="36" t="s">
        <v>20</v>
      </c>
      <c r="G575" s="36"/>
      <c r="H575" s="36"/>
      <c r="I575" s="36"/>
      <c r="J575" s="36" t="s">
        <v>355</v>
      </c>
    </row>
    <row r="576" spans="1:10" x14ac:dyDescent="0.3">
      <c r="A576" s="36"/>
      <c r="B576" s="37"/>
      <c r="C576" s="36"/>
      <c r="D576" s="36"/>
      <c r="E576" s="36"/>
      <c r="F576" s="36"/>
      <c r="G576" s="36"/>
      <c r="H576" s="36"/>
      <c r="I576" s="36"/>
      <c r="J576" s="36"/>
    </row>
    <row r="577" spans="1:8" ht="15.6" x14ac:dyDescent="0.3">
      <c r="A577" s="1" t="s">
        <v>1</v>
      </c>
      <c r="B577" s="73" t="s">
        <v>69</v>
      </c>
    </row>
    <row r="578" spans="1:8" x14ac:dyDescent="0.3">
      <c r="A578" t="s">
        <v>2</v>
      </c>
      <c r="B578" s="6" t="s">
        <v>1050</v>
      </c>
    </row>
    <row r="579" spans="1:8" x14ac:dyDescent="0.3">
      <c r="A579" t="s">
        <v>3</v>
      </c>
      <c r="B579" s="6">
        <v>1</v>
      </c>
    </row>
    <row r="580" spans="1:8" ht="15.6" x14ac:dyDescent="0.3">
      <c r="A580" t="s">
        <v>4</v>
      </c>
      <c r="B580" s="74" t="s">
        <v>70</v>
      </c>
    </row>
    <row r="581" spans="1:8" x14ac:dyDescent="0.3">
      <c r="A581" t="s">
        <v>5</v>
      </c>
      <c r="B581" s="6" t="s">
        <v>6</v>
      </c>
    </row>
    <row r="582" spans="1:8" x14ac:dyDescent="0.3">
      <c r="A582" t="s">
        <v>7</v>
      </c>
      <c r="B582" s="6" t="s">
        <v>8</v>
      </c>
    </row>
    <row r="583" spans="1:8" x14ac:dyDescent="0.3">
      <c r="A583" t="s">
        <v>9</v>
      </c>
      <c r="B583" s="6" t="s">
        <v>10</v>
      </c>
    </row>
    <row r="584" spans="1:8" x14ac:dyDescent="0.3">
      <c r="A584" t="s">
        <v>11</v>
      </c>
      <c r="B584" s="6" t="s">
        <v>27</v>
      </c>
    </row>
    <row r="585" spans="1:8" ht="15.6" x14ac:dyDescent="0.3">
      <c r="A585" s="1" t="s">
        <v>12</v>
      </c>
    </row>
    <row r="586" spans="1:8" x14ac:dyDescent="0.3">
      <c r="A586" t="s">
        <v>13</v>
      </c>
      <c r="B586" s="6" t="s">
        <v>14</v>
      </c>
      <c r="C586" t="s">
        <v>2</v>
      </c>
      <c r="D586" t="s">
        <v>7</v>
      </c>
      <c r="E586" t="s">
        <v>15</v>
      </c>
      <c r="F586" t="s">
        <v>5</v>
      </c>
      <c r="G586" t="s">
        <v>11</v>
      </c>
      <c r="H586" t="s">
        <v>4</v>
      </c>
    </row>
    <row r="587" spans="1:8" ht="15.6" x14ac:dyDescent="0.3">
      <c r="A587" s="2" t="s">
        <v>69</v>
      </c>
      <c r="B587" s="6">
        <v>1</v>
      </c>
      <c r="C587" t="s">
        <v>1050</v>
      </c>
      <c r="D587" t="s">
        <v>8</v>
      </c>
      <c r="F587" t="s">
        <v>17</v>
      </c>
      <c r="G587" t="s">
        <v>18</v>
      </c>
      <c r="H587" s="2" t="s">
        <v>70</v>
      </c>
    </row>
    <row r="588" spans="1:8" ht="15.6" x14ac:dyDescent="0.3">
      <c r="A588" s="2" t="s">
        <v>69</v>
      </c>
      <c r="B588" s="6">
        <v>0.14000000000000001</v>
      </c>
      <c r="C588" t="s">
        <v>1050</v>
      </c>
      <c r="D588" t="s">
        <v>8</v>
      </c>
      <c r="F588" t="s">
        <v>20</v>
      </c>
      <c r="G588" t="s">
        <v>18</v>
      </c>
      <c r="H588" s="2" t="s">
        <v>70</v>
      </c>
    </row>
    <row r="589" spans="1:8" x14ac:dyDescent="0.3">
      <c r="A589" t="s">
        <v>22</v>
      </c>
      <c r="B589" s="6">
        <f>132180*Parameters!$B$3/1000</f>
        <v>0.13945728886199998</v>
      </c>
      <c r="C589" t="s">
        <v>26</v>
      </c>
      <c r="D589" t="s">
        <v>19</v>
      </c>
      <c r="F589" t="s">
        <v>20</v>
      </c>
      <c r="G589" t="s">
        <v>60</v>
      </c>
      <c r="H589" t="s">
        <v>23</v>
      </c>
    </row>
    <row r="590" spans="1:8" x14ac:dyDescent="0.3">
      <c r="A590" t="s">
        <v>352</v>
      </c>
      <c r="B590" s="6">
        <f>90*Parameters!$B$7/1000</f>
        <v>0.1449</v>
      </c>
      <c r="C590" t="s">
        <v>581</v>
      </c>
      <c r="D590" t="s">
        <v>41</v>
      </c>
      <c r="F590" t="s">
        <v>20</v>
      </c>
      <c r="G590" t="s">
        <v>75</v>
      </c>
      <c r="H590" t="s">
        <v>353</v>
      </c>
    </row>
    <row r="591" spans="1:8" x14ac:dyDescent="0.3">
      <c r="A591" t="s">
        <v>1046</v>
      </c>
      <c r="B591" s="6">
        <v>1.81</v>
      </c>
      <c r="D591" t="s">
        <v>8</v>
      </c>
      <c r="E591" t="s">
        <v>1047</v>
      </c>
      <c r="F591" t="s">
        <v>36</v>
      </c>
      <c r="G591" t="s">
        <v>210</v>
      </c>
    </row>
    <row r="592" spans="1:8" x14ac:dyDescent="0.3">
      <c r="A592" t="s">
        <v>108</v>
      </c>
      <c r="B592" s="6">
        <v>20.399999999999999</v>
      </c>
      <c r="D592" t="s">
        <v>19</v>
      </c>
      <c r="E592" t="s">
        <v>112</v>
      </c>
      <c r="F592" t="s">
        <v>36</v>
      </c>
      <c r="G592" t="s">
        <v>210</v>
      </c>
    </row>
    <row r="593" spans="1:8" x14ac:dyDescent="0.3">
      <c r="A593" t="s">
        <v>211</v>
      </c>
      <c r="B593" s="6">
        <v>2.3256000000000001E-3</v>
      </c>
      <c r="D593" t="s">
        <v>121</v>
      </c>
      <c r="E593" t="s">
        <v>112</v>
      </c>
      <c r="F593" t="s">
        <v>36</v>
      </c>
      <c r="G593" t="s">
        <v>210</v>
      </c>
    </row>
    <row r="595" spans="1:8" ht="15.6" x14ac:dyDescent="0.3">
      <c r="A595" s="1" t="s">
        <v>1</v>
      </c>
      <c r="B595" s="73" t="s">
        <v>398</v>
      </c>
    </row>
    <row r="596" spans="1:8" x14ac:dyDescent="0.3">
      <c r="A596" t="s">
        <v>2</v>
      </c>
      <c r="B596" s="6" t="s">
        <v>1050</v>
      </c>
    </row>
    <row r="597" spans="1:8" x14ac:dyDescent="0.3">
      <c r="A597" t="s">
        <v>3</v>
      </c>
      <c r="B597" s="6">
        <v>1</v>
      </c>
    </row>
    <row r="598" spans="1:8" ht="15.6" x14ac:dyDescent="0.3">
      <c r="A598" t="s">
        <v>4</v>
      </c>
      <c r="B598" s="74" t="s">
        <v>399</v>
      </c>
    </row>
    <row r="599" spans="1:8" x14ac:dyDescent="0.3">
      <c r="A599" t="s">
        <v>5</v>
      </c>
      <c r="B599" s="6" t="s">
        <v>6</v>
      </c>
    </row>
    <row r="600" spans="1:8" x14ac:dyDescent="0.3">
      <c r="A600" t="s">
        <v>7</v>
      </c>
      <c r="B600" s="6" t="s">
        <v>8</v>
      </c>
    </row>
    <row r="601" spans="1:8" x14ac:dyDescent="0.3">
      <c r="A601" t="s">
        <v>9</v>
      </c>
      <c r="B601" s="6" t="s">
        <v>10</v>
      </c>
    </row>
    <row r="602" spans="1:8" x14ac:dyDescent="0.3">
      <c r="A602" t="s">
        <v>11</v>
      </c>
      <c r="B602" s="6" t="s">
        <v>230</v>
      </c>
    </row>
    <row r="603" spans="1:8" x14ac:dyDescent="0.3">
      <c r="A603" t="s">
        <v>497</v>
      </c>
      <c r="B603" s="72">
        <f>Summary!O94</f>
        <v>0.50184149190888383</v>
      </c>
    </row>
    <row r="604" spans="1:8" ht="15.6" x14ac:dyDescent="0.3">
      <c r="A604" s="1" t="s">
        <v>12</v>
      </c>
    </row>
    <row r="605" spans="1:8" x14ac:dyDescent="0.3">
      <c r="A605" t="s">
        <v>13</v>
      </c>
      <c r="B605" s="6" t="s">
        <v>14</v>
      </c>
      <c r="C605" t="s">
        <v>2</v>
      </c>
      <c r="D605" t="s">
        <v>7</v>
      </c>
      <c r="E605" t="s">
        <v>15</v>
      </c>
      <c r="F605" t="s">
        <v>5</v>
      </c>
      <c r="G605" t="s">
        <v>11</v>
      </c>
      <c r="H605" t="s">
        <v>4</v>
      </c>
    </row>
    <row r="606" spans="1:8" ht="15.6" x14ac:dyDescent="0.3">
      <c r="A606" s="2" t="s">
        <v>398</v>
      </c>
      <c r="B606" s="6">
        <v>1</v>
      </c>
      <c r="C606" t="s">
        <v>1050</v>
      </c>
      <c r="D606" t="s">
        <v>8</v>
      </c>
      <c r="F606" t="s">
        <v>17</v>
      </c>
      <c r="G606" t="s">
        <v>18</v>
      </c>
      <c r="H606" s="2" t="s">
        <v>399</v>
      </c>
    </row>
    <row r="607" spans="1:8" ht="15.6" x14ac:dyDescent="0.3">
      <c r="A607" s="2" t="s">
        <v>69</v>
      </c>
      <c r="B607" s="6">
        <f>(1/((Parameters!C20*Parameters!B4*Parameters!B10)/1000))*Parameters!F32</f>
        <v>3.2444757981354098</v>
      </c>
      <c r="C607" t="s">
        <v>1050</v>
      </c>
      <c r="D607" t="s">
        <v>8</v>
      </c>
      <c r="F607" t="s">
        <v>20</v>
      </c>
      <c r="G607" t="s">
        <v>18</v>
      </c>
      <c r="H607" s="2" t="s">
        <v>70</v>
      </c>
    </row>
    <row r="608" spans="1:8" ht="15.6" x14ac:dyDescent="0.3">
      <c r="A608" s="2" t="s">
        <v>221</v>
      </c>
      <c r="B608" s="6">
        <f>(337*Parameters!$B$3)/(Parameters!$B$4*Parameters!$B$10)*Parameters!F32</f>
        <v>9.8054794980372589E-2</v>
      </c>
      <c r="C608" t="s">
        <v>26</v>
      </c>
      <c r="D608" t="s">
        <v>19</v>
      </c>
      <c r="F608" t="s">
        <v>20</v>
      </c>
      <c r="H608" s="2" t="s">
        <v>222</v>
      </c>
    </row>
    <row r="609" spans="1:8" ht="15.6" x14ac:dyDescent="0.3">
      <c r="A609" s="2" t="s">
        <v>388</v>
      </c>
      <c r="B609" s="6">
        <f>((117.72/1000)/(Parameters!$B$4*Parameters!$B$10))*Parameters!$F$32</f>
        <v>3.2464873731302545E-2</v>
      </c>
      <c r="C609" t="s">
        <v>26</v>
      </c>
      <c r="D609" t="s">
        <v>8</v>
      </c>
      <c r="F609" t="s">
        <v>20</v>
      </c>
      <c r="G609" t="s">
        <v>390</v>
      </c>
      <c r="H609" s="2" t="s">
        <v>389</v>
      </c>
    </row>
    <row r="610" spans="1:8" x14ac:dyDescent="0.3">
      <c r="A610" t="s">
        <v>265</v>
      </c>
      <c r="B610" s="6">
        <f>(B591*B607)-Parameters!$B$13</f>
        <v>3.9585011946250921</v>
      </c>
      <c r="D610" t="s">
        <v>8</v>
      </c>
      <c r="E610" t="s">
        <v>37</v>
      </c>
      <c r="F610" t="s">
        <v>36</v>
      </c>
      <c r="G610" t="s">
        <v>428</v>
      </c>
    </row>
    <row r="611" spans="1:8" x14ac:dyDescent="0.3">
      <c r="A611" t="s">
        <v>306</v>
      </c>
      <c r="B611" s="6">
        <f>1/(90000000*20)</f>
        <v>5.5555555555555553E-10</v>
      </c>
      <c r="C611" t="s">
        <v>26</v>
      </c>
      <c r="D611" t="s">
        <v>7</v>
      </c>
      <c r="F611" t="s">
        <v>20</v>
      </c>
      <c r="G611" t="s">
        <v>308</v>
      </c>
      <c r="H611" t="s">
        <v>307</v>
      </c>
    </row>
    <row r="612" spans="1:8" ht="15.6" x14ac:dyDescent="0.3">
      <c r="A612" s="2"/>
      <c r="H612" s="2"/>
    </row>
    <row r="613" spans="1:8" ht="15.6" x14ac:dyDescent="0.3">
      <c r="A613" s="1" t="s">
        <v>1</v>
      </c>
      <c r="B613" s="73" t="s">
        <v>400</v>
      </c>
    </row>
    <row r="614" spans="1:8" x14ac:dyDescent="0.3">
      <c r="A614" t="s">
        <v>2</v>
      </c>
      <c r="B614" s="6" t="s">
        <v>1050</v>
      </c>
    </row>
    <row r="615" spans="1:8" x14ac:dyDescent="0.3">
      <c r="A615" t="s">
        <v>3</v>
      </c>
      <c r="B615" s="6">
        <v>1</v>
      </c>
    </row>
    <row r="616" spans="1:8" ht="15.6" x14ac:dyDescent="0.3">
      <c r="A616" t="s">
        <v>4</v>
      </c>
      <c r="B616" s="74" t="s">
        <v>399</v>
      </c>
    </row>
    <row r="617" spans="1:8" x14ac:dyDescent="0.3">
      <c r="A617" t="s">
        <v>5</v>
      </c>
      <c r="B617" s="6" t="s">
        <v>6</v>
      </c>
    </row>
    <row r="618" spans="1:8" x14ac:dyDescent="0.3">
      <c r="A618" t="s">
        <v>7</v>
      </c>
      <c r="B618" s="6" t="s">
        <v>8</v>
      </c>
    </row>
    <row r="619" spans="1:8" x14ac:dyDescent="0.3">
      <c r="A619" t="s">
        <v>9</v>
      </c>
      <c r="B619" s="6" t="s">
        <v>10</v>
      </c>
    </row>
    <row r="620" spans="1:8" x14ac:dyDescent="0.3">
      <c r="A620" t="s">
        <v>11</v>
      </c>
      <c r="B620" s="6" t="s">
        <v>373</v>
      </c>
    </row>
    <row r="621" spans="1:8" x14ac:dyDescent="0.3">
      <c r="A621" t="s">
        <v>497</v>
      </c>
      <c r="B621" s="72">
        <f>Summary!O37</f>
        <v>0.45376576445548272</v>
      </c>
    </row>
    <row r="622" spans="1:8" ht="15.6" x14ac:dyDescent="0.3">
      <c r="A622" s="1" t="s">
        <v>12</v>
      </c>
    </row>
    <row r="623" spans="1:8" x14ac:dyDescent="0.3">
      <c r="A623" t="s">
        <v>13</v>
      </c>
      <c r="B623" s="6" t="s">
        <v>14</v>
      </c>
      <c r="C623" t="s">
        <v>2</v>
      </c>
      <c r="D623" t="s">
        <v>7</v>
      </c>
      <c r="E623" t="s">
        <v>15</v>
      </c>
      <c r="F623" t="s">
        <v>5</v>
      </c>
      <c r="G623" t="s">
        <v>11</v>
      </c>
      <c r="H623" t="s">
        <v>4</v>
      </c>
    </row>
    <row r="624" spans="1:8" ht="15.6" x14ac:dyDescent="0.3">
      <c r="A624" s="2" t="s">
        <v>400</v>
      </c>
      <c r="B624" s="6">
        <v>1</v>
      </c>
      <c r="C624" t="s">
        <v>1050</v>
      </c>
      <c r="D624" t="s">
        <v>8</v>
      </c>
      <c r="F624" t="s">
        <v>17</v>
      </c>
      <c r="G624" t="s">
        <v>18</v>
      </c>
      <c r="H624" s="2" t="s">
        <v>399</v>
      </c>
    </row>
    <row r="625" spans="1:8" ht="15.6" x14ac:dyDescent="0.3">
      <c r="A625" s="2" t="s">
        <v>69</v>
      </c>
      <c r="B625" s="6">
        <f>(1/((Parameters!$C$20*Parameters!$B$4*Parameters!$B$10)/1000))*Parameters!$G$32</f>
        <v>3.5882226085354634</v>
      </c>
      <c r="C625" t="s">
        <v>1050</v>
      </c>
      <c r="D625" t="s">
        <v>8</v>
      </c>
      <c r="F625" t="s">
        <v>20</v>
      </c>
      <c r="G625" t="s">
        <v>18</v>
      </c>
      <c r="H625" s="2" t="s">
        <v>70</v>
      </c>
    </row>
    <row r="626" spans="1:8" ht="15.6" x14ac:dyDescent="0.3">
      <c r="A626" s="2" t="s">
        <v>221</v>
      </c>
      <c r="B626" s="6">
        <f>(337*Parameters!$B$3)/(Parameters!$B$4*Parameters!$B$10)*Parameters!G32</f>
        <v>0.1084435372968679</v>
      </c>
      <c r="C626" t="s">
        <v>26</v>
      </c>
      <c r="D626" t="s">
        <v>19</v>
      </c>
      <c r="F626" t="s">
        <v>20</v>
      </c>
      <c r="H626" s="2" t="s">
        <v>222</v>
      </c>
    </row>
    <row r="627" spans="1:8" ht="15.6" x14ac:dyDescent="0.3">
      <c r="A627" s="2" t="s">
        <v>388</v>
      </c>
      <c r="B627" s="6">
        <f>((117.72/1000)/(Parameters!$B$4*Parameters!$B$10))*Parameters!$G$32</f>
        <v>3.5904473065527555E-2</v>
      </c>
      <c r="C627" t="s">
        <v>26</v>
      </c>
      <c r="D627" t="s">
        <v>8</v>
      </c>
      <c r="F627" t="s">
        <v>20</v>
      </c>
      <c r="G627" t="s">
        <v>390</v>
      </c>
      <c r="H627" s="2" t="s">
        <v>389</v>
      </c>
    </row>
    <row r="628" spans="1:8" x14ac:dyDescent="0.3">
      <c r="A628" t="s">
        <v>306</v>
      </c>
      <c r="B628" s="6">
        <f>1/(90000000*20)</f>
        <v>5.5555555555555553E-10</v>
      </c>
      <c r="C628" t="s">
        <v>26</v>
      </c>
      <c r="D628" t="s">
        <v>7</v>
      </c>
      <c r="F628" t="s">
        <v>20</v>
      </c>
      <c r="G628" t="s">
        <v>308</v>
      </c>
      <c r="H628" t="s">
        <v>307</v>
      </c>
    </row>
    <row r="629" spans="1:8" x14ac:dyDescent="0.3">
      <c r="A629" t="s">
        <v>265</v>
      </c>
      <c r="B629" s="6">
        <f>(B591*B625)-Parameters!$B$13</f>
        <v>4.5806829214491893</v>
      </c>
      <c r="D629" t="s">
        <v>8</v>
      </c>
      <c r="E629" t="s">
        <v>37</v>
      </c>
      <c r="F629" t="s">
        <v>36</v>
      </c>
      <c r="G629" t="s">
        <v>428</v>
      </c>
    </row>
    <row r="630" spans="1:8" ht="15.6" x14ac:dyDescent="0.3">
      <c r="A630" s="2"/>
      <c r="H630" s="2"/>
    </row>
    <row r="631" spans="1:8" ht="15.6" x14ac:dyDescent="0.3">
      <c r="A631" s="1" t="s">
        <v>1</v>
      </c>
      <c r="B631" s="73" t="s">
        <v>512</v>
      </c>
    </row>
    <row r="632" spans="1:8" x14ac:dyDescent="0.3">
      <c r="A632" t="s">
        <v>2</v>
      </c>
      <c r="B632" s="6" t="s">
        <v>1050</v>
      </c>
    </row>
    <row r="633" spans="1:8" x14ac:dyDescent="0.3">
      <c r="A633" t="s">
        <v>3</v>
      </c>
      <c r="B633" s="6">
        <v>1</v>
      </c>
    </row>
    <row r="634" spans="1:8" ht="15.6" x14ac:dyDescent="0.3">
      <c r="A634" t="s">
        <v>4</v>
      </c>
      <c r="B634" s="74" t="s">
        <v>399</v>
      </c>
    </row>
    <row r="635" spans="1:8" x14ac:dyDescent="0.3">
      <c r="A635" t="s">
        <v>5</v>
      </c>
      <c r="B635" s="6" t="s">
        <v>6</v>
      </c>
    </row>
    <row r="636" spans="1:8" x14ac:dyDescent="0.3">
      <c r="A636" t="s">
        <v>7</v>
      </c>
      <c r="B636" s="6" t="s">
        <v>8</v>
      </c>
    </row>
    <row r="637" spans="1:8" x14ac:dyDescent="0.3">
      <c r="A637" t="s">
        <v>9</v>
      </c>
      <c r="B637" s="6" t="s">
        <v>10</v>
      </c>
    </row>
    <row r="638" spans="1:8" x14ac:dyDescent="0.3">
      <c r="A638" t="s">
        <v>11</v>
      </c>
      <c r="B638" s="6" t="s">
        <v>504</v>
      </c>
    </row>
    <row r="639" spans="1:8" x14ac:dyDescent="0.3">
      <c r="A639" t="s">
        <v>497</v>
      </c>
      <c r="B639" s="72">
        <f>Summary!O132</f>
        <v>0.41330714895551901</v>
      </c>
    </row>
    <row r="640" spans="1:8" ht="15.6" x14ac:dyDescent="0.3">
      <c r="A640" s="1" t="s">
        <v>12</v>
      </c>
    </row>
    <row r="641" spans="1:9" x14ac:dyDescent="0.3">
      <c r="A641" t="s">
        <v>13</v>
      </c>
      <c r="B641" s="6" t="s">
        <v>14</v>
      </c>
      <c r="C641" t="s">
        <v>2</v>
      </c>
      <c r="D641" t="s">
        <v>7</v>
      </c>
      <c r="E641" t="s">
        <v>15</v>
      </c>
      <c r="F641" t="s">
        <v>5</v>
      </c>
      <c r="G641" t="s">
        <v>11</v>
      </c>
      <c r="H641" t="s">
        <v>4</v>
      </c>
    </row>
    <row r="642" spans="1:9" ht="15.6" x14ac:dyDescent="0.3">
      <c r="A642" s="2" t="s">
        <v>512</v>
      </c>
      <c r="B642" s="6">
        <v>1</v>
      </c>
      <c r="C642" t="s">
        <v>1050</v>
      </c>
      <c r="D642" t="s">
        <v>8</v>
      </c>
      <c r="F642" t="s">
        <v>17</v>
      </c>
      <c r="G642" t="s">
        <v>18</v>
      </c>
      <c r="H642" s="2" t="s">
        <v>399</v>
      </c>
    </row>
    <row r="643" spans="1:9" ht="15.6" x14ac:dyDescent="0.3">
      <c r="A643" s="2" t="s">
        <v>69</v>
      </c>
      <c r="B643" s="6">
        <f>(1/((Parameters!$C$20*Parameters!$B$4*Parameters!$B$10)/1000))</f>
        <v>3.9394735346660368</v>
      </c>
      <c r="C643" t="s">
        <v>1050</v>
      </c>
      <c r="D643" t="s">
        <v>8</v>
      </c>
      <c r="F643" t="s">
        <v>20</v>
      </c>
      <c r="G643" t="s">
        <v>18</v>
      </c>
      <c r="H643" s="2" t="s">
        <v>70</v>
      </c>
    </row>
    <row r="644" spans="1:9" ht="15.6" x14ac:dyDescent="0.3">
      <c r="A644" s="2" t="s">
        <v>221</v>
      </c>
      <c r="B644" s="6">
        <f>(337*Parameters!$B$3)/(Parameters!$B$4*Parameters!$B$10)</f>
        <v>0.11905906957120109</v>
      </c>
      <c r="C644" t="s">
        <v>26</v>
      </c>
      <c r="D644" t="s">
        <v>19</v>
      </c>
      <c r="F644" t="s">
        <v>20</v>
      </c>
      <c r="H644" s="2" t="s">
        <v>222</v>
      </c>
    </row>
    <row r="645" spans="1:9" ht="15.6" x14ac:dyDescent="0.3">
      <c r="A645" s="2" t="s">
        <v>388</v>
      </c>
      <c r="B645" s="6">
        <f>((117.72/1000)/(Parameters!$B$4*Parameters!$B$10))</f>
        <v>3.9419160082575302E-2</v>
      </c>
      <c r="C645" t="s">
        <v>26</v>
      </c>
      <c r="D645" t="s">
        <v>8</v>
      </c>
      <c r="F645" t="s">
        <v>20</v>
      </c>
      <c r="G645" t="s">
        <v>390</v>
      </c>
      <c r="H645" s="2" t="s">
        <v>389</v>
      </c>
    </row>
    <row r="646" spans="1:9" x14ac:dyDescent="0.3">
      <c r="A646" t="s">
        <v>306</v>
      </c>
      <c r="B646" s="6">
        <f>1/(90000000*20)</f>
        <v>5.5555555555555553E-10</v>
      </c>
      <c r="C646" t="s">
        <v>26</v>
      </c>
      <c r="D646" t="s">
        <v>7</v>
      </c>
      <c r="F646" t="s">
        <v>20</v>
      </c>
      <c r="G646" t="s">
        <v>308</v>
      </c>
      <c r="H646" t="s">
        <v>307</v>
      </c>
    </row>
    <row r="647" spans="1:9" x14ac:dyDescent="0.3">
      <c r="A647" t="s">
        <v>265</v>
      </c>
      <c r="B647" s="6">
        <f>(B591*B643)-Parameters!$B$13</f>
        <v>5.2164470977455268</v>
      </c>
      <c r="D647" t="s">
        <v>8</v>
      </c>
      <c r="E647" t="s">
        <v>37</v>
      </c>
      <c r="F647" t="s">
        <v>36</v>
      </c>
      <c r="G647" t="s">
        <v>428</v>
      </c>
    </row>
    <row r="648" spans="1:9" x14ac:dyDescent="0.3">
      <c r="A648" s="36" t="s">
        <v>28</v>
      </c>
      <c r="B648" s="37">
        <f>Parameters!H19/Parameters!B4*Parameters!B10*-1</f>
        <v>-0.50274302587613584</v>
      </c>
      <c r="C648" t="s">
        <v>1051</v>
      </c>
      <c r="D648" s="36" t="s">
        <v>29</v>
      </c>
      <c r="E648" s="36"/>
      <c r="F648" s="36" t="s">
        <v>20</v>
      </c>
      <c r="G648" s="36" t="s">
        <v>505</v>
      </c>
      <c r="H648" s="36" t="s">
        <v>30</v>
      </c>
      <c r="I648" s="36"/>
    </row>
    <row r="649" spans="1:9" ht="15.6" x14ac:dyDescent="0.3">
      <c r="A649" s="2"/>
      <c r="H649" s="2"/>
    </row>
    <row r="650" spans="1:9" ht="15.6" x14ac:dyDescent="0.3">
      <c r="A650" s="1" t="s">
        <v>1</v>
      </c>
      <c r="B650" s="73" t="s">
        <v>401</v>
      </c>
    </row>
    <row r="651" spans="1:9" x14ac:dyDescent="0.3">
      <c r="A651" t="s">
        <v>2</v>
      </c>
      <c r="B651" s="6" t="s">
        <v>1050</v>
      </c>
    </row>
    <row r="652" spans="1:9" x14ac:dyDescent="0.3">
      <c r="A652" t="s">
        <v>3</v>
      </c>
      <c r="B652" s="6">
        <v>1</v>
      </c>
    </row>
    <row r="653" spans="1:9" ht="15.6" x14ac:dyDescent="0.3">
      <c r="A653" t="s">
        <v>4</v>
      </c>
      <c r="B653" s="74" t="s">
        <v>337</v>
      </c>
    </row>
    <row r="654" spans="1:9" x14ac:dyDescent="0.3">
      <c r="A654" t="s">
        <v>5</v>
      </c>
      <c r="B654" s="6" t="s">
        <v>6</v>
      </c>
    </row>
    <row r="655" spans="1:9" x14ac:dyDescent="0.3">
      <c r="A655" t="s">
        <v>7</v>
      </c>
      <c r="B655" s="6" t="s">
        <v>8</v>
      </c>
    </row>
    <row r="656" spans="1:9" x14ac:dyDescent="0.3">
      <c r="A656" t="s">
        <v>9</v>
      </c>
      <c r="B656" s="6" t="s">
        <v>393</v>
      </c>
    </row>
    <row r="657" spans="1:10" x14ac:dyDescent="0.3">
      <c r="A657" t="s">
        <v>11</v>
      </c>
      <c r="B657" s="6" t="s">
        <v>362</v>
      </c>
    </row>
    <row r="658" spans="1:10" ht="15.6" x14ac:dyDescent="0.3">
      <c r="A658" s="1" t="s">
        <v>12</v>
      </c>
    </row>
    <row r="659" spans="1:10" x14ac:dyDescent="0.3">
      <c r="A659" t="s">
        <v>13</v>
      </c>
      <c r="B659" s="6" t="s">
        <v>14</v>
      </c>
      <c r="C659" t="s">
        <v>2</v>
      </c>
      <c r="D659" t="s">
        <v>7</v>
      </c>
      <c r="E659" t="s">
        <v>15</v>
      </c>
      <c r="F659" t="s">
        <v>5</v>
      </c>
      <c r="G659" t="s">
        <v>338</v>
      </c>
      <c r="H659" t="s">
        <v>339</v>
      </c>
      <c r="I659" t="s">
        <v>11</v>
      </c>
      <c r="J659" t="s">
        <v>4</v>
      </c>
    </row>
    <row r="660" spans="1:10" x14ac:dyDescent="0.3">
      <c r="A660" s="36" t="s">
        <v>401</v>
      </c>
      <c r="B660" s="37">
        <v>1</v>
      </c>
      <c r="C660" t="s">
        <v>1050</v>
      </c>
      <c r="D660" s="36" t="s">
        <v>8</v>
      </c>
      <c r="E660" s="36"/>
      <c r="F660" s="36" t="s">
        <v>17</v>
      </c>
      <c r="G660" s="36"/>
      <c r="H660" s="36"/>
      <c r="I660" s="36" t="s">
        <v>18</v>
      </c>
      <c r="J660" s="36" t="s">
        <v>337</v>
      </c>
    </row>
    <row r="661" spans="1:10" ht="15.6" x14ac:dyDescent="0.3">
      <c r="A661" s="2" t="s">
        <v>398</v>
      </c>
      <c r="B661" s="6">
        <v>1.00057</v>
      </c>
      <c r="C661" t="s">
        <v>1050</v>
      </c>
      <c r="D661" t="s">
        <v>8</v>
      </c>
      <c r="F661" s="36" t="s">
        <v>20</v>
      </c>
      <c r="G661" t="s">
        <v>18</v>
      </c>
      <c r="I661" s="36"/>
      <c r="J661" s="2" t="s">
        <v>399</v>
      </c>
    </row>
    <row r="662" spans="1:10" x14ac:dyDescent="0.3">
      <c r="A662" s="36" t="s">
        <v>28</v>
      </c>
      <c r="B662" s="37">
        <v>6.7000000000000002E-3</v>
      </c>
      <c r="C662" t="s">
        <v>1051</v>
      </c>
      <c r="D662" s="36" t="s">
        <v>29</v>
      </c>
      <c r="E662" s="36"/>
      <c r="F662" s="36" t="s">
        <v>20</v>
      </c>
      <c r="G662" s="36"/>
      <c r="H662" s="36"/>
      <c r="I662" s="36"/>
      <c r="J662" s="36" t="s">
        <v>30</v>
      </c>
    </row>
    <row r="663" spans="1:10" x14ac:dyDescent="0.3">
      <c r="A663" s="36" t="s">
        <v>340</v>
      </c>
      <c r="B663" s="37">
        <v>-1.6799999999999999E-4</v>
      </c>
      <c r="C663" s="36" t="s">
        <v>31</v>
      </c>
      <c r="D663" s="36" t="s">
        <v>8</v>
      </c>
      <c r="E663" s="36"/>
      <c r="F663" s="36" t="s">
        <v>20</v>
      </c>
      <c r="G663" s="36"/>
      <c r="H663" s="36"/>
      <c r="I663" s="36"/>
      <c r="J663" s="36" t="s">
        <v>341</v>
      </c>
    </row>
    <row r="664" spans="1:10" x14ac:dyDescent="0.3">
      <c r="A664" s="36" t="s">
        <v>342</v>
      </c>
      <c r="B664" s="37">
        <v>5.8399999999999999E-4</v>
      </c>
      <c r="C664" s="36" t="s">
        <v>31</v>
      </c>
      <c r="D664" s="36" t="s">
        <v>19</v>
      </c>
      <c r="E664" s="36"/>
      <c r="F664" s="36" t="s">
        <v>20</v>
      </c>
      <c r="G664" s="36"/>
      <c r="H664" s="36"/>
      <c r="I664" s="36"/>
      <c r="J664" s="36" t="s">
        <v>343</v>
      </c>
    </row>
    <row r="665" spans="1:10" x14ac:dyDescent="0.3">
      <c r="A665" s="36" t="s">
        <v>344</v>
      </c>
      <c r="B665" s="37">
        <v>2.5999999999999998E-10</v>
      </c>
      <c r="C665" s="36" t="s">
        <v>31</v>
      </c>
      <c r="D665" s="36" t="s">
        <v>7</v>
      </c>
      <c r="E665" s="36"/>
      <c r="F665" s="36" t="s">
        <v>20</v>
      </c>
      <c r="G665" s="36"/>
      <c r="H665" s="36"/>
      <c r="I665" s="36"/>
      <c r="J665" s="36" t="s">
        <v>345</v>
      </c>
    </row>
    <row r="666" spans="1:10" x14ac:dyDescent="0.3">
      <c r="A666" s="36" t="s">
        <v>346</v>
      </c>
      <c r="B666" s="37">
        <v>-6.2700000000000001E-6</v>
      </c>
      <c r="C666" s="36" t="s">
        <v>31</v>
      </c>
      <c r="D666" s="36" t="s">
        <v>8</v>
      </c>
      <c r="E666" s="36"/>
      <c r="F666" s="36" t="s">
        <v>20</v>
      </c>
      <c r="G666" s="36"/>
      <c r="H666" s="36"/>
      <c r="I666" s="36"/>
      <c r="J666" s="36" t="s">
        <v>347</v>
      </c>
    </row>
    <row r="667" spans="1:10" x14ac:dyDescent="0.3">
      <c r="A667" s="36" t="s">
        <v>348</v>
      </c>
      <c r="B667" s="37">
        <v>-7.4999999999999993E-5</v>
      </c>
      <c r="C667" s="36" t="s">
        <v>31</v>
      </c>
      <c r="D667" s="36" t="s">
        <v>121</v>
      </c>
      <c r="E667" s="36"/>
      <c r="F667" s="36" t="s">
        <v>20</v>
      </c>
      <c r="G667" s="36"/>
      <c r="H667" s="36"/>
      <c r="I667" s="36"/>
      <c r="J667" s="36" t="s">
        <v>349</v>
      </c>
    </row>
    <row r="668" spans="1:10" x14ac:dyDescent="0.3">
      <c r="A668" s="36" t="s">
        <v>350</v>
      </c>
      <c r="B668" s="37">
        <v>6.8900000000000005E-4</v>
      </c>
      <c r="C668" s="36" t="s">
        <v>31</v>
      </c>
      <c r="D668" s="36" t="s">
        <v>8</v>
      </c>
      <c r="E668" s="36"/>
      <c r="F668" s="36" t="s">
        <v>20</v>
      </c>
      <c r="G668" s="36"/>
      <c r="H668" s="36"/>
      <c r="I668" s="36"/>
      <c r="J668" s="36" t="s">
        <v>351</v>
      </c>
    </row>
    <row r="669" spans="1:10" x14ac:dyDescent="0.3">
      <c r="A669" s="36" t="s">
        <v>100</v>
      </c>
      <c r="B669" s="37">
        <v>3.3599999999999998E-2</v>
      </c>
      <c r="C669" s="36" t="s">
        <v>31</v>
      </c>
      <c r="D669" s="36" t="s">
        <v>41</v>
      </c>
      <c r="E669" s="36"/>
      <c r="F669" s="36" t="s">
        <v>20</v>
      </c>
      <c r="G669" s="36"/>
      <c r="H669" s="36"/>
      <c r="I669" s="36"/>
      <c r="J669" s="36" t="s">
        <v>103</v>
      </c>
    </row>
    <row r="670" spans="1:10" x14ac:dyDescent="0.3">
      <c r="A670" s="36" t="s">
        <v>352</v>
      </c>
      <c r="B670" s="37">
        <v>3.2599999999999997E-2</v>
      </c>
      <c r="C670" s="36" t="s">
        <v>581</v>
      </c>
      <c r="D670" s="36" t="s">
        <v>41</v>
      </c>
      <c r="E670" s="36"/>
      <c r="F670" s="36" t="s">
        <v>20</v>
      </c>
      <c r="G670" s="36"/>
      <c r="H670" s="36"/>
      <c r="I670" s="36"/>
      <c r="J670" s="36" t="s">
        <v>353</v>
      </c>
    </row>
    <row r="671" spans="1:10" x14ac:dyDescent="0.3">
      <c r="A671" s="36" t="s">
        <v>354</v>
      </c>
      <c r="B671" s="37">
        <v>-6.8899999999999999E-7</v>
      </c>
      <c r="C671" s="36" t="s">
        <v>31</v>
      </c>
      <c r="D671" s="36" t="s">
        <v>121</v>
      </c>
      <c r="E671" s="36"/>
      <c r="F671" s="36" t="s">
        <v>20</v>
      </c>
      <c r="G671" s="36"/>
      <c r="H671" s="36"/>
      <c r="I671" s="36"/>
      <c r="J671" s="36" t="s">
        <v>355</v>
      </c>
    </row>
    <row r="673" spans="1:10" ht="15.6" x14ac:dyDescent="0.3">
      <c r="A673" s="1" t="s">
        <v>1</v>
      </c>
      <c r="B673" s="73" t="s">
        <v>402</v>
      </c>
    </row>
    <row r="674" spans="1:10" x14ac:dyDescent="0.3">
      <c r="A674" t="s">
        <v>2</v>
      </c>
      <c r="B674" s="6" t="s">
        <v>1050</v>
      </c>
    </row>
    <row r="675" spans="1:10" x14ac:dyDescent="0.3">
      <c r="A675" t="s">
        <v>3</v>
      </c>
      <c r="B675" s="6">
        <v>1</v>
      </c>
    </row>
    <row r="676" spans="1:10" ht="15.6" x14ac:dyDescent="0.3">
      <c r="A676" t="s">
        <v>4</v>
      </c>
      <c r="B676" s="74" t="s">
        <v>337</v>
      </c>
    </row>
    <row r="677" spans="1:10" x14ac:dyDescent="0.3">
      <c r="A677" t="s">
        <v>5</v>
      </c>
      <c r="B677" s="6" t="s">
        <v>6</v>
      </c>
    </row>
    <row r="678" spans="1:10" x14ac:dyDescent="0.3">
      <c r="A678" t="s">
        <v>7</v>
      </c>
      <c r="B678" s="6" t="s">
        <v>8</v>
      </c>
    </row>
    <row r="679" spans="1:10" x14ac:dyDescent="0.3">
      <c r="A679" t="s">
        <v>9</v>
      </c>
      <c r="B679" s="6" t="s">
        <v>393</v>
      </c>
    </row>
    <row r="680" spans="1:10" x14ac:dyDescent="0.3">
      <c r="A680" t="s">
        <v>11</v>
      </c>
      <c r="B680" s="6" t="s">
        <v>361</v>
      </c>
    </row>
    <row r="681" spans="1:10" ht="15.6" x14ac:dyDescent="0.3">
      <c r="A681" s="1" t="s">
        <v>12</v>
      </c>
    </row>
    <row r="682" spans="1:10" x14ac:dyDescent="0.3">
      <c r="A682" t="s">
        <v>13</v>
      </c>
      <c r="B682" s="6" t="s">
        <v>14</v>
      </c>
      <c r="C682" t="s">
        <v>2</v>
      </c>
      <c r="D682" t="s">
        <v>7</v>
      </c>
      <c r="E682" t="s">
        <v>15</v>
      </c>
      <c r="F682" t="s">
        <v>5</v>
      </c>
      <c r="G682" t="s">
        <v>338</v>
      </c>
      <c r="H682" t="s">
        <v>339</v>
      </c>
      <c r="I682" t="s">
        <v>11</v>
      </c>
      <c r="J682" t="s">
        <v>4</v>
      </c>
    </row>
    <row r="683" spans="1:10" x14ac:dyDescent="0.3">
      <c r="A683" s="36" t="s">
        <v>402</v>
      </c>
      <c r="B683" s="37">
        <v>1</v>
      </c>
      <c r="C683" t="s">
        <v>1050</v>
      </c>
      <c r="D683" s="36" t="s">
        <v>8</v>
      </c>
      <c r="E683" s="36"/>
      <c r="F683" s="36" t="s">
        <v>17</v>
      </c>
      <c r="G683" s="36"/>
      <c r="H683" s="36"/>
      <c r="I683" s="36" t="s">
        <v>18</v>
      </c>
      <c r="J683" s="36" t="s">
        <v>337</v>
      </c>
    </row>
    <row r="684" spans="1:10" ht="15.6" x14ac:dyDescent="0.3">
      <c r="A684" s="2" t="s">
        <v>400</v>
      </c>
      <c r="B684" s="6">
        <v>1.00057</v>
      </c>
      <c r="C684" t="s">
        <v>1050</v>
      </c>
      <c r="D684" t="s">
        <v>8</v>
      </c>
      <c r="F684" s="36" t="s">
        <v>20</v>
      </c>
      <c r="G684" t="s">
        <v>18</v>
      </c>
      <c r="I684" s="36"/>
      <c r="J684" s="2" t="s">
        <v>399</v>
      </c>
    </row>
    <row r="685" spans="1:10" x14ac:dyDescent="0.3">
      <c r="A685" s="36" t="s">
        <v>28</v>
      </c>
      <c r="B685" s="37">
        <v>6.7000000000000002E-3</v>
      </c>
      <c r="C685" t="s">
        <v>1051</v>
      </c>
      <c r="D685" s="36" t="s">
        <v>29</v>
      </c>
      <c r="E685" s="36"/>
      <c r="F685" s="36" t="s">
        <v>20</v>
      </c>
      <c r="G685" s="36"/>
      <c r="H685" s="36"/>
      <c r="I685" s="36"/>
      <c r="J685" s="36" t="s">
        <v>30</v>
      </c>
    </row>
    <row r="686" spans="1:10" x14ac:dyDescent="0.3">
      <c r="A686" s="36" t="s">
        <v>340</v>
      </c>
      <c r="B686" s="37">
        <v>-1.6799999999999999E-4</v>
      </c>
      <c r="C686" s="36" t="s">
        <v>31</v>
      </c>
      <c r="D686" s="36" t="s">
        <v>8</v>
      </c>
      <c r="E686" s="36"/>
      <c r="F686" s="36" t="s">
        <v>20</v>
      </c>
      <c r="G686" s="36"/>
      <c r="H686" s="36"/>
      <c r="I686" s="36"/>
      <c r="J686" s="36" t="s">
        <v>341</v>
      </c>
    </row>
    <row r="687" spans="1:10" x14ac:dyDescent="0.3">
      <c r="A687" s="36" t="s">
        <v>342</v>
      </c>
      <c r="B687" s="37">
        <v>5.8399999999999999E-4</v>
      </c>
      <c r="C687" s="36" t="s">
        <v>31</v>
      </c>
      <c r="D687" s="36" t="s">
        <v>19</v>
      </c>
      <c r="E687" s="36"/>
      <c r="F687" s="36" t="s">
        <v>20</v>
      </c>
      <c r="G687" s="36"/>
      <c r="H687" s="36"/>
      <c r="I687" s="36"/>
      <c r="J687" s="36" t="s">
        <v>343</v>
      </c>
    </row>
    <row r="688" spans="1:10" x14ac:dyDescent="0.3">
      <c r="A688" s="36" t="s">
        <v>344</v>
      </c>
      <c r="B688" s="37">
        <v>2.5999999999999998E-10</v>
      </c>
      <c r="C688" s="36" t="s">
        <v>31</v>
      </c>
      <c r="D688" s="36" t="s">
        <v>7</v>
      </c>
      <c r="E688" s="36"/>
      <c r="F688" s="36" t="s">
        <v>20</v>
      </c>
      <c r="G688" s="36"/>
      <c r="H688" s="36"/>
      <c r="I688" s="36"/>
      <c r="J688" s="36" t="s">
        <v>345</v>
      </c>
    </row>
    <row r="689" spans="1:10" x14ac:dyDescent="0.3">
      <c r="A689" s="36" t="s">
        <v>346</v>
      </c>
      <c r="B689" s="37">
        <v>-6.2700000000000001E-6</v>
      </c>
      <c r="C689" s="36" t="s">
        <v>31</v>
      </c>
      <c r="D689" s="36" t="s">
        <v>8</v>
      </c>
      <c r="E689" s="36"/>
      <c r="F689" s="36" t="s">
        <v>20</v>
      </c>
      <c r="G689" s="36"/>
      <c r="H689" s="36"/>
      <c r="I689" s="36"/>
      <c r="J689" s="36" t="s">
        <v>347</v>
      </c>
    </row>
    <row r="690" spans="1:10" x14ac:dyDescent="0.3">
      <c r="A690" s="36" t="s">
        <v>348</v>
      </c>
      <c r="B690" s="37">
        <v>-7.4999999999999993E-5</v>
      </c>
      <c r="C690" s="36" t="s">
        <v>31</v>
      </c>
      <c r="D690" s="36" t="s">
        <v>121</v>
      </c>
      <c r="E690" s="36"/>
      <c r="F690" s="36" t="s">
        <v>20</v>
      </c>
      <c r="G690" s="36"/>
      <c r="H690" s="36"/>
      <c r="I690" s="36"/>
      <c r="J690" s="36" t="s">
        <v>349</v>
      </c>
    </row>
    <row r="691" spans="1:10" x14ac:dyDescent="0.3">
      <c r="A691" s="36" t="s">
        <v>350</v>
      </c>
      <c r="B691" s="37">
        <v>6.8900000000000005E-4</v>
      </c>
      <c r="C691" s="36" t="s">
        <v>31</v>
      </c>
      <c r="D691" s="36" t="s">
        <v>8</v>
      </c>
      <c r="E691" s="36"/>
      <c r="F691" s="36" t="s">
        <v>20</v>
      </c>
      <c r="G691" s="36"/>
      <c r="H691" s="36"/>
      <c r="I691" s="36"/>
      <c r="J691" s="36" t="s">
        <v>351</v>
      </c>
    </row>
    <row r="692" spans="1:10" x14ac:dyDescent="0.3">
      <c r="A692" s="36" t="s">
        <v>100</v>
      </c>
      <c r="B692" s="37">
        <v>3.3599999999999998E-2</v>
      </c>
      <c r="C692" s="36" t="s">
        <v>31</v>
      </c>
      <c r="D692" s="36" t="s">
        <v>41</v>
      </c>
      <c r="E692" s="36"/>
      <c r="F692" s="36" t="s">
        <v>20</v>
      </c>
      <c r="G692" s="36"/>
      <c r="H692" s="36"/>
      <c r="I692" s="36"/>
      <c r="J692" s="36" t="s">
        <v>103</v>
      </c>
    </row>
    <row r="693" spans="1:10" x14ac:dyDescent="0.3">
      <c r="A693" s="36" t="s">
        <v>352</v>
      </c>
      <c r="B693" s="37">
        <v>3.2599999999999997E-2</v>
      </c>
      <c r="C693" s="36" t="s">
        <v>581</v>
      </c>
      <c r="D693" s="36" t="s">
        <v>41</v>
      </c>
      <c r="E693" s="36"/>
      <c r="F693" s="36" t="s">
        <v>20</v>
      </c>
      <c r="G693" s="36"/>
      <c r="H693" s="36"/>
      <c r="I693" s="36"/>
      <c r="J693" s="36" t="s">
        <v>353</v>
      </c>
    </row>
    <row r="694" spans="1:10" x14ac:dyDescent="0.3">
      <c r="A694" s="36" t="s">
        <v>354</v>
      </c>
      <c r="B694" s="37">
        <v>-6.8899999999999999E-7</v>
      </c>
      <c r="C694" s="36" t="s">
        <v>31</v>
      </c>
      <c r="D694" s="36" t="s">
        <v>121</v>
      </c>
      <c r="E694" s="36"/>
      <c r="F694" s="36" t="s">
        <v>20</v>
      </c>
      <c r="G694" s="36"/>
      <c r="H694" s="36"/>
      <c r="I694" s="36"/>
      <c r="J694" s="36" t="s">
        <v>355</v>
      </c>
    </row>
    <row r="695" spans="1:10" x14ac:dyDescent="0.3">
      <c r="A695" s="36"/>
      <c r="B695" s="37"/>
      <c r="C695" s="36"/>
      <c r="D695" s="36"/>
      <c r="E695" s="36"/>
      <c r="F695" s="36"/>
      <c r="G695" s="36"/>
      <c r="H695" s="36"/>
      <c r="I695" s="36"/>
      <c r="J695" s="36"/>
    </row>
    <row r="696" spans="1:10" ht="15.6" x14ac:dyDescent="0.3">
      <c r="A696" s="1" t="s">
        <v>1</v>
      </c>
      <c r="B696" s="73" t="s">
        <v>513</v>
      </c>
    </row>
    <row r="697" spans="1:10" x14ac:dyDescent="0.3">
      <c r="A697" t="s">
        <v>2</v>
      </c>
      <c r="B697" s="6" t="s">
        <v>1050</v>
      </c>
    </row>
    <row r="698" spans="1:10" x14ac:dyDescent="0.3">
      <c r="A698" t="s">
        <v>3</v>
      </c>
      <c r="B698" s="6">
        <v>1</v>
      </c>
    </row>
    <row r="699" spans="1:10" ht="15.6" x14ac:dyDescent="0.3">
      <c r="A699" t="s">
        <v>4</v>
      </c>
      <c r="B699" s="74" t="s">
        <v>337</v>
      </c>
    </row>
    <row r="700" spans="1:10" x14ac:dyDescent="0.3">
      <c r="A700" t="s">
        <v>5</v>
      </c>
      <c r="B700" s="6" t="s">
        <v>6</v>
      </c>
    </row>
    <row r="701" spans="1:10" x14ac:dyDescent="0.3">
      <c r="A701" t="s">
        <v>7</v>
      </c>
      <c r="B701" s="6" t="s">
        <v>8</v>
      </c>
    </row>
    <row r="702" spans="1:10" x14ac:dyDescent="0.3">
      <c r="A702" t="s">
        <v>9</v>
      </c>
      <c r="B702" s="6" t="s">
        <v>393</v>
      </c>
    </row>
    <row r="703" spans="1:10" x14ac:dyDescent="0.3">
      <c r="A703" t="s">
        <v>11</v>
      </c>
      <c r="B703" s="6" t="s">
        <v>507</v>
      </c>
    </row>
    <row r="704" spans="1:10" ht="15.6" x14ac:dyDescent="0.3">
      <c r="A704" s="1" t="s">
        <v>12</v>
      </c>
    </row>
    <row r="705" spans="1:10" x14ac:dyDescent="0.3">
      <c r="A705" t="s">
        <v>13</v>
      </c>
      <c r="B705" s="6" t="s">
        <v>14</v>
      </c>
      <c r="C705" t="s">
        <v>2</v>
      </c>
      <c r="D705" t="s">
        <v>7</v>
      </c>
      <c r="E705" t="s">
        <v>15</v>
      </c>
      <c r="F705" t="s">
        <v>5</v>
      </c>
      <c r="G705" t="s">
        <v>338</v>
      </c>
      <c r="H705" t="s">
        <v>339</v>
      </c>
      <c r="I705" t="s">
        <v>11</v>
      </c>
      <c r="J705" t="s">
        <v>4</v>
      </c>
    </row>
    <row r="706" spans="1:10" x14ac:dyDescent="0.3">
      <c r="A706" s="36" t="s">
        <v>513</v>
      </c>
      <c r="B706" s="37">
        <v>1</v>
      </c>
      <c r="C706" t="s">
        <v>1050</v>
      </c>
      <c r="D706" s="36" t="s">
        <v>8</v>
      </c>
      <c r="E706" s="36"/>
      <c r="F706" s="36" t="s">
        <v>17</v>
      </c>
      <c r="G706" s="36"/>
      <c r="H706" s="36"/>
      <c r="I706" s="36" t="s">
        <v>18</v>
      </c>
      <c r="J706" s="36" t="s">
        <v>337</v>
      </c>
    </row>
    <row r="707" spans="1:10" ht="15.6" x14ac:dyDescent="0.3">
      <c r="A707" s="2" t="s">
        <v>512</v>
      </c>
      <c r="B707" s="6">
        <v>1.00057</v>
      </c>
      <c r="C707" t="s">
        <v>1050</v>
      </c>
      <c r="D707" t="s">
        <v>8</v>
      </c>
      <c r="F707" s="36" t="s">
        <v>20</v>
      </c>
      <c r="G707" t="s">
        <v>18</v>
      </c>
      <c r="I707" s="36"/>
      <c r="J707" s="2" t="s">
        <v>399</v>
      </c>
    </row>
    <row r="708" spans="1:10" x14ac:dyDescent="0.3">
      <c r="A708" s="36" t="s">
        <v>28</v>
      </c>
      <c r="B708" s="37">
        <v>6.7000000000000002E-3</v>
      </c>
      <c r="C708" t="s">
        <v>1051</v>
      </c>
      <c r="D708" s="36" t="s">
        <v>29</v>
      </c>
      <c r="E708" s="36"/>
      <c r="F708" s="36" t="s">
        <v>20</v>
      </c>
      <c r="G708" s="36"/>
      <c r="H708" s="36"/>
      <c r="I708" s="36"/>
      <c r="J708" s="36" t="s">
        <v>30</v>
      </c>
    </row>
    <row r="709" spans="1:10" x14ac:dyDescent="0.3">
      <c r="A709" s="36" t="s">
        <v>340</v>
      </c>
      <c r="B709" s="37">
        <v>-1.6799999999999999E-4</v>
      </c>
      <c r="C709" s="36" t="s">
        <v>31</v>
      </c>
      <c r="D709" s="36" t="s">
        <v>8</v>
      </c>
      <c r="E709" s="36"/>
      <c r="F709" s="36" t="s">
        <v>20</v>
      </c>
      <c r="G709" s="36"/>
      <c r="H709" s="36"/>
      <c r="I709" s="36"/>
      <c r="J709" s="36" t="s">
        <v>341</v>
      </c>
    </row>
    <row r="710" spans="1:10" x14ac:dyDescent="0.3">
      <c r="A710" s="36" t="s">
        <v>342</v>
      </c>
      <c r="B710" s="37">
        <v>5.8399999999999999E-4</v>
      </c>
      <c r="C710" s="36" t="s">
        <v>31</v>
      </c>
      <c r="D710" s="36" t="s">
        <v>19</v>
      </c>
      <c r="E710" s="36"/>
      <c r="F710" s="36" t="s">
        <v>20</v>
      </c>
      <c r="G710" s="36"/>
      <c r="H710" s="36"/>
      <c r="I710" s="36"/>
      <c r="J710" s="36" t="s">
        <v>343</v>
      </c>
    </row>
    <row r="711" spans="1:10" x14ac:dyDescent="0.3">
      <c r="A711" s="36" t="s">
        <v>344</v>
      </c>
      <c r="B711" s="37">
        <v>2.5999999999999998E-10</v>
      </c>
      <c r="C711" s="36" t="s">
        <v>31</v>
      </c>
      <c r="D711" s="36" t="s">
        <v>7</v>
      </c>
      <c r="E711" s="36"/>
      <c r="F711" s="36" t="s">
        <v>20</v>
      </c>
      <c r="G711" s="36"/>
      <c r="H711" s="36"/>
      <c r="I711" s="36"/>
      <c r="J711" s="36" t="s">
        <v>345</v>
      </c>
    </row>
    <row r="712" spans="1:10" x14ac:dyDescent="0.3">
      <c r="A712" s="36" t="s">
        <v>346</v>
      </c>
      <c r="B712" s="37">
        <v>-6.2700000000000001E-6</v>
      </c>
      <c r="C712" s="36" t="s">
        <v>31</v>
      </c>
      <c r="D712" s="36" t="s">
        <v>8</v>
      </c>
      <c r="E712" s="36"/>
      <c r="F712" s="36" t="s">
        <v>20</v>
      </c>
      <c r="G712" s="36"/>
      <c r="H712" s="36"/>
      <c r="I712" s="36"/>
      <c r="J712" s="36" t="s">
        <v>347</v>
      </c>
    </row>
    <row r="713" spans="1:10" x14ac:dyDescent="0.3">
      <c r="A713" s="36" t="s">
        <v>348</v>
      </c>
      <c r="B713" s="37">
        <v>-7.4999999999999993E-5</v>
      </c>
      <c r="C713" s="36" t="s">
        <v>31</v>
      </c>
      <c r="D713" s="36" t="s">
        <v>121</v>
      </c>
      <c r="E713" s="36"/>
      <c r="F713" s="36" t="s">
        <v>20</v>
      </c>
      <c r="G713" s="36"/>
      <c r="H713" s="36"/>
      <c r="I713" s="36"/>
      <c r="J713" s="36" t="s">
        <v>349</v>
      </c>
    </row>
    <row r="714" spans="1:10" x14ac:dyDescent="0.3">
      <c r="A714" s="36" t="s">
        <v>350</v>
      </c>
      <c r="B714" s="37">
        <v>6.8900000000000005E-4</v>
      </c>
      <c r="C714" s="36" t="s">
        <v>31</v>
      </c>
      <c r="D714" s="36" t="s">
        <v>8</v>
      </c>
      <c r="E714" s="36"/>
      <c r="F714" s="36" t="s">
        <v>20</v>
      </c>
      <c r="G714" s="36"/>
      <c r="H714" s="36"/>
      <c r="I714" s="36"/>
      <c r="J714" s="36" t="s">
        <v>351</v>
      </c>
    </row>
    <row r="715" spans="1:10" x14ac:dyDescent="0.3">
      <c r="A715" s="36" t="s">
        <v>100</v>
      </c>
      <c r="B715" s="37">
        <v>3.3599999999999998E-2</v>
      </c>
      <c r="C715" s="36" t="s">
        <v>31</v>
      </c>
      <c r="D715" s="36" t="s">
        <v>41</v>
      </c>
      <c r="E715" s="36"/>
      <c r="F715" s="36" t="s">
        <v>20</v>
      </c>
      <c r="G715" s="36"/>
      <c r="H715" s="36"/>
      <c r="I715" s="36"/>
      <c r="J715" s="36" t="s">
        <v>103</v>
      </c>
    </row>
    <row r="716" spans="1:10" x14ac:dyDescent="0.3">
      <c r="A716" s="36" t="s">
        <v>352</v>
      </c>
      <c r="B716" s="37">
        <v>3.2599999999999997E-2</v>
      </c>
      <c r="C716" s="36" t="s">
        <v>581</v>
      </c>
      <c r="D716" s="36" t="s">
        <v>41</v>
      </c>
      <c r="E716" s="36"/>
      <c r="F716" s="36" t="s">
        <v>20</v>
      </c>
      <c r="G716" s="36"/>
      <c r="H716" s="36"/>
      <c r="I716" s="36"/>
      <c r="J716" s="36" t="s">
        <v>353</v>
      </c>
    </row>
    <row r="717" spans="1:10" x14ac:dyDescent="0.3">
      <c r="A717" s="36" t="s">
        <v>354</v>
      </c>
      <c r="B717" s="37">
        <v>-6.8899999999999999E-7</v>
      </c>
      <c r="C717" s="36" t="s">
        <v>31</v>
      </c>
      <c r="D717" s="36" t="s">
        <v>121</v>
      </c>
      <c r="E717" s="36"/>
      <c r="F717" s="36" t="s">
        <v>20</v>
      </c>
      <c r="G717" s="36"/>
      <c r="H717" s="36"/>
      <c r="I717" s="36"/>
      <c r="J717" s="36" t="s">
        <v>355</v>
      </c>
    </row>
    <row r="718" spans="1:10" x14ac:dyDescent="0.3">
      <c r="A718" s="36"/>
      <c r="B718" s="37"/>
      <c r="C718" s="36"/>
      <c r="D718" s="36"/>
      <c r="E718" s="36"/>
      <c r="F718" s="36"/>
      <c r="G718" s="36"/>
      <c r="H718" s="36"/>
      <c r="I718" s="36"/>
      <c r="J718" s="36"/>
    </row>
    <row r="719" spans="1:10" ht="15.6" x14ac:dyDescent="0.3">
      <c r="A719" s="1" t="s">
        <v>1</v>
      </c>
      <c r="B719" s="73" t="s">
        <v>66</v>
      </c>
    </row>
    <row r="720" spans="1:10" x14ac:dyDescent="0.3">
      <c r="A720" t="s">
        <v>2</v>
      </c>
      <c r="B720" s="6" t="s">
        <v>1050</v>
      </c>
    </row>
    <row r="721" spans="1:8" x14ac:dyDescent="0.3">
      <c r="A721" t="s">
        <v>3</v>
      </c>
      <c r="B721" s="6">
        <v>1</v>
      </c>
    </row>
    <row r="722" spans="1:8" ht="15.6" x14ac:dyDescent="0.3">
      <c r="A722" t="s">
        <v>4</v>
      </c>
      <c r="B722" s="74" t="s">
        <v>62</v>
      </c>
    </row>
    <row r="723" spans="1:8" x14ac:dyDescent="0.3">
      <c r="A723" t="s">
        <v>5</v>
      </c>
      <c r="B723" s="6" t="s">
        <v>6</v>
      </c>
    </row>
    <row r="724" spans="1:8" x14ac:dyDescent="0.3">
      <c r="A724" t="s">
        <v>7</v>
      </c>
      <c r="B724" s="6" t="s">
        <v>8</v>
      </c>
    </row>
    <row r="725" spans="1:8" x14ac:dyDescent="0.3">
      <c r="A725" t="s">
        <v>9</v>
      </c>
      <c r="B725" s="6" t="s">
        <v>10</v>
      </c>
    </row>
    <row r="726" spans="1:8" x14ac:dyDescent="0.3">
      <c r="A726" t="s">
        <v>11</v>
      </c>
      <c r="B726" s="6" t="s">
        <v>175</v>
      </c>
    </row>
    <row r="727" spans="1:8" x14ac:dyDescent="0.3">
      <c r="A727" t="s">
        <v>850</v>
      </c>
      <c r="B727" s="5">
        <f>Summary!R10</f>
        <v>16.186667617799998</v>
      </c>
    </row>
    <row r="728" spans="1:8" x14ac:dyDescent="0.3">
      <c r="A728" t="s">
        <v>856</v>
      </c>
      <c r="B728" s="78">
        <f>Summary!Q10</f>
        <v>0.15</v>
      </c>
    </row>
    <row r="729" spans="1:8" ht="15.6" x14ac:dyDescent="0.3">
      <c r="A729" s="1" t="s">
        <v>12</v>
      </c>
    </row>
    <row r="730" spans="1:8" x14ac:dyDescent="0.3">
      <c r="A730" t="s">
        <v>13</v>
      </c>
      <c r="B730" s="6" t="s">
        <v>14</v>
      </c>
      <c r="C730" t="s">
        <v>2</v>
      </c>
      <c r="D730" t="s">
        <v>7</v>
      </c>
      <c r="E730" t="s">
        <v>15</v>
      </c>
      <c r="F730" t="s">
        <v>5</v>
      </c>
      <c r="G730" t="s">
        <v>11</v>
      </c>
      <c r="H730" t="s">
        <v>4</v>
      </c>
    </row>
    <row r="731" spans="1:8" ht="15.6" x14ac:dyDescent="0.3">
      <c r="A731" s="2" t="s">
        <v>66</v>
      </c>
      <c r="B731" s="6">
        <v>1</v>
      </c>
      <c r="C731" t="s">
        <v>1050</v>
      </c>
      <c r="D731" t="s">
        <v>8</v>
      </c>
      <c r="F731" t="s">
        <v>17</v>
      </c>
      <c r="G731" t="s">
        <v>18</v>
      </c>
      <c r="H731" s="2" t="s">
        <v>61</v>
      </c>
    </row>
    <row r="732" spans="1:8" x14ac:dyDescent="0.3">
      <c r="A732" t="s">
        <v>22</v>
      </c>
      <c r="B732" s="6">
        <f>47926*Parameters!$B$3/1000</f>
        <v>5.0564609063399997E-2</v>
      </c>
      <c r="C732" t="s">
        <v>26</v>
      </c>
      <c r="D732" t="s">
        <v>19</v>
      </c>
      <c r="F732" t="s">
        <v>20</v>
      </c>
      <c r="G732" t="s">
        <v>60</v>
      </c>
      <c r="H732" t="s">
        <v>23</v>
      </c>
    </row>
    <row r="733" spans="1:8" x14ac:dyDescent="0.3">
      <c r="A733" t="s">
        <v>28</v>
      </c>
      <c r="B733" s="6">
        <f>3718*Parameters!$B$3/1000/3.6</f>
        <v>1.0896382878333333E-3</v>
      </c>
      <c r="C733" t="s">
        <v>1051</v>
      </c>
      <c r="D733" t="s">
        <v>29</v>
      </c>
      <c r="F733" t="s">
        <v>20</v>
      </c>
      <c r="H733" t="s">
        <v>30</v>
      </c>
    </row>
    <row r="734" spans="1:8" x14ac:dyDescent="0.3">
      <c r="A734" t="s">
        <v>352</v>
      </c>
      <c r="B734" s="6">
        <f>37*Parameters!$B$7/1000</f>
        <v>5.9569999999999998E-2</v>
      </c>
      <c r="C734" t="s">
        <v>581</v>
      </c>
      <c r="D734" t="s">
        <v>41</v>
      </c>
      <c r="F734" t="s">
        <v>20</v>
      </c>
      <c r="G734" t="s">
        <v>74</v>
      </c>
      <c r="H734" t="s">
        <v>353</v>
      </c>
    </row>
    <row r="735" spans="1:8" x14ac:dyDescent="0.3">
      <c r="A735" t="s">
        <v>42</v>
      </c>
      <c r="B735" s="6">
        <f>4.641/1000</f>
        <v>4.6410000000000002E-3</v>
      </c>
      <c r="C735" t="s">
        <v>1051</v>
      </c>
      <c r="D735" t="s">
        <v>8</v>
      </c>
      <c r="F735" t="s">
        <v>20</v>
      </c>
      <c r="H735" t="s">
        <v>43</v>
      </c>
    </row>
    <row r="736" spans="1:8" x14ac:dyDescent="0.3">
      <c r="A736" t="s">
        <v>44</v>
      </c>
      <c r="B736" s="6">
        <f>1.047/1000</f>
        <v>1.047E-3</v>
      </c>
      <c r="C736" t="s">
        <v>1051</v>
      </c>
      <c r="D736" t="s">
        <v>8</v>
      </c>
      <c r="F736" t="s">
        <v>20</v>
      </c>
      <c r="H736" t="s">
        <v>45</v>
      </c>
    </row>
    <row r="737" spans="1:8" x14ac:dyDescent="0.3">
      <c r="A737" t="s">
        <v>46</v>
      </c>
      <c r="B737" s="6">
        <f>2.868/1000</f>
        <v>2.8679999999999999E-3</v>
      </c>
      <c r="C737" t="s">
        <v>1051</v>
      </c>
      <c r="D737" t="s">
        <v>8</v>
      </c>
      <c r="F737" t="s">
        <v>20</v>
      </c>
      <c r="H737" t="s">
        <v>47</v>
      </c>
    </row>
    <row r="738" spans="1:8" x14ac:dyDescent="0.3">
      <c r="A738" s="7" t="s">
        <v>48</v>
      </c>
      <c r="B738" s="6">
        <f>5.183/1000</f>
        <v>5.1830000000000001E-3</v>
      </c>
      <c r="C738" t="s">
        <v>26</v>
      </c>
      <c r="D738" t="s">
        <v>8</v>
      </c>
      <c r="F738" t="s">
        <v>20</v>
      </c>
      <c r="H738" s="7" t="s">
        <v>49</v>
      </c>
    </row>
    <row r="739" spans="1:8" x14ac:dyDescent="0.3">
      <c r="A739" t="s">
        <v>50</v>
      </c>
      <c r="B739" s="6">
        <f>28.72/1000/1000</f>
        <v>2.8719999999999999E-5</v>
      </c>
      <c r="C739" t="s">
        <v>26</v>
      </c>
      <c r="D739" t="s">
        <v>8</v>
      </c>
      <c r="F739" t="s">
        <v>20</v>
      </c>
      <c r="G739" t="s">
        <v>51</v>
      </c>
      <c r="H739" t="s">
        <v>53</v>
      </c>
    </row>
    <row r="740" spans="1:8" x14ac:dyDescent="0.3">
      <c r="A740" t="s">
        <v>54</v>
      </c>
      <c r="B740" s="6">
        <f>0.744/1000*Parameters!$B$6</f>
        <v>3.3747839999999997E-4</v>
      </c>
      <c r="C740" t="s">
        <v>26</v>
      </c>
      <c r="D740" t="s">
        <v>8</v>
      </c>
      <c r="F740" t="s">
        <v>20</v>
      </c>
      <c r="G740" t="s">
        <v>56</v>
      </c>
      <c r="H740" t="s">
        <v>55</v>
      </c>
    </row>
    <row r="741" spans="1:8" x14ac:dyDescent="0.3">
      <c r="A741" t="s">
        <v>181</v>
      </c>
      <c r="B741" s="6">
        <v>6.4103000000000003E-6</v>
      </c>
      <c r="C741" t="s">
        <v>26</v>
      </c>
      <c r="D741" t="s">
        <v>119</v>
      </c>
      <c r="F741" t="s">
        <v>20</v>
      </c>
      <c r="G741" t="s">
        <v>209</v>
      </c>
      <c r="H741" t="s">
        <v>182</v>
      </c>
    </row>
    <row r="742" spans="1:8" x14ac:dyDescent="0.3">
      <c r="A742" t="s">
        <v>183</v>
      </c>
      <c r="B742" s="6">
        <v>6.0897000000000003E-5</v>
      </c>
      <c r="C742" t="s">
        <v>26</v>
      </c>
      <c r="D742" t="s">
        <v>119</v>
      </c>
      <c r="F742" t="s">
        <v>20</v>
      </c>
      <c r="G742" t="s">
        <v>209</v>
      </c>
      <c r="H742" t="s">
        <v>184</v>
      </c>
    </row>
    <row r="743" spans="1:8" x14ac:dyDescent="0.3">
      <c r="A743" t="s">
        <v>185</v>
      </c>
      <c r="B743" s="6">
        <v>5.4487000000000002E-5</v>
      </c>
      <c r="C743" t="s">
        <v>26</v>
      </c>
      <c r="D743" t="s">
        <v>119</v>
      </c>
      <c r="F743" t="s">
        <v>20</v>
      </c>
      <c r="G743" t="s">
        <v>209</v>
      </c>
      <c r="H743" t="s">
        <v>186</v>
      </c>
    </row>
    <row r="744" spans="1:8" x14ac:dyDescent="0.3">
      <c r="A744" t="s">
        <v>207</v>
      </c>
      <c r="B744" s="6">
        <v>6.4103000000000006E-5</v>
      </c>
      <c r="C744" t="s">
        <v>26</v>
      </c>
      <c r="D744" t="s">
        <v>8</v>
      </c>
      <c r="F744" t="s">
        <v>20</v>
      </c>
      <c r="G744" t="s">
        <v>209</v>
      </c>
      <c r="H744" t="s">
        <v>208</v>
      </c>
    </row>
    <row r="745" spans="1:8" x14ac:dyDescent="0.3">
      <c r="A745" t="s">
        <v>325</v>
      </c>
      <c r="B745" s="6">
        <f>(4.22+1.122)/1000</f>
        <v>5.3419999999999995E-3</v>
      </c>
      <c r="D745" t="s">
        <v>8</v>
      </c>
      <c r="E745" t="s">
        <v>37</v>
      </c>
      <c r="F745" t="s">
        <v>36</v>
      </c>
      <c r="G745" t="s">
        <v>1003</v>
      </c>
    </row>
    <row r="746" spans="1:8" x14ac:dyDescent="0.3">
      <c r="A746" t="s">
        <v>994</v>
      </c>
      <c r="B746" s="6">
        <f>73.885/1000000</f>
        <v>7.3885000000000002E-5</v>
      </c>
      <c r="D746" t="s">
        <v>8</v>
      </c>
      <c r="E746" t="s">
        <v>37</v>
      </c>
      <c r="F746" t="s">
        <v>36</v>
      </c>
      <c r="G746" t="s">
        <v>1004</v>
      </c>
    </row>
    <row r="747" spans="1:8" x14ac:dyDescent="0.3">
      <c r="A747" t="s">
        <v>40</v>
      </c>
      <c r="B747" s="6">
        <f>109.405/1000000</f>
        <v>1.09405E-4</v>
      </c>
      <c r="D747" t="s">
        <v>8</v>
      </c>
      <c r="E747" t="s">
        <v>37</v>
      </c>
      <c r="F747" t="s">
        <v>36</v>
      </c>
      <c r="G747" t="s">
        <v>1005</v>
      </c>
    </row>
    <row r="748" spans="1:8" x14ac:dyDescent="0.3">
      <c r="A748" t="s">
        <v>127</v>
      </c>
      <c r="B748" s="6">
        <v>3.8971000000000003E-6</v>
      </c>
      <c r="D748" t="s">
        <v>8</v>
      </c>
      <c r="E748" t="s">
        <v>169</v>
      </c>
      <c r="F748" t="s">
        <v>36</v>
      </c>
      <c r="G748" t="s">
        <v>209</v>
      </c>
    </row>
    <row r="749" spans="1:8" x14ac:dyDescent="0.3">
      <c r="A749" t="s">
        <v>148</v>
      </c>
      <c r="B749" s="6">
        <v>5.8419000000000002E-8</v>
      </c>
      <c r="D749" t="s">
        <v>8</v>
      </c>
      <c r="E749" t="s">
        <v>170</v>
      </c>
      <c r="F749" t="s">
        <v>36</v>
      </c>
      <c r="G749" t="s">
        <v>209</v>
      </c>
    </row>
    <row r="750" spans="1:8" x14ac:dyDescent="0.3">
      <c r="A750" t="s">
        <v>198</v>
      </c>
      <c r="B750" s="6">
        <v>2.0658E-9</v>
      </c>
      <c r="D750" t="s">
        <v>8</v>
      </c>
      <c r="E750" t="s">
        <v>179</v>
      </c>
      <c r="F750" t="s">
        <v>36</v>
      </c>
      <c r="G750" t="s">
        <v>209</v>
      </c>
    </row>
    <row r="751" spans="1:8" x14ac:dyDescent="0.3">
      <c r="A751" t="s">
        <v>198</v>
      </c>
      <c r="B751" s="6">
        <v>2.0568000000000002E-9</v>
      </c>
      <c r="D751" t="s">
        <v>8</v>
      </c>
      <c r="E751" t="s">
        <v>171</v>
      </c>
      <c r="F751" t="s">
        <v>36</v>
      </c>
      <c r="G751" t="s">
        <v>209</v>
      </c>
    </row>
    <row r="752" spans="1:8" x14ac:dyDescent="0.3">
      <c r="A752" t="s">
        <v>1046</v>
      </c>
      <c r="B752" s="6">
        <v>1.7590123356145999</v>
      </c>
      <c r="D752" t="s">
        <v>8</v>
      </c>
      <c r="E752" t="s">
        <v>1047</v>
      </c>
      <c r="F752" t="s">
        <v>36</v>
      </c>
      <c r="G752" t="s">
        <v>209</v>
      </c>
    </row>
    <row r="753" spans="1:7" x14ac:dyDescent="0.3">
      <c r="A753" t="s">
        <v>145</v>
      </c>
      <c r="B753" s="6">
        <v>-5.2561999999999998E-8</v>
      </c>
      <c r="D753" t="s">
        <v>8</v>
      </c>
      <c r="E753" t="s">
        <v>170</v>
      </c>
      <c r="F753" t="s">
        <v>36</v>
      </c>
      <c r="G753" t="s">
        <v>209</v>
      </c>
    </row>
    <row r="754" spans="1:7" x14ac:dyDescent="0.3">
      <c r="A754" t="s">
        <v>199</v>
      </c>
      <c r="B754" s="6">
        <v>1.04E-6</v>
      </c>
      <c r="D754" t="s">
        <v>8</v>
      </c>
      <c r="E754" t="s">
        <v>179</v>
      </c>
      <c r="F754" t="s">
        <v>36</v>
      </c>
      <c r="G754" t="s">
        <v>209</v>
      </c>
    </row>
    <row r="755" spans="1:7" x14ac:dyDescent="0.3">
      <c r="A755" t="s">
        <v>199</v>
      </c>
      <c r="B755" s="6">
        <v>2.4523999999999999E-7</v>
      </c>
      <c r="D755" t="s">
        <v>8</v>
      </c>
      <c r="E755" t="s">
        <v>171</v>
      </c>
      <c r="F755" t="s">
        <v>36</v>
      </c>
      <c r="G755" t="s">
        <v>209</v>
      </c>
    </row>
    <row r="756" spans="1:7" x14ac:dyDescent="0.3">
      <c r="A756" t="s">
        <v>132</v>
      </c>
      <c r="B756" s="6">
        <v>-1.6024999999999999E-6</v>
      </c>
      <c r="D756" t="s">
        <v>8</v>
      </c>
      <c r="E756" t="s">
        <v>170</v>
      </c>
      <c r="F756" t="s">
        <v>36</v>
      </c>
      <c r="G756" t="s">
        <v>209</v>
      </c>
    </row>
    <row r="757" spans="1:7" x14ac:dyDescent="0.3">
      <c r="A757" t="s">
        <v>200</v>
      </c>
      <c r="B757" s="6">
        <v>1.4422999999999999E-7</v>
      </c>
      <c r="D757" t="s">
        <v>8</v>
      </c>
      <c r="E757" t="s">
        <v>179</v>
      </c>
      <c r="F757" t="s">
        <v>36</v>
      </c>
      <c r="G757" t="s">
        <v>209</v>
      </c>
    </row>
    <row r="758" spans="1:7" x14ac:dyDescent="0.3">
      <c r="A758" t="s">
        <v>200</v>
      </c>
      <c r="B758" s="6">
        <v>1.6703000000000001E-7</v>
      </c>
      <c r="D758" t="s">
        <v>8</v>
      </c>
      <c r="E758" t="s">
        <v>171</v>
      </c>
      <c r="F758" t="s">
        <v>36</v>
      </c>
      <c r="G758" t="s">
        <v>209</v>
      </c>
    </row>
    <row r="759" spans="1:7" x14ac:dyDescent="0.3">
      <c r="A759" t="s">
        <v>108</v>
      </c>
      <c r="B759" s="6">
        <v>19.212</v>
      </c>
      <c r="D759" t="s">
        <v>19</v>
      </c>
      <c r="E759" t="s">
        <v>112</v>
      </c>
      <c r="F759" t="s">
        <v>36</v>
      </c>
      <c r="G759" t="s">
        <v>209</v>
      </c>
    </row>
    <row r="760" spans="1:7" x14ac:dyDescent="0.3">
      <c r="A760" t="s">
        <v>155</v>
      </c>
      <c r="B760" s="6">
        <v>1.1538E-5</v>
      </c>
      <c r="D760" t="s">
        <v>8</v>
      </c>
      <c r="E760" t="s">
        <v>170</v>
      </c>
      <c r="F760" t="s">
        <v>36</v>
      </c>
      <c r="G760" t="s">
        <v>209</v>
      </c>
    </row>
    <row r="761" spans="1:7" x14ac:dyDescent="0.3">
      <c r="A761" t="s">
        <v>168</v>
      </c>
      <c r="B761" s="6">
        <v>7.0325999999999999E-9</v>
      </c>
      <c r="D761" t="s">
        <v>8</v>
      </c>
      <c r="E761" t="s">
        <v>170</v>
      </c>
      <c r="F761" t="s">
        <v>36</v>
      </c>
      <c r="G761" t="s">
        <v>209</v>
      </c>
    </row>
    <row r="762" spans="1:7" x14ac:dyDescent="0.3">
      <c r="A762" t="s">
        <v>168</v>
      </c>
      <c r="B762" s="6">
        <v>2.3085000000000001E-8</v>
      </c>
      <c r="D762" t="s">
        <v>8</v>
      </c>
      <c r="E762" t="s">
        <v>171</v>
      </c>
      <c r="F762" t="s">
        <v>36</v>
      </c>
      <c r="G762" t="s">
        <v>209</v>
      </c>
    </row>
    <row r="763" spans="1:7" x14ac:dyDescent="0.3">
      <c r="A763" t="s">
        <v>168</v>
      </c>
      <c r="B763" s="6">
        <v>3.4243999999999999E-9</v>
      </c>
      <c r="D763" t="s">
        <v>8</v>
      </c>
      <c r="E763" t="s">
        <v>179</v>
      </c>
      <c r="F763" t="s">
        <v>36</v>
      </c>
      <c r="G763" t="s">
        <v>209</v>
      </c>
    </row>
    <row r="764" spans="1:7" x14ac:dyDescent="0.3">
      <c r="A764" t="s">
        <v>201</v>
      </c>
      <c r="B764" s="6">
        <v>5.5528000000000003E-12</v>
      </c>
      <c r="D764" t="s">
        <v>8</v>
      </c>
      <c r="E764" t="s">
        <v>170</v>
      </c>
      <c r="F764" t="s">
        <v>36</v>
      </c>
      <c r="G764" t="s">
        <v>209</v>
      </c>
    </row>
    <row r="765" spans="1:7" x14ac:dyDescent="0.3">
      <c r="A765" t="s">
        <v>201</v>
      </c>
      <c r="B765" s="6">
        <v>2.4134000000000002E-12</v>
      </c>
      <c r="D765" t="s">
        <v>8</v>
      </c>
      <c r="E765" t="s">
        <v>179</v>
      </c>
      <c r="F765" t="s">
        <v>36</v>
      </c>
      <c r="G765" t="s">
        <v>209</v>
      </c>
    </row>
    <row r="766" spans="1:7" x14ac:dyDescent="0.3">
      <c r="A766" t="s">
        <v>201</v>
      </c>
      <c r="B766" s="6">
        <v>3.2340000000000002E-12</v>
      </c>
      <c r="D766" t="s">
        <v>8</v>
      </c>
      <c r="E766" t="s">
        <v>171</v>
      </c>
      <c r="F766" t="s">
        <v>36</v>
      </c>
      <c r="G766" t="s">
        <v>209</v>
      </c>
    </row>
    <row r="767" spans="1:7" x14ac:dyDescent="0.3">
      <c r="A767" t="s">
        <v>138</v>
      </c>
      <c r="B767" s="6">
        <v>-1.0578000000000001E-6</v>
      </c>
      <c r="D767" t="s">
        <v>8</v>
      </c>
      <c r="E767" t="s">
        <v>170</v>
      </c>
      <c r="F767" t="s">
        <v>36</v>
      </c>
      <c r="G767" t="s">
        <v>209</v>
      </c>
    </row>
    <row r="768" spans="1:7" x14ac:dyDescent="0.3">
      <c r="A768" t="s">
        <v>202</v>
      </c>
      <c r="B768" s="6">
        <v>1.1773E-7</v>
      </c>
      <c r="D768" t="s">
        <v>8</v>
      </c>
      <c r="E768" t="s">
        <v>171</v>
      </c>
      <c r="F768" t="s">
        <v>36</v>
      </c>
      <c r="G768" t="s">
        <v>209</v>
      </c>
    </row>
    <row r="769" spans="1:7" x14ac:dyDescent="0.3">
      <c r="A769" t="s">
        <v>172</v>
      </c>
      <c r="B769" s="6">
        <v>8.1581999999999998E-4</v>
      </c>
      <c r="D769" t="s">
        <v>8</v>
      </c>
      <c r="E769" t="s">
        <v>179</v>
      </c>
      <c r="F769" t="s">
        <v>36</v>
      </c>
      <c r="G769" t="s">
        <v>209</v>
      </c>
    </row>
    <row r="770" spans="1:7" x14ac:dyDescent="0.3">
      <c r="A770" t="s">
        <v>38</v>
      </c>
      <c r="B770" s="6">
        <v>1.6519E-6</v>
      </c>
      <c r="D770" t="s">
        <v>8</v>
      </c>
      <c r="E770" t="s">
        <v>169</v>
      </c>
      <c r="F770" t="s">
        <v>36</v>
      </c>
      <c r="G770" t="s">
        <v>209</v>
      </c>
    </row>
    <row r="771" spans="1:7" x14ac:dyDescent="0.3">
      <c r="A771" t="s">
        <v>203</v>
      </c>
      <c r="B771" s="6">
        <v>0.64656000000000002</v>
      </c>
      <c r="D771" t="s">
        <v>113</v>
      </c>
      <c r="E771" t="s">
        <v>114</v>
      </c>
      <c r="F771" t="s">
        <v>36</v>
      </c>
      <c r="G771" t="s">
        <v>209</v>
      </c>
    </row>
    <row r="772" spans="1:7" x14ac:dyDescent="0.3">
      <c r="A772" t="s">
        <v>174</v>
      </c>
      <c r="B772" s="6">
        <v>1.3869999999999999E-5</v>
      </c>
      <c r="D772" t="s">
        <v>8</v>
      </c>
      <c r="E772" t="s">
        <v>179</v>
      </c>
      <c r="F772" t="s">
        <v>36</v>
      </c>
      <c r="G772" t="s">
        <v>209</v>
      </c>
    </row>
    <row r="773" spans="1:7" x14ac:dyDescent="0.3">
      <c r="A773" t="s">
        <v>174</v>
      </c>
      <c r="B773" s="6">
        <v>5.397E-5</v>
      </c>
      <c r="D773" t="s">
        <v>8</v>
      </c>
      <c r="E773" t="s">
        <v>171</v>
      </c>
      <c r="F773" t="s">
        <v>36</v>
      </c>
      <c r="G773" t="s">
        <v>209</v>
      </c>
    </row>
    <row r="774" spans="1:7" x14ac:dyDescent="0.3">
      <c r="A774" t="s">
        <v>173</v>
      </c>
      <c r="B774" s="6">
        <v>1.2741E-5</v>
      </c>
      <c r="D774" t="s">
        <v>8</v>
      </c>
      <c r="E774" t="s">
        <v>171</v>
      </c>
      <c r="F774" t="s">
        <v>36</v>
      </c>
      <c r="G774" t="s">
        <v>209</v>
      </c>
    </row>
    <row r="775" spans="1:7" x14ac:dyDescent="0.3">
      <c r="A775" t="s">
        <v>204</v>
      </c>
      <c r="B775" s="6">
        <v>3.3654000000000003E-2</v>
      </c>
      <c r="D775" t="s">
        <v>115</v>
      </c>
      <c r="E775" t="s">
        <v>114</v>
      </c>
      <c r="F775" t="s">
        <v>36</v>
      </c>
      <c r="G775" t="s">
        <v>209</v>
      </c>
    </row>
    <row r="776" spans="1:7" x14ac:dyDescent="0.3">
      <c r="A776" t="s">
        <v>205</v>
      </c>
      <c r="B776" s="6">
        <v>3.3654000000000003E-2</v>
      </c>
      <c r="D776" t="s">
        <v>115</v>
      </c>
      <c r="E776" t="s">
        <v>114</v>
      </c>
      <c r="F776" t="s">
        <v>36</v>
      </c>
      <c r="G776" t="s">
        <v>209</v>
      </c>
    </row>
    <row r="777" spans="1:7" x14ac:dyDescent="0.3">
      <c r="A777" t="s">
        <v>142</v>
      </c>
      <c r="B777" s="6">
        <v>-3.9254000000000001E-5</v>
      </c>
      <c r="D777" t="s">
        <v>8</v>
      </c>
      <c r="E777" t="s">
        <v>170</v>
      </c>
      <c r="F777" t="s">
        <v>36</v>
      </c>
      <c r="G777" t="s">
        <v>209</v>
      </c>
    </row>
    <row r="778" spans="1:7" x14ac:dyDescent="0.3">
      <c r="A778" t="s">
        <v>206</v>
      </c>
      <c r="B778" s="6">
        <v>7.0345000000000002E-7</v>
      </c>
      <c r="D778" t="s">
        <v>8</v>
      </c>
      <c r="E778" t="s">
        <v>179</v>
      </c>
      <c r="F778" t="s">
        <v>36</v>
      </c>
      <c r="G778" t="s">
        <v>209</v>
      </c>
    </row>
    <row r="779" spans="1:7" x14ac:dyDescent="0.3">
      <c r="A779" t="s">
        <v>206</v>
      </c>
      <c r="B779" s="6">
        <v>2.1932000000000001E-7</v>
      </c>
      <c r="D779" t="s">
        <v>8</v>
      </c>
      <c r="E779" t="s">
        <v>171</v>
      </c>
      <c r="F779" t="s">
        <v>36</v>
      </c>
      <c r="G779" t="s">
        <v>209</v>
      </c>
    </row>
    <row r="781" spans="1:7" ht="15.6" x14ac:dyDescent="0.3">
      <c r="A781" s="1" t="s">
        <v>1</v>
      </c>
      <c r="B781" s="73" t="s">
        <v>403</v>
      </c>
    </row>
    <row r="782" spans="1:7" x14ac:dyDescent="0.3">
      <c r="A782" t="s">
        <v>2</v>
      </c>
      <c r="B782" s="6" t="s">
        <v>1050</v>
      </c>
    </row>
    <row r="783" spans="1:7" x14ac:dyDescent="0.3">
      <c r="A783" t="s">
        <v>3</v>
      </c>
      <c r="B783" s="6">
        <v>1</v>
      </c>
    </row>
    <row r="784" spans="1:7" ht="15.6" x14ac:dyDescent="0.3">
      <c r="A784" t="s">
        <v>4</v>
      </c>
      <c r="B784" s="74" t="s">
        <v>404</v>
      </c>
    </row>
    <row r="785" spans="1:8" x14ac:dyDescent="0.3">
      <c r="A785" t="s">
        <v>5</v>
      </c>
      <c r="B785" s="6" t="s">
        <v>6</v>
      </c>
    </row>
    <row r="786" spans="1:8" x14ac:dyDescent="0.3">
      <c r="A786" t="s">
        <v>7</v>
      </c>
      <c r="B786" s="6" t="s">
        <v>8</v>
      </c>
    </row>
    <row r="787" spans="1:8" x14ac:dyDescent="0.3">
      <c r="A787" t="s">
        <v>9</v>
      </c>
      <c r="B787" s="6" t="s">
        <v>10</v>
      </c>
    </row>
    <row r="788" spans="1:8" x14ac:dyDescent="0.3">
      <c r="A788" t="s">
        <v>11</v>
      </c>
      <c r="B788" s="6" t="s">
        <v>230</v>
      </c>
    </row>
    <row r="789" spans="1:8" x14ac:dyDescent="0.3">
      <c r="A789" t="s">
        <v>497</v>
      </c>
      <c r="B789" s="72">
        <f>Summary!O95</f>
        <v>0.56552845480463398</v>
      </c>
    </row>
    <row r="790" spans="1:8" ht="15.6" x14ac:dyDescent="0.3">
      <c r="A790" s="1" t="s">
        <v>12</v>
      </c>
    </row>
    <row r="791" spans="1:8" x14ac:dyDescent="0.3">
      <c r="A791" t="s">
        <v>13</v>
      </c>
      <c r="B791" s="6" t="s">
        <v>14</v>
      </c>
      <c r="C791" t="s">
        <v>2</v>
      </c>
      <c r="D791" t="s">
        <v>7</v>
      </c>
      <c r="E791" t="s">
        <v>15</v>
      </c>
      <c r="F791" t="s">
        <v>5</v>
      </c>
      <c r="G791" t="s">
        <v>11</v>
      </c>
      <c r="H791" t="s">
        <v>4</v>
      </c>
    </row>
    <row r="792" spans="1:8" ht="15.6" x14ac:dyDescent="0.3">
      <c r="A792" s="2" t="s">
        <v>403</v>
      </c>
      <c r="B792" s="6">
        <v>1</v>
      </c>
      <c r="C792" t="s">
        <v>1050</v>
      </c>
      <c r="D792" t="s">
        <v>8</v>
      </c>
      <c r="F792" t="s">
        <v>17</v>
      </c>
      <c r="G792" t="s">
        <v>18</v>
      </c>
      <c r="H792" s="2" t="s">
        <v>404</v>
      </c>
    </row>
    <row r="793" spans="1:8" ht="15.6" x14ac:dyDescent="0.3">
      <c r="A793" s="2" t="s">
        <v>66</v>
      </c>
      <c r="B793" s="6">
        <f>(1/((Parameters!$C$20*Parameters!$B$4*Parameters!$B$10)/1000))*Parameters!F32</f>
        <v>3.2444757981354098</v>
      </c>
      <c r="C793" t="s">
        <v>1050</v>
      </c>
      <c r="D793" t="s">
        <v>8</v>
      </c>
      <c r="F793" t="s">
        <v>20</v>
      </c>
      <c r="G793" t="s">
        <v>18</v>
      </c>
      <c r="H793" s="2" t="s">
        <v>405</v>
      </c>
    </row>
    <row r="794" spans="1:8" ht="15.6" x14ac:dyDescent="0.3">
      <c r="A794" s="2" t="s">
        <v>221</v>
      </c>
      <c r="B794" s="6">
        <f>(180*Parameters!$B$3)/(Parameters!$B$4*Parameters!$B$10)*Parameters!F32</f>
        <v>5.2373480998418598E-2</v>
      </c>
      <c r="C794" t="s">
        <v>26</v>
      </c>
      <c r="D794" t="s">
        <v>19</v>
      </c>
      <c r="F794" t="s">
        <v>20</v>
      </c>
      <c r="H794" s="2" t="s">
        <v>222</v>
      </c>
    </row>
    <row r="795" spans="1:8" ht="15.6" x14ac:dyDescent="0.3">
      <c r="A795" s="2" t="s">
        <v>252</v>
      </c>
      <c r="B795" s="6">
        <f>((346.23/1000)/(Parameters!$B$4*Parameters!$B$10))*Parameters!$F$32</f>
        <v>9.5483462725015969E-2</v>
      </c>
      <c r="C795" t="s">
        <v>31</v>
      </c>
      <c r="D795" t="s">
        <v>8</v>
      </c>
      <c r="F795" t="s">
        <v>20</v>
      </c>
      <c r="H795" s="2" t="s">
        <v>253</v>
      </c>
    </row>
    <row r="796" spans="1:8" ht="15.6" x14ac:dyDescent="0.3">
      <c r="A796" s="2" t="s">
        <v>254</v>
      </c>
      <c r="B796" s="6">
        <f>((41.55/1000)/(Parameters!$B$4*Parameters!$B$10))*Parameters!$F$32</f>
        <v>1.1458677400064735E-2</v>
      </c>
      <c r="C796" t="s">
        <v>255</v>
      </c>
      <c r="D796" t="s">
        <v>8</v>
      </c>
      <c r="F796" t="s">
        <v>20</v>
      </c>
      <c r="H796" s="2" t="s">
        <v>256</v>
      </c>
    </row>
    <row r="797" spans="1:8" ht="15.6" x14ac:dyDescent="0.3">
      <c r="A797" s="2" t="s">
        <v>257</v>
      </c>
      <c r="B797" s="6">
        <f>((20.77/1000)/(Parameters!$B$4*Parameters!$B$10))*Parameters!$F$32</f>
        <v>5.7279597978181608E-3</v>
      </c>
      <c r="C797" t="s">
        <v>31</v>
      </c>
      <c r="D797" t="s">
        <v>8</v>
      </c>
      <c r="F797" t="s">
        <v>20</v>
      </c>
      <c r="H797" s="2" t="s">
        <v>414</v>
      </c>
    </row>
    <row r="798" spans="1:8" ht="15.6" x14ac:dyDescent="0.3">
      <c r="A798" s="2" t="s">
        <v>370</v>
      </c>
      <c r="B798" s="6">
        <f>((76.17/1000)/(Parameters!$B$4*Parameters!$B$10))*Parameters!$F$32</f>
        <v>2.1006196331237806E-2</v>
      </c>
      <c r="C798" t="s">
        <v>31</v>
      </c>
      <c r="D798" t="s">
        <v>8</v>
      </c>
      <c r="F798" t="s">
        <v>20</v>
      </c>
      <c r="G798" t="s">
        <v>387</v>
      </c>
      <c r="H798" s="2" t="s">
        <v>371</v>
      </c>
    </row>
    <row r="799" spans="1:8" ht="15.6" x14ac:dyDescent="0.3">
      <c r="A799" s="2" t="s">
        <v>315</v>
      </c>
      <c r="B799" s="6">
        <f>((106.73/1000)/(Parameters!$B$4*Parameters!$B$10))*Parameters!$F$32</f>
        <v>2.9434046664474352E-2</v>
      </c>
      <c r="C799" t="s">
        <v>31</v>
      </c>
      <c r="D799" t="s">
        <v>8</v>
      </c>
      <c r="F799" t="s">
        <v>20</v>
      </c>
      <c r="G799" t="s">
        <v>314</v>
      </c>
      <c r="H799" s="2" t="s">
        <v>316</v>
      </c>
    </row>
    <row r="800" spans="1:8" ht="15.6" x14ac:dyDescent="0.3">
      <c r="A800" s="2" t="s">
        <v>384</v>
      </c>
      <c r="B800" s="6">
        <f>((26.58/1000)/(Parameters!$B$4*Parameters!$B$10))*Parameters!$F$32</f>
        <v>7.3302441707273321E-3</v>
      </c>
      <c r="C800" t="s">
        <v>26</v>
      </c>
      <c r="D800" t="s">
        <v>8</v>
      </c>
      <c r="F800" t="s">
        <v>20</v>
      </c>
      <c r="G800" t="s">
        <v>386</v>
      </c>
      <c r="H800" s="2" t="s">
        <v>385</v>
      </c>
    </row>
    <row r="801" spans="1:8" ht="15.6" x14ac:dyDescent="0.3">
      <c r="A801" s="2" t="s">
        <v>388</v>
      </c>
      <c r="B801" s="6">
        <f>((117.72/1000)/(Parameters!$B$4*Parameters!$B$10))*Parameters!$F$32</f>
        <v>3.2464873731302545E-2</v>
      </c>
      <c r="C801" t="s">
        <v>26</v>
      </c>
      <c r="D801" t="s">
        <v>8</v>
      </c>
      <c r="F801" t="s">
        <v>20</v>
      </c>
      <c r="G801" t="s">
        <v>390</v>
      </c>
      <c r="H801" s="2" t="s">
        <v>389</v>
      </c>
    </row>
    <row r="802" spans="1:8" x14ac:dyDescent="0.3">
      <c r="A802" t="s">
        <v>265</v>
      </c>
      <c r="B802" s="6">
        <f>(B752*B793)-Parameters!$B$13</f>
        <v>3.7930729515232109</v>
      </c>
      <c r="D802" t="s">
        <v>8</v>
      </c>
      <c r="E802" t="s">
        <v>37</v>
      </c>
      <c r="F802" t="s">
        <v>36</v>
      </c>
      <c r="G802" t="s">
        <v>428</v>
      </c>
    </row>
    <row r="803" spans="1:8" x14ac:dyDescent="0.3">
      <c r="A803" t="s">
        <v>306</v>
      </c>
      <c r="B803" s="6">
        <f>1/(90000000*20)</f>
        <v>5.5555555555555553E-10</v>
      </c>
      <c r="C803" t="s">
        <v>26</v>
      </c>
      <c r="D803" t="s">
        <v>7</v>
      </c>
      <c r="F803" t="s">
        <v>20</v>
      </c>
      <c r="G803" t="s">
        <v>308</v>
      </c>
      <c r="H803" t="s">
        <v>307</v>
      </c>
    </row>
    <row r="804" spans="1:8" ht="15.6" x14ac:dyDescent="0.3">
      <c r="A804" s="2"/>
      <c r="H804" s="2"/>
    </row>
    <row r="805" spans="1:8" ht="15.6" x14ac:dyDescent="0.3">
      <c r="A805" s="1" t="s">
        <v>1</v>
      </c>
      <c r="B805" s="73" t="s">
        <v>406</v>
      </c>
    </row>
    <row r="806" spans="1:8" x14ac:dyDescent="0.3">
      <c r="A806" t="s">
        <v>2</v>
      </c>
      <c r="B806" s="6" t="s">
        <v>1050</v>
      </c>
    </row>
    <row r="807" spans="1:8" x14ac:dyDescent="0.3">
      <c r="A807" t="s">
        <v>3</v>
      </c>
      <c r="B807" s="6">
        <v>1</v>
      </c>
    </row>
    <row r="808" spans="1:8" ht="15.6" x14ac:dyDescent="0.3">
      <c r="A808" t="s">
        <v>4</v>
      </c>
      <c r="B808" s="74" t="s">
        <v>404</v>
      </c>
    </row>
    <row r="809" spans="1:8" x14ac:dyDescent="0.3">
      <c r="A809" t="s">
        <v>5</v>
      </c>
      <c r="B809" s="6" t="s">
        <v>6</v>
      </c>
    </row>
    <row r="810" spans="1:8" x14ac:dyDescent="0.3">
      <c r="A810" t="s">
        <v>7</v>
      </c>
      <c r="B810" s="6" t="s">
        <v>8</v>
      </c>
    </row>
    <row r="811" spans="1:8" x14ac:dyDescent="0.3">
      <c r="A811" t="s">
        <v>9</v>
      </c>
      <c r="B811" s="6" t="s">
        <v>10</v>
      </c>
    </row>
    <row r="812" spans="1:8" x14ac:dyDescent="0.3">
      <c r="A812" t="s">
        <v>11</v>
      </c>
      <c r="B812" s="6" t="s">
        <v>373</v>
      </c>
    </row>
    <row r="813" spans="1:8" x14ac:dyDescent="0.3">
      <c r="A813" t="s">
        <v>497</v>
      </c>
      <c r="B813" s="72">
        <f>Summary!O38</f>
        <v>0.5113516035504394</v>
      </c>
    </row>
    <row r="814" spans="1:8" ht="15.6" x14ac:dyDescent="0.3">
      <c r="A814" s="1" t="s">
        <v>12</v>
      </c>
    </row>
    <row r="815" spans="1:8" x14ac:dyDescent="0.3">
      <c r="A815" t="s">
        <v>13</v>
      </c>
      <c r="B815" s="6" t="s">
        <v>14</v>
      </c>
      <c r="C815" t="s">
        <v>2</v>
      </c>
      <c r="D815" t="s">
        <v>7</v>
      </c>
      <c r="E815" t="s">
        <v>15</v>
      </c>
      <c r="F815" t="s">
        <v>5</v>
      </c>
      <c r="G815" t="s">
        <v>11</v>
      </c>
      <c r="H815" t="s">
        <v>4</v>
      </c>
    </row>
    <row r="816" spans="1:8" ht="15.6" x14ac:dyDescent="0.3">
      <c r="A816" s="2" t="s">
        <v>406</v>
      </c>
      <c r="B816" s="6">
        <v>1</v>
      </c>
      <c r="C816" t="s">
        <v>1050</v>
      </c>
      <c r="D816" t="s">
        <v>8</v>
      </c>
      <c r="F816" t="s">
        <v>17</v>
      </c>
      <c r="G816" t="s">
        <v>18</v>
      </c>
      <c r="H816" s="2" t="s">
        <v>404</v>
      </c>
    </row>
    <row r="817" spans="1:8" ht="15.6" x14ac:dyDescent="0.3">
      <c r="A817" s="2" t="s">
        <v>66</v>
      </c>
      <c r="B817" s="6">
        <f>(1/((Parameters!C20*Parameters!B4*Parameters!B10)/1000))*Parameters!G32</f>
        <v>3.5882226085354634</v>
      </c>
      <c r="C817" t="s">
        <v>1050</v>
      </c>
      <c r="D817" t="s">
        <v>8</v>
      </c>
      <c r="F817" t="s">
        <v>20</v>
      </c>
      <c r="G817" t="s">
        <v>18</v>
      </c>
      <c r="H817" s="2" t="s">
        <v>405</v>
      </c>
    </row>
    <row r="818" spans="1:8" ht="15.6" x14ac:dyDescent="0.3">
      <c r="A818" s="2" t="s">
        <v>221</v>
      </c>
      <c r="B818" s="6">
        <f>(180*Parameters!$B$3)/(Parameters!$B$4*Parameters!$B$10)*Parameters!G32</f>
        <v>5.7922364134825585E-2</v>
      </c>
      <c r="C818" t="s">
        <v>26</v>
      </c>
      <c r="D818" t="s">
        <v>19</v>
      </c>
      <c r="F818" t="s">
        <v>20</v>
      </c>
      <c r="H818" s="2" t="s">
        <v>222</v>
      </c>
    </row>
    <row r="819" spans="1:8" ht="15.6" x14ac:dyDescent="0.3">
      <c r="A819" s="2" t="s">
        <v>252</v>
      </c>
      <c r="B819" s="6">
        <f>((346.23/1000)/(Parameters!$B$4*Parameters!$B$10))*Parameters!$G$32</f>
        <v>0.10559977666902486</v>
      </c>
      <c r="C819" t="s">
        <v>31</v>
      </c>
      <c r="D819" t="s">
        <v>8</v>
      </c>
      <c r="F819" t="s">
        <v>20</v>
      </c>
      <c r="H819" s="2" t="s">
        <v>253</v>
      </c>
    </row>
    <row r="820" spans="1:8" ht="15.6" x14ac:dyDescent="0.3">
      <c r="A820" s="2" t="s">
        <v>254</v>
      </c>
      <c r="B820" s="6">
        <f>((41.55/1000)/(Parameters!$B$4*Parameters!$B$10))*Parameters!$G$32</f>
        <v>1.2672705197695122E-2</v>
      </c>
      <c r="C820" t="s">
        <v>255</v>
      </c>
      <c r="D820" t="s">
        <v>8</v>
      </c>
      <c r="F820" t="s">
        <v>20</v>
      </c>
      <c r="H820" s="2" t="s">
        <v>256</v>
      </c>
    </row>
    <row r="821" spans="1:8" ht="15.6" x14ac:dyDescent="0.3">
      <c r="A821" s="2" t="s">
        <v>257</v>
      </c>
      <c r="B821" s="6">
        <f>((20.77/1000)/(Parameters!$B$4*Parameters!$B$10))*Parameters!$G$32</f>
        <v>6.3348276042389344E-3</v>
      </c>
      <c r="C821" t="s">
        <v>31</v>
      </c>
      <c r="D821" t="s">
        <v>8</v>
      </c>
      <c r="F821" t="s">
        <v>20</v>
      </c>
      <c r="H821" s="2" t="s">
        <v>414</v>
      </c>
    </row>
    <row r="822" spans="1:8" ht="15.6" x14ac:dyDescent="0.3">
      <c r="A822" s="2" t="s">
        <v>370</v>
      </c>
      <c r="B822" s="6">
        <f>((76.17/1000)/(Parameters!$B$4*Parameters!$B$10))*Parameters!$G$32</f>
        <v>2.3231767867832431E-2</v>
      </c>
      <c r="C822" t="s">
        <v>31</v>
      </c>
      <c r="D822" t="s">
        <v>8</v>
      </c>
      <c r="F822" t="s">
        <v>20</v>
      </c>
      <c r="H822" s="2" t="s">
        <v>371</v>
      </c>
    </row>
    <row r="823" spans="1:8" ht="15.6" x14ac:dyDescent="0.3">
      <c r="A823" s="2" t="s">
        <v>315</v>
      </c>
      <c r="B823" s="6">
        <f>((106.73/1000)/(Parameters!$B$4*Parameters!$B$10))*Parameters!$G$32</f>
        <v>3.2552534915764153E-2</v>
      </c>
      <c r="C823" t="s">
        <v>31</v>
      </c>
      <c r="D823" t="s">
        <v>8</v>
      </c>
      <c r="F823" t="s">
        <v>20</v>
      </c>
      <c r="G823" t="s">
        <v>314</v>
      </c>
      <c r="H823" s="2" t="s">
        <v>316</v>
      </c>
    </row>
    <row r="824" spans="1:8" ht="15.6" x14ac:dyDescent="0.3">
      <c r="A824" s="2" t="s">
        <v>384</v>
      </c>
      <c r="B824" s="6">
        <f>((26.58/1000)/(Parameters!$B$4*Parameters!$B$10))*Parameters!$G$32</f>
        <v>8.1068713394641719E-3</v>
      </c>
      <c r="C824" t="s">
        <v>26</v>
      </c>
      <c r="D824" t="s">
        <v>8</v>
      </c>
      <c r="F824" t="s">
        <v>20</v>
      </c>
      <c r="G824" t="s">
        <v>386</v>
      </c>
      <c r="H824" s="2" t="s">
        <v>385</v>
      </c>
    </row>
    <row r="825" spans="1:8" ht="15.6" x14ac:dyDescent="0.3">
      <c r="A825" s="2" t="s">
        <v>388</v>
      </c>
      <c r="B825" s="6">
        <f>((117.72/1000)/(Parameters!$B$4*Parameters!$B$10))*Parameters!G$32</f>
        <v>3.5904473065527555E-2</v>
      </c>
      <c r="C825" t="s">
        <v>26</v>
      </c>
      <c r="D825" t="s">
        <v>8</v>
      </c>
      <c r="F825" t="s">
        <v>20</v>
      </c>
      <c r="G825" t="s">
        <v>390</v>
      </c>
      <c r="H825" s="2" t="s">
        <v>389</v>
      </c>
    </row>
    <row r="826" spans="1:8" x14ac:dyDescent="0.3">
      <c r="A826" t="s">
        <v>265</v>
      </c>
      <c r="B826" s="6">
        <f>(B752*B817)-Parameters!$B$13</f>
        <v>4.3977278313450778</v>
      </c>
      <c r="D826" t="s">
        <v>8</v>
      </c>
      <c r="E826" t="s">
        <v>37</v>
      </c>
      <c r="F826" t="s">
        <v>36</v>
      </c>
      <c r="G826" t="s">
        <v>428</v>
      </c>
    </row>
    <row r="827" spans="1:8" x14ac:dyDescent="0.3">
      <c r="A827" t="s">
        <v>306</v>
      </c>
      <c r="B827" s="6">
        <f>1/(90000000*20)</f>
        <v>5.5555555555555553E-10</v>
      </c>
      <c r="C827" t="s">
        <v>26</v>
      </c>
      <c r="D827" t="s">
        <v>7</v>
      </c>
      <c r="F827" t="s">
        <v>20</v>
      </c>
      <c r="G827" t="s">
        <v>308</v>
      </c>
      <c r="H827" t="s">
        <v>307</v>
      </c>
    </row>
    <row r="828" spans="1:8" ht="15.6" x14ac:dyDescent="0.3">
      <c r="A828" s="2"/>
      <c r="H828" s="2"/>
    </row>
    <row r="829" spans="1:8" ht="15.6" x14ac:dyDescent="0.3">
      <c r="A829" s="1" t="s">
        <v>1</v>
      </c>
      <c r="B829" s="73" t="s">
        <v>514</v>
      </c>
    </row>
    <row r="830" spans="1:8" x14ac:dyDescent="0.3">
      <c r="A830" t="s">
        <v>2</v>
      </c>
      <c r="B830" s="6" t="s">
        <v>1050</v>
      </c>
    </row>
    <row r="831" spans="1:8" x14ac:dyDescent="0.3">
      <c r="A831" t="s">
        <v>3</v>
      </c>
      <c r="B831" s="6">
        <v>1</v>
      </c>
    </row>
    <row r="832" spans="1:8" ht="15.6" x14ac:dyDescent="0.3">
      <c r="A832" t="s">
        <v>4</v>
      </c>
      <c r="B832" s="74" t="s">
        <v>404</v>
      </c>
    </row>
    <row r="833" spans="1:8" x14ac:dyDescent="0.3">
      <c r="A833" t="s">
        <v>5</v>
      </c>
      <c r="B833" s="6" t="s">
        <v>6</v>
      </c>
    </row>
    <row r="834" spans="1:8" x14ac:dyDescent="0.3">
      <c r="A834" t="s">
        <v>7</v>
      </c>
      <c r="B834" s="6" t="s">
        <v>8</v>
      </c>
    </row>
    <row r="835" spans="1:8" x14ac:dyDescent="0.3">
      <c r="A835" t="s">
        <v>9</v>
      </c>
      <c r="B835" s="6" t="s">
        <v>10</v>
      </c>
    </row>
    <row r="836" spans="1:8" x14ac:dyDescent="0.3">
      <c r="A836" t="s">
        <v>11</v>
      </c>
      <c r="B836" s="6" t="s">
        <v>504</v>
      </c>
    </row>
    <row r="837" spans="1:8" x14ac:dyDescent="0.3">
      <c r="A837" t="s">
        <v>497</v>
      </c>
      <c r="B837" s="72">
        <f>Summary!O133</f>
        <v>0.46575852550462588</v>
      </c>
    </row>
    <row r="838" spans="1:8" ht="15.6" x14ac:dyDescent="0.3">
      <c r="A838" s="1" t="s">
        <v>12</v>
      </c>
    </row>
    <row r="839" spans="1:8" x14ac:dyDescent="0.3">
      <c r="A839" t="s">
        <v>13</v>
      </c>
      <c r="B839" s="6" t="s">
        <v>14</v>
      </c>
      <c r="C839" t="s">
        <v>2</v>
      </c>
      <c r="D839" t="s">
        <v>7</v>
      </c>
      <c r="E839" t="s">
        <v>15</v>
      </c>
      <c r="F839" t="s">
        <v>5</v>
      </c>
      <c r="G839" t="s">
        <v>11</v>
      </c>
      <c r="H839" t="s">
        <v>4</v>
      </c>
    </row>
    <row r="840" spans="1:8" ht="15.6" x14ac:dyDescent="0.3">
      <c r="A840" s="2" t="s">
        <v>514</v>
      </c>
      <c r="B840" s="6">
        <v>1</v>
      </c>
      <c r="C840" t="s">
        <v>1050</v>
      </c>
      <c r="D840" t="s">
        <v>8</v>
      </c>
      <c r="F840" t="s">
        <v>17</v>
      </c>
      <c r="G840" t="s">
        <v>18</v>
      </c>
      <c r="H840" s="2" t="s">
        <v>404</v>
      </c>
    </row>
    <row r="841" spans="1:8" ht="15.6" x14ac:dyDescent="0.3">
      <c r="A841" s="2" t="s">
        <v>66</v>
      </c>
      <c r="B841" s="6">
        <f>(1/((Parameters!C20*Parameters!B4*Parameters!B10)/1000))</f>
        <v>3.9394735346660368</v>
      </c>
      <c r="C841" t="s">
        <v>1050</v>
      </c>
      <c r="D841" t="s">
        <v>8</v>
      </c>
      <c r="F841" t="s">
        <v>20</v>
      </c>
      <c r="G841" t="s">
        <v>18</v>
      </c>
      <c r="H841" s="2" t="s">
        <v>405</v>
      </c>
    </row>
    <row r="842" spans="1:8" ht="15.6" x14ac:dyDescent="0.3">
      <c r="A842" s="2" t="s">
        <v>221</v>
      </c>
      <c r="B842" s="6">
        <f>(180*Parameters!$B$3)/(Parameters!$B$4*Parameters!$B$10)</f>
        <v>6.3592381373341833E-2</v>
      </c>
      <c r="C842" t="s">
        <v>26</v>
      </c>
      <c r="D842" t="s">
        <v>19</v>
      </c>
      <c r="F842" t="s">
        <v>20</v>
      </c>
      <c r="H842" s="2" t="s">
        <v>222</v>
      </c>
    </row>
    <row r="843" spans="1:8" ht="15.6" x14ac:dyDescent="0.3">
      <c r="A843" s="2" t="s">
        <v>252</v>
      </c>
      <c r="B843" s="6">
        <f>((346.23/1000)/(Parameters!$B$4*Parameters!$B$10))</f>
        <v>0.11593693336213089</v>
      </c>
      <c r="C843" t="s">
        <v>31</v>
      </c>
      <c r="D843" t="s">
        <v>8</v>
      </c>
      <c r="F843" t="s">
        <v>20</v>
      </c>
      <c r="H843" s="2" t="s">
        <v>253</v>
      </c>
    </row>
    <row r="844" spans="1:8" ht="15.6" x14ac:dyDescent="0.3">
      <c r="A844" s="2" t="s">
        <v>254</v>
      </c>
      <c r="B844" s="6">
        <f>((41.55/1000)/(Parameters!$B$4*Parameters!$B$10))</f>
        <v>1.3913235656056776E-2</v>
      </c>
      <c r="C844" t="s">
        <v>255</v>
      </c>
      <c r="D844" t="s">
        <v>8</v>
      </c>
      <c r="F844" t="s">
        <v>20</v>
      </c>
      <c r="H844" s="2" t="s">
        <v>256</v>
      </c>
    </row>
    <row r="845" spans="1:8" ht="15.6" x14ac:dyDescent="0.3">
      <c r="A845" s="2" t="s">
        <v>257</v>
      </c>
      <c r="B845" s="6">
        <f>((20.77/1000)/(Parameters!$B$4*Parameters!$B$10))</f>
        <v>6.9549435517761559E-3</v>
      </c>
      <c r="C845" t="s">
        <v>31</v>
      </c>
      <c r="D845" t="s">
        <v>8</v>
      </c>
      <c r="F845" t="s">
        <v>20</v>
      </c>
      <c r="H845" s="2" t="s">
        <v>414</v>
      </c>
    </row>
    <row r="846" spans="1:8" ht="15.6" x14ac:dyDescent="0.3">
      <c r="A846" s="2" t="s">
        <v>370</v>
      </c>
      <c r="B846" s="6">
        <f>((76.17/1000)/(Parameters!$B$4*Parameters!$B$10))</f>
        <v>2.5505924426518525E-2</v>
      </c>
      <c r="C846" t="s">
        <v>31</v>
      </c>
      <c r="D846" t="s">
        <v>8</v>
      </c>
      <c r="F846" t="s">
        <v>20</v>
      </c>
      <c r="H846" s="2" t="s">
        <v>371</v>
      </c>
    </row>
    <row r="847" spans="1:8" ht="15.6" x14ac:dyDescent="0.3">
      <c r="A847" s="2" t="s">
        <v>315</v>
      </c>
      <c r="B847" s="6">
        <f>((106.73/1000)/(Parameters!$B$4*Parameters!$B$10))</f>
        <v>3.5739100880167025E-2</v>
      </c>
      <c r="C847" t="s">
        <v>31</v>
      </c>
      <c r="D847" t="s">
        <v>8</v>
      </c>
      <c r="F847" t="s">
        <v>20</v>
      </c>
      <c r="G847" t="s">
        <v>314</v>
      </c>
      <c r="H847" s="2" t="s">
        <v>316</v>
      </c>
    </row>
    <row r="848" spans="1:8" ht="15.6" x14ac:dyDescent="0.3">
      <c r="A848" s="2" t="s">
        <v>384</v>
      </c>
      <c r="B848" s="6">
        <f>((26.58/1000)/(Parameters!$B$4*Parameters!$B$10))</f>
        <v>8.9004525568709778E-3</v>
      </c>
      <c r="C848" t="s">
        <v>26</v>
      </c>
      <c r="D848" t="s">
        <v>8</v>
      </c>
      <c r="F848" t="s">
        <v>20</v>
      </c>
      <c r="G848" t="s">
        <v>386</v>
      </c>
      <c r="H848" s="2" t="s">
        <v>385</v>
      </c>
    </row>
    <row r="849" spans="1:10" ht="15.6" x14ac:dyDescent="0.3">
      <c r="A849" s="2" t="s">
        <v>388</v>
      </c>
      <c r="B849" s="6">
        <f>((117.72/1000)/(Parameters!$B$4*Parameters!$B$10))</f>
        <v>3.9419160082575302E-2</v>
      </c>
      <c r="C849" t="s">
        <v>26</v>
      </c>
      <c r="D849" t="s">
        <v>8</v>
      </c>
      <c r="F849" t="s">
        <v>20</v>
      </c>
      <c r="G849" t="s">
        <v>390</v>
      </c>
      <c r="H849" s="2" t="s">
        <v>389</v>
      </c>
    </row>
    <row r="850" spans="1:10" x14ac:dyDescent="0.3">
      <c r="A850" t="s">
        <v>265</v>
      </c>
      <c r="B850" s="6">
        <f>(B752*B841)-Parameters!$B$13</f>
        <v>5.0155825433048093</v>
      </c>
      <c r="D850" t="s">
        <v>8</v>
      </c>
      <c r="E850" t="s">
        <v>37</v>
      </c>
      <c r="F850" t="s">
        <v>36</v>
      </c>
      <c r="G850" t="s">
        <v>428</v>
      </c>
    </row>
    <row r="851" spans="1:10" x14ac:dyDescent="0.3">
      <c r="A851" t="s">
        <v>306</v>
      </c>
      <c r="B851" s="6">
        <f>1/(90000000*20)</f>
        <v>5.5555555555555553E-10</v>
      </c>
      <c r="C851" t="s">
        <v>26</v>
      </c>
      <c r="D851" t="s">
        <v>7</v>
      </c>
      <c r="F851" t="s">
        <v>20</v>
      </c>
      <c r="G851" t="s">
        <v>308</v>
      </c>
      <c r="H851" t="s">
        <v>307</v>
      </c>
    </row>
    <row r="852" spans="1:10" x14ac:dyDescent="0.3">
      <c r="A852" s="36" t="s">
        <v>28</v>
      </c>
      <c r="B852" s="37">
        <f>Parameters!H19/Parameters!B4*Parameters!B10*-1</f>
        <v>-0.50274302587613584</v>
      </c>
      <c r="C852" t="s">
        <v>1051</v>
      </c>
      <c r="D852" s="36" t="s">
        <v>29</v>
      </c>
      <c r="E852" s="36"/>
      <c r="F852" s="36" t="s">
        <v>20</v>
      </c>
      <c r="G852" s="36" t="s">
        <v>505</v>
      </c>
      <c r="H852" s="36" t="s">
        <v>30</v>
      </c>
      <c r="I852" s="36"/>
    </row>
    <row r="853" spans="1:10" ht="15.6" x14ac:dyDescent="0.3">
      <c r="A853" s="2"/>
      <c r="H853" s="2"/>
    </row>
    <row r="854" spans="1:10" ht="15.6" x14ac:dyDescent="0.3">
      <c r="A854" s="1" t="s">
        <v>1</v>
      </c>
      <c r="B854" s="73" t="s">
        <v>407</v>
      </c>
    </row>
    <row r="855" spans="1:10" x14ac:dyDescent="0.3">
      <c r="A855" t="s">
        <v>2</v>
      </c>
      <c r="B855" s="6" t="s">
        <v>1050</v>
      </c>
    </row>
    <row r="856" spans="1:10" x14ac:dyDescent="0.3">
      <c r="A856" t="s">
        <v>3</v>
      </c>
      <c r="B856" s="6">
        <v>1</v>
      </c>
    </row>
    <row r="857" spans="1:10" ht="15.6" x14ac:dyDescent="0.3">
      <c r="A857" t="s">
        <v>4</v>
      </c>
      <c r="B857" s="74" t="s">
        <v>337</v>
      </c>
    </row>
    <row r="858" spans="1:10" x14ac:dyDescent="0.3">
      <c r="A858" t="s">
        <v>5</v>
      </c>
      <c r="B858" s="6" t="s">
        <v>6</v>
      </c>
    </row>
    <row r="859" spans="1:10" x14ac:dyDescent="0.3">
      <c r="A859" t="s">
        <v>7</v>
      </c>
      <c r="B859" s="6" t="s">
        <v>8</v>
      </c>
    </row>
    <row r="860" spans="1:10" x14ac:dyDescent="0.3">
      <c r="A860" t="s">
        <v>9</v>
      </c>
      <c r="B860" s="6" t="s">
        <v>393</v>
      </c>
    </row>
    <row r="861" spans="1:10" x14ac:dyDescent="0.3">
      <c r="A861" t="s">
        <v>11</v>
      </c>
      <c r="B861" s="6" t="s">
        <v>362</v>
      </c>
    </row>
    <row r="862" spans="1:10" ht="15.6" x14ac:dyDescent="0.3">
      <c r="A862" s="1" t="s">
        <v>12</v>
      </c>
    </row>
    <row r="863" spans="1:10" x14ac:dyDescent="0.3">
      <c r="A863" t="s">
        <v>13</v>
      </c>
      <c r="B863" s="6" t="s">
        <v>14</v>
      </c>
      <c r="C863" t="s">
        <v>2</v>
      </c>
      <c r="D863" t="s">
        <v>7</v>
      </c>
      <c r="E863" t="s">
        <v>15</v>
      </c>
      <c r="F863" t="s">
        <v>5</v>
      </c>
      <c r="G863" t="s">
        <v>338</v>
      </c>
      <c r="H863" t="s">
        <v>339</v>
      </c>
      <c r="I863" t="s">
        <v>11</v>
      </c>
      <c r="J863" t="s">
        <v>4</v>
      </c>
    </row>
    <row r="864" spans="1:10" x14ac:dyDescent="0.3">
      <c r="A864" s="36" t="s">
        <v>407</v>
      </c>
      <c r="B864" s="37">
        <v>1</v>
      </c>
      <c r="C864" t="s">
        <v>1050</v>
      </c>
      <c r="D864" s="36" t="s">
        <v>8</v>
      </c>
      <c r="E864" s="36"/>
      <c r="F864" s="36" t="s">
        <v>17</v>
      </c>
      <c r="G864" s="36"/>
      <c r="H864" s="36"/>
      <c r="I864" s="36" t="s">
        <v>18</v>
      </c>
      <c r="J864" s="36" t="s">
        <v>337</v>
      </c>
    </row>
    <row r="865" spans="1:10" ht="15.6" x14ac:dyDescent="0.3">
      <c r="A865" s="2" t="s">
        <v>403</v>
      </c>
      <c r="B865" s="6">
        <v>1.00057</v>
      </c>
      <c r="C865" t="s">
        <v>1050</v>
      </c>
      <c r="D865" t="s">
        <v>8</v>
      </c>
      <c r="F865" s="36" t="s">
        <v>20</v>
      </c>
      <c r="G865" t="s">
        <v>18</v>
      </c>
      <c r="I865" s="36"/>
      <c r="J865" s="2" t="s">
        <v>404</v>
      </c>
    </row>
    <row r="866" spans="1:10" x14ac:dyDescent="0.3">
      <c r="A866" s="36" t="s">
        <v>28</v>
      </c>
      <c r="B866" s="37">
        <v>6.7000000000000002E-3</v>
      </c>
      <c r="C866" t="s">
        <v>1051</v>
      </c>
      <c r="D866" s="36" t="s">
        <v>29</v>
      </c>
      <c r="E866" s="36"/>
      <c r="F866" s="36" t="s">
        <v>20</v>
      </c>
      <c r="G866" s="36"/>
      <c r="H866" s="36"/>
      <c r="I866" s="36"/>
      <c r="J866" s="36" t="s">
        <v>30</v>
      </c>
    </row>
    <row r="867" spans="1:10" x14ac:dyDescent="0.3">
      <c r="A867" s="36" t="s">
        <v>340</v>
      </c>
      <c r="B867" s="37">
        <v>-1.6799999999999999E-4</v>
      </c>
      <c r="C867" s="36" t="s">
        <v>31</v>
      </c>
      <c r="D867" s="36" t="s">
        <v>8</v>
      </c>
      <c r="E867" s="36"/>
      <c r="F867" s="36" t="s">
        <v>20</v>
      </c>
      <c r="G867" s="36"/>
      <c r="H867" s="36"/>
      <c r="I867" s="36"/>
      <c r="J867" s="36" t="s">
        <v>341</v>
      </c>
    </row>
    <row r="868" spans="1:10" x14ac:dyDescent="0.3">
      <c r="A868" s="36" t="s">
        <v>342</v>
      </c>
      <c r="B868" s="37">
        <v>5.8399999999999999E-4</v>
      </c>
      <c r="C868" s="36" t="s">
        <v>31</v>
      </c>
      <c r="D868" s="36" t="s">
        <v>19</v>
      </c>
      <c r="E868" s="36"/>
      <c r="F868" s="36" t="s">
        <v>20</v>
      </c>
      <c r="G868" s="36"/>
      <c r="H868" s="36"/>
      <c r="I868" s="36"/>
      <c r="J868" s="36" t="s">
        <v>343</v>
      </c>
    </row>
    <row r="869" spans="1:10" x14ac:dyDescent="0.3">
      <c r="A869" s="36" t="s">
        <v>344</v>
      </c>
      <c r="B869" s="37">
        <v>2.5999999999999998E-10</v>
      </c>
      <c r="C869" s="36" t="s">
        <v>31</v>
      </c>
      <c r="D869" s="36" t="s">
        <v>7</v>
      </c>
      <c r="E869" s="36"/>
      <c r="F869" s="36" t="s">
        <v>20</v>
      </c>
      <c r="G869" s="36"/>
      <c r="H869" s="36"/>
      <c r="I869" s="36"/>
      <c r="J869" s="36" t="s">
        <v>345</v>
      </c>
    </row>
    <row r="870" spans="1:10" x14ac:dyDescent="0.3">
      <c r="A870" s="36" t="s">
        <v>346</v>
      </c>
      <c r="B870" s="37">
        <v>-6.2700000000000001E-6</v>
      </c>
      <c r="C870" s="36" t="s">
        <v>31</v>
      </c>
      <c r="D870" s="36" t="s">
        <v>8</v>
      </c>
      <c r="E870" s="36"/>
      <c r="F870" s="36" t="s">
        <v>20</v>
      </c>
      <c r="G870" s="36"/>
      <c r="H870" s="36"/>
      <c r="I870" s="36"/>
      <c r="J870" s="36" t="s">
        <v>347</v>
      </c>
    </row>
    <row r="871" spans="1:10" x14ac:dyDescent="0.3">
      <c r="A871" s="36" t="s">
        <v>348</v>
      </c>
      <c r="B871" s="37">
        <v>-7.4999999999999993E-5</v>
      </c>
      <c r="C871" s="36" t="s">
        <v>31</v>
      </c>
      <c r="D871" s="36" t="s">
        <v>121</v>
      </c>
      <c r="E871" s="36"/>
      <c r="F871" s="36" t="s">
        <v>20</v>
      </c>
      <c r="G871" s="36"/>
      <c r="H871" s="36"/>
      <c r="I871" s="36"/>
      <c r="J871" s="36" t="s">
        <v>349</v>
      </c>
    </row>
    <row r="872" spans="1:10" x14ac:dyDescent="0.3">
      <c r="A872" s="36" t="s">
        <v>350</v>
      </c>
      <c r="B872" s="37">
        <v>6.8900000000000005E-4</v>
      </c>
      <c r="C872" s="36" t="s">
        <v>31</v>
      </c>
      <c r="D872" s="36" t="s">
        <v>8</v>
      </c>
      <c r="E872" s="36"/>
      <c r="F872" s="36" t="s">
        <v>20</v>
      </c>
      <c r="G872" s="36"/>
      <c r="H872" s="36"/>
      <c r="I872" s="36"/>
      <c r="J872" s="36" t="s">
        <v>351</v>
      </c>
    </row>
    <row r="873" spans="1:10" x14ac:dyDescent="0.3">
      <c r="A873" s="36" t="s">
        <v>100</v>
      </c>
      <c r="B873" s="37">
        <v>3.3599999999999998E-2</v>
      </c>
      <c r="C873" s="36" t="s">
        <v>31</v>
      </c>
      <c r="D873" s="36" t="s">
        <v>41</v>
      </c>
      <c r="E873" s="36"/>
      <c r="F873" s="36" t="s">
        <v>20</v>
      </c>
      <c r="G873" s="36"/>
      <c r="H873" s="36"/>
      <c r="I873" s="36"/>
      <c r="J873" s="36" t="s">
        <v>103</v>
      </c>
    </row>
    <row r="874" spans="1:10" x14ac:dyDescent="0.3">
      <c r="A874" s="36" t="s">
        <v>352</v>
      </c>
      <c r="B874" s="37">
        <v>3.2599999999999997E-2</v>
      </c>
      <c r="C874" s="36" t="s">
        <v>581</v>
      </c>
      <c r="D874" s="36" t="s">
        <v>41</v>
      </c>
      <c r="E874" s="36"/>
      <c r="F874" s="36" t="s">
        <v>20</v>
      </c>
      <c r="G874" s="36"/>
      <c r="H874" s="36"/>
      <c r="I874" s="36"/>
      <c r="J874" s="36" t="s">
        <v>353</v>
      </c>
    </row>
    <row r="875" spans="1:10" x14ac:dyDescent="0.3">
      <c r="A875" s="36" t="s">
        <v>354</v>
      </c>
      <c r="B875" s="37">
        <v>-6.8899999999999999E-7</v>
      </c>
      <c r="C875" s="36" t="s">
        <v>31</v>
      </c>
      <c r="D875" s="36" t="s">
        <v>121</v>
      </c>
      <c r="E875" s="36"/>
      <c r="F875" s="36" t="s">
        <v>20</v>
      </c>
      <c r="G875" s="36"/>
      <c r="H875" s="36"/>
      <c r="I875" s="36"/>
      <c r="J875" s="36" t="s">
        <v>355</v>
      </c>
    </row>
    <row r="877" spans="1:10" ht="15.6" x14ac:dyDescent="0.3">
      <c r="A877" s="1" t="s">
        <v>1</v>
      </c>
      <c r="B877" s="73" t="s">
        <v>408</v>
      </c>
    </row>
    <row r="878" spans="1:10" x14ac:dyDescent="0.3">
      <c r="A878" t="s">
        <v>2</v>
      </c>
      <c r="B878" s="6" t="s">
        <v>1050</v>
      </c>
    </row>
    <row r="879" spans="1:10" x14ac:dyDescent="0.3">
      <c r="A879" t="s">
        <v>3</v>
      </c>
      <c r="B879" s="6">
        <v>1</v>
      </c>
    </row>
    <row r="880" spans="1:10" ht="15.6" x14ac:dyDescent="0.3">
      <c r="A880" t="s">
        <v>4</v>
      </c>
      <c r="B880" s="74" t="s">
        <v>337</v>
      </c>
    </row>
    <row r="881" spans="1:10" x14ac:dyDescent="0.3">
      <c r="A881" t="s">
        <v>5</v>
      </c>
      <c r="B881" s="6" t="s">
        <v>6</v>
      </c>
    </row>
    <row r="882" spans="1:10" x14ac:dyDescent="0.3">
      <c r="A882" t="s">
        <v>7</v>
      </c>
      <c r="B882" s="6" t="s">
        <v>8</v>
      </c>
    </row>
    <row r="883" spans="1:10" x14ac:dyDescent="0.3">
      <c r="A883" t="s">
        <v>9</v>
      </c>
      <c r="B883" s="6" t="s">
        <v>393</v>
      </c>
    </row>
    <row r="884" spans="1:10" x14ac:dyDescent="0.3">
      <c r="A884" t="s">
        <v>11</v>
      </c>
      <c r="B884" s="6" t="s">
        <v>361</v>
      </c>
    </row>
    <row r="885" spans="1:10" ht="15.6" x14ac:dyDescent="0.3">
      <c r="A885" s="1" t="s">
        <v>12</v>
      </c>
    </row>
    <row r="886" spans="1:10" x14ac:dyDescent="0.3">
      <c r="A886" t="s">
        <v>13</v>
      </c>
      <c r="B886" s="6" t="s">
        <v>14</v>
      </c>
      <c r="C886" t="s">
        <v>2</v>
      </c>
      <c r="D886" t="s">
        <v>7</v>
      </c>
      <c r="E886" t="s">
        <v>15</v>
      </c>
      <c r="F886" t="s">
        <v>5</v>
      </c>
      <c r="G886" t="s">
        <v>338</v>
      </c>
      <c r="H886" t="s">
        <v>339</v>
      </c>
      <c r="I886" t="s">
        <v>11</v>
      </c>
      <c r="J886" t="s">
        <v>4</v>
      </c>
    </row>
    <row r="887" spans="1:10" x14ac:dyDescent="0.3">
      <c r="A887" s="36" t="s">
        <v>408</v>
      </c>
      <c r="B887" s="37">
        <v>1</v>
      </c>
      <c r="C887" t="s">
        <v>1050</v>
      </c>
      <c r="D887" s="36" t="s">
        <v>8</v>
      </c>
      <c r="E887" s="36"/>
      <c r="F887" s="36" t="s">
        <v>17</v>
      </c>
      <c r="G887" s="36"/>
      <c r="H887" s="36"/>
      <c r="I887" s="36" t="s">
        <v>18</v>
      </c>
      <c r="J887" s="36" t="s">
        <v>337</v>
      </c>
    </row>
    <row r="888" spans="1:10" ht="15.6" x14ac:dyDescent="0.3">
      <c r="A888" s="2" t="s">
        <v>406</v>
      </c>
      <c r="B888" s="6">
        <v>1.00057</v>
      </c>
      <c r="C888" t="s">
        <v>1050</v>
      </c>
      <c r="D888" t="s">
        <v>8</v>
      </c>
      <c r="F888" s="36" t="s">
        <v>20</v>
      </c>
      <c r="G888" t="s">
        <v>18</v>
      </c>
      <c r="I888" s="36"/>
      <c r="J888" s="2" t="s">
        <v>404</v>
      </c>
    </row>
    <row r="889" spans="1:10" x14ac:dyDescent="0.3">
      <c r="A889" s="36" t="s">
        <v>28</v>
      </c>
      <c r="B889" s="37">
        <v>6.7000000000000002E-3</v>
      </c>
      <c r="C889" t="s">
        <v>1051</v>
      </c>
      <c r="D889" s="36" t="s">
        <v>29</v>
      </c>
      <c r="E889" s="36"/>
      <c r="F889" s="36" t="s">
        <v>20</v>
      </c>
      <c r="G889" s="36"/>
      <c r="H889" s="36"/>
      <c r="I889" s="36"/>
      <c r="J889" s="36" t="s">
        <v>30</v>
      </c>
    </row>
    <row r="890" spans="1:10" x14ac:dyDescent="0.3">
      <c r="A890" s="36" t="s">
        <v>340</v>
      </c>
      <c r="B890" s="37">
        <v>-1.6799999999999999E-4</v>
      </c>
      <c r="C890" s="36" t="s">
        <v>31</v>
      </c>
      <c r="D890" s="36" t="s">
        <v>8</v>
      </c>
      <c r="E890" s="36"/>
      <c r="F890" s="36" t="s">
        <v>20</v>
      </c>
      <c r="G890" s="36"/>
      <c r="H890" s="36"/>
      <c r="I890" s="36"/>
      <c r="J890" s="36" t="s">
        <v>341</v>
      </c>
    </row>
    <row r="891" spans="1:10" x14ac:dyDescent="0.3">
      <c r="A891" s="36" t="s">
        <v>342</v>
      </c>
      <c r="B891" s="37">
        <v>5.8399999999999999E-4</v>
      </c>
      <c r="C891" s="36" t="s">
        <v>31</v>
      </c>
      <c r="D891" s="36" t="s">
        <v>19</v>
      </c>
      <c r="E891" s="36"/>
      <c r="F891" s="36" t="s">
        <v>20</v>
      </c>
      <c r="G891" s="36"/>
      <c r="H891" s="36"/>
      <c r="I891" s="36"/>
      <c r="J891" s="36" t="s">
        <v>343</v>
      </c>
    </row>
    <row r="892" spans="1:10" x14ac:dyDescent="0.3">
      <c r="A892" s="36" t="s">
        <v>344</v>
      </c>
      <c r="B892" s="37">
        <v>2.5999999999999998E-10</v>
      </c>
      <c r="C892" s="36" t="s">
        <v>31</v>
      </c>
      <c r="D892" s="36" t="s">
        <v>7</v>
      </c>
      <c r="E892" s="36"/>
      <c r="F892" s="36" t="s">
        <v>20</v>
      </c>
      <c r="G892" s="36"/>
      <c r="H892" s="36"/>
      <c r="I892" s="36"/>
      <c r="J892" s="36" t="s">
        <v>345</v>
      </c>
    </row>
    <row r="893" spans="1:10" x14ac:dyDescent="0.3">
      <c r="A893" s="36" t="s">
        <v>346</v>
      </c>
      <c r="B893" s="37">
        <v>-6.2700000000000001E-6</v>
      </c>
      <c r="C893" s="36" t="s">
        <v>31</v>
      </c>
      <c r="D893" s="36" t="s">
        <v>8</v>
      </c>
      <c r="E893" s="36"/>
      <c r="F893" s="36" t="s">
        <v>20</v>
      </c>
      <c r="G893" s="36"/>
      <c r="H893" s="36"/>
      <c r="I893" s="36"/>
      <c r="J893" s="36" t="s">
        <v>347</v>
      </c>
    </row>
    <row r="894" spans="1:10" x14ac:dyDescent="0.3">
      <c r="A894" s="36" t="s">
        <v>348</v>
      </c>
      <c r="B894" s="37">
        <v>-7.4999999999999993E-5</v>
      </c>
      <c r="C894" s="36" t="s">
        <v>31</v>
      </c>
      <c r="D894" s="36" t="s">
        <v>121</v>
      </c>
      <c r="E894" s="36"/>
      <c r="F894" s="36" t="s">
        <v>20</v>
      </c>
      <c r="G894" s="36"/>
      <c r="H894" s="36"/>
      <c r="I894" s="36"/>
      <c r="J894" s="36" t="s">
        <v>349</v>
      </c>
    </row>
    <row r="895" spans="1:10" x14ac:dyDescent="0.3">
      <c r="A895" s="36" t="s">
        <v>350</v>
      </c>
      <c r="B895" s="37">
        <v>6.8900000000000005E-4</v>
      </c>
      <c r="C895" s="36" t="s">
        <v>31</v>
      </c>
      <c r="D895" s="36" t="s">
        <v>8</v>
      </c>
      <c r="E895" s="36"/>
      <c r="F895" s="36" t="s">
        <v>20</v>
      </c>
      <c r="G895" s="36"/>
      <c r="H895" s="36"/>
      <c r="I895" s="36"/>
      <c r="J895" s="36" t="s">
        <v>351</v>
      </c>
    </row>
    <row r="896" spans="1:10" x14ac:dyDescent="0.3">
      <c r="A896" s="36" t="s">
        <v>100</v>
      </c>
      <c r="B896" s="37">
        <v>3.3599999999999998E-2</v>
      </c>
      <c r="C896" s="36" t="s">
        <v>31</v>
      </c>
      <c r="D896" s="36" t="s">
        <v>41</v>
      </c>
      <c r="E896" s="36"/>
      <c r="F896" s="36" t="s">
        <v>20</v>
      </c>
      <c r="G896" s="36"/>
      <c r="H896" s="36"/>
      <c r="I896" s="36"/>
      <c r="J896" s="36" t="s">
        <v>103</v>
      </c>
    </row>
    <row r="897" spans="1:10" x14ac:dyDescent="0.3">
      <c r="A897" s="36" t="s">
        <v>352</v>
      </c>
      <c r="B897" s="37">
        <v>3.2599999999999997E-2</v>
      </c>
      <c r="C897" s="36" t="s">
        <v>581</v>
      </c>
      <c r="D897" s="36" t="s">
        <v>41</v>
      </c>
      <c r="E897" s="36"/>
      <c r="F897" s="36" t="s">
        <v>20</v>
      </c>
      <c r="G897" s="36"/>
      <c r="H897" s="36"/>
      <c r="I897" s="36"/>
      <c r="J897" s="36" t="s">
        <v>353</v>
      </c>
    </row>
    <row r="898" spans="1:10" x14ac:dyDescent="0.3">
      <c r="A898" s="36" t="s">
        <v>354</v>
      </c>
      <c r="B898" s="37">
        <v>-6.8899999999999999E-7</v>
      </c>
      <c r="C898" s="36" t="s">
        <v>31</v>
      </c>
      <c r="D898" s="36" t="s">
        <v>121</v>
      </c>
      <c r="E898" s="36"/>
      <c r="F898" s="36" t="s">
        <v>20</v>
      </c>
      <c r="G898" s="36"/>
      <c r="H898" s="36"/>
      <c r="I898" s="36"/>
      <c r="J898" s="36" t="s">
        <v>355</v>
      </c>
    </row>
    <row r="899" spans="1:10" x14ac:dyDescent="0.3">
      <c r="A899" s="36"/>
      <c r="B899" s="37"/>
      <c r="C899" s="36"/>
      <c r="D899" s="36"/>
      <c r="E899" s="36"/>
      <c r="F899" s="36"/>
      <c r="G899" s="36"/>
      <c r="H899" s="36"/>
      <c r="I899" s="36"/>
      <c r="J899" s="36"/>
    </row>
    <row r="900" spans="1:10" ht="15.6" x14ac:dyDescent="0.3">
      <c r="A900" s="1" t="s">
        <v>1</v>
      </c>
      <c r="B900" s="73" t="s">
        <v>515</v>
      </c>
    </row>
    <row r="901" spans="1:10" x14ac:dyDescent="0.3">
      <c r="A901" t="s">
        <v>2</v>
      </c>
      <c r="B901" s="6" t="s">
        <v>1050</v>
      </c>
    </row>
    <row r="902" spans="1:10" x14ac:dyDescent="0.3">
      <c r="A902" t="s">
        <v>3</v>
      </c>
      <c r="B902" s="6">
        <v>1</v>
      </c>
    </row>
    <row r="903" spans="1:10" ht="15.6" x14ac:dyDescent="0.3">
      <c r="A903" t="s">
        <v>4</v>
      </c>
      <c r="B903" s="74" t="s">
        <v>337</v>
      </c>
    </row>
    <row r="904" spans="1:10" x14ac:dyDescent="0.3">
      <c r="A904" t="s">
        <v>5</v>
      </c>
      <c r="B904" s="6" t="s">
        <v>6</v>
      </c>
    </row>
    <row r="905" spans="1:10" x14ac:dyDescent="0.3">
      <c r="A905" t="s">
        <v>7</v>
      </c>
      <c r="B905" s="6" t="s">
        <v>8</v>
      </c>
    </row>
    <row r="906" spans="1:10" x14ac:dyDescent="0.3">
      <c r="A906" t="s">
        <v>9</v>
      </c>
      <c r="B906" s="6" t="s">
        <v>393</v>
      </c>
    </row>
    <row r="907" spans="1:10" x14ac:dyDescent="0.3">
      <c r="A907" t="s">
        <v>11</v>
      </c>
      <c r="B907" s="6" t="s">
        <v>507</v>
      </c>
    </row>
    <row r="908" spans="1:10" ht="15.6" x14ac:dyDescent="0.3">
      <c r="A908" s="1" t="s">
        <v>12</v>
      </c>
    </row>
    <row r="909" spans="1:10" x14ac:dyDescent="0.3">
      <c r="A909" t="s">
        <v>13</v>
      </c>
      <c r="B909" s="6" t="s">
        <v>14</v>
      </c>
      <c r="C909" t="s">
        <v>2</v>
      </c>
      <c r="D909" t="s">
        <v>7</v>
      </c>
      <c r="E909" t="s">
        <v>15</v>
      </c>
      <c r="F909" t="s">
        <v>5</v>
      </c>
      <c r="G909" t="s">
        <v>338</v>
      </c>
      <c r="H909" t="s">
        <v>339</v>
      </c>
      <c r="I909" t="s">
        <v>11</v>
      </c>
      <c r="J909" t="s">
        <v>4</v>
      </c>
    </row>
    <row r="910" spans="1:10" x14ac:dyDescent="0.3">
      <c r="A910" s="36" t="s">
        <v>515</v>
      </c>
      <c r="B910" s="37">
        <v>1</v>
      </c>
      <c r="C910" t="s">
        <v>1050</v>
      </c>
      <c r="D910" s="36" t="s">
        <v>8</v>
      </c>
      <c r="E910" s="36"/>
      <c r="F910" s="36" t="s">
        <v>17</v>
      </c>
      <c r="G910" s="36"/>
      <c r="H910" s="36"/>
      <c r="I910" s="36" t="s">
        <v>18</v>
      </c>
      <c r="J910" s="36" t="s">
        <v>337</v>
      </c>
    </row>
    <row r="911" spans="1:10" ht="15.6" x14ac:dyDescent="0.3">
      <c r="A911" s="2" t="s">
        <v>514</v>
      </c>
      <c r="B911" s="6">
        <v>1.00057</v>
      </c>
      <c r="C911" t="s">
        <v>1050</v>
      </c>
      <c r="D911" t="s">
        <v>8</v>
      </c>
      <c r="F911" s="36" t="s">
        <v>20</v>
      </c>
      <c r="G911" t="s">
        <v>18</v>
      </c>
      <c r="I911" s="36"/>
      <c r="J911" s="2" t="s">
        <v>404</v>
      </c>
    </row>
    <row r="912" spans="1:10" x14ac:dyDescent="0.3">
      <c r="A912" s="36" t="s">
        <v>28</v>
      </c>
      <c r="B912" s="37">
        <v>6.7000000000000002E-3</v>
      </c>
      <c r="C912" t="s">
        <v>1051</v>
      </c>
      <c r="D912" s="36" t="s">
        <v>29</v>
      </c>
      <c r="E912" s="36"/>
      <c r="F912" s="36" t="s">
        <v>20</v>
      </c>
      <c r="G912" s="36"/>
      <c r="H912" s="36"/>
      <c r="I912" s="36"/>
      <c r="J912" s="36" t="s">
        <v>30</v>
      </c>
    </row>
    <row r="913" spans="1:10" x14ac:dyDescent="0.3">
      <c r="A913" s="36" t="s">
        <v>340</v>
      </c>
      <c r="B913" s="37">
        <v>-1.6799999999999999E-4</v>
      </c>
      <c r="C913" s="36" t="s">
        <v>31</v>
      </c>
      <c r="D913" s="36" t="s">
        <v>8</v>
      </c>
      <c r="E913" s="36"/>
      <c r="F913" s="36" t="s">
        <v>20</v>
      </c>
      <c r="G913" s="36"/>
      <c r="H913" s="36"/>
      <c r="I913" s="36"/>
      <c r="J913" s="36" t="s">
        <v>341</v>
      </c>
    </row>
    <row r="914" spans="1:10" x14ac:dyDescent="0.3">
      <c r="A914" s="36" t="s">
        <v>342</v>
      </c>
      <c r="B914" s="37">
        <v>5.8399999999999999E-4</v>
      </c>
      <c r="C914" s="36" t="s">
        <v>31</v>
      </c>
      <c r="D914" s="36" t="s">
        <v>19</v>
      </c>
      <c r="E914" s="36"/>
      <c r="F914" s="36" t="s">
        <v>20</v>
      </c>
      <c r="G914" s="36"/>
      <c r="H914" s="36"/>
      <c r="I914" s="36"/>
      <c r="J914" s="36" t="s">
        <v>343</v>
      </c>
    </row>
    <row r="915" spans="1:10" x14ac:dyDescent="0.3">
      <c r="A915" s="36" t="s">
        <v>344</v>
      </c>
      <c r="B915" s="37">
        <v>2.5999999999999998E-10</v>
      </c>
      <c r="C915" s="36" t="s">
        <v>31</v>
      </c>
      <c r="D915" s="36" t="s">
        <v>7</v>
      </c>
      <c r="E915" s="36"/>
      <c r="F915" s="36" t="s">
        <v>20</v>
      </c>
      <c r="G915" s="36"/>
      <c r="H915" s="36"/>
      <c r="I915" s="36"/>
      <c r="J915" s="36" t="s">
        <v>345</v>
      </c>
    </row>
    <row r="916" spans="1:10" x14ac:dyDescent="0.3">
      <c r="A916" s="36" t="s">
        <v>346</v>
      </c>
      <c r="B916" s="37">
        <v>-6.2700000000000001E-6</v>
      </c>
      <c r="C916" s="36" t="s">
        <v>31</v>
      </c>
      <c r="D916" s="36" t="s">
        <v>8</v>
      </c>
      <c r="E916" s="36"/>
      <c r="F916" s="36" t="s">
        <v>20</v>
      </c>
      <c r="G916" s="36"/>
      <c r="H916" s="36"/>
      <c r="I916" s="36"/>
      <c r="J916" s="36" t="s">
        <v>347</v>
      </c>
    </row>
    <row r="917" spans="1:10" x14ac:dyDescent="0.3">
      <c r="A917" s="36" t="s">
        <v>348</v>
      </c>
      <c r="B917" s="37">
        <v>-7.4999999999999993E-5</v>
      </c>
      <c r="C917" s="36" t="s">
        <v>31</v>
      </c>
      <c r="D917" s="36" t="s">
        <v>121</v>
      </c>
      <c r="E917" s="36"/>
      <c r="F917" s="36" t="s">
        <v>20</v>
      </c>
      <c r="G917" s="36"/>
      <c r="H917" s="36"/>
      <c r="I917" s="36"/>
      <c r="J917" s="36" t="s">
        <v>349</v>
      </c>
    </row>
    <row r="918" spans="1:10" x14ac:dyDescent="0.3">
      <c r="A918" s="36" t="s">
        <v>350</v>
      </c>
      <c r="B918" s="37">
        <v>6.8900000000000005E-4</v>
      </c>
      <c r="C918" s="36" t="s">
        <v>31</v>
      </c>
      <c r="D918" s="36" t="s">
        <v>8</v>
      </c>
      <c r="E918" s="36"/>
      <c r="F918" s="36" t="s">
        <v>20</v>
      </c>
      <c r="G918" s="36"/>
      <c r="H918" s="36"/>
      <c r="I918" s="36"/>
      <c r="J918" s="36" t="s">
        <v>351</v>
      </c>
    </row>
    <row r="919" spans="1:10" x14ac:dyDescent="0.3">
      <c r="A919" s="36" t="s">
        <v>100</v>
      </c>
      <c r="B919" s="37">
        <v>3.3599999999999998E-2</v>
      </c>
      <c r="C919" s="36" t="s">
        <v>31</v>
      </c>
      <c r="D919" s="36" t="s">
        <v>41</v>
      </c>
      <c r="E919" s="36"/>
      <c r="F919" s="36" t="s">
        <v>20</v>
      </c>
      <c r="G919" s="36"/>
      <c r="H919" s="36"/>
      <c r="I919" s="36"/>
      <c r="J919" s="36" t="s">
        <v>103</v>
      </c>
    </row>
    <row r="920" spans="1:10" x14ac:dyDescent="0.3">
      <c r="A920" s="36" t="s">
        <v>352</v>
      </c>
      <c r="B920" s="37">
        <v>3.2599999999999997E-2</v>
      </c>
      <c r="C920" s="36" t="s">
        <v>581</v>
      </c>
      <c r="D920" s="36" t="s">
        <v>41</v>
      </c>
      <c r="E920" s="36"/>
      <c r="F920" s="36" t="s">
        <v>20</v>
      </c>
      <c r="G920" s="36"/>
      <c r="H920" s="36"/>
      <c r="I920" s="36"/>
      <c r="J920" s="36" t="s">
        <v>353</v>
      </c>
    </row>
    <row r="921" spans="1:10" x14ac:dyDescent="0.3">
      <c r="A921" s="36" t="s">
        <v>354</v>
      </c>
      <c r="B921" s="37">
        <v>-6.8899999999999999E-7</v>
      </c>
      <c r="C921" s="36" t="s">
        <v>31</v>
      </c>
      <c r="D921" s="36" t="s">
        <v>121</v>
      </c>
      <c r="E921" s="36"/>
      <c r="F921" s="36" t="s">
        <v>20</v>
      </c>
      <c r="G921" s="36"/>
      <c r="H921" s="36"/>
      <c r="I921" s="36"/>
      <c r="J921" s="36" t="s">
        <v>355</v>
      </c>
    </row>
    <row r="922" spans="1:10" x14ac:dyDescent="0.3">
      <c r="A922" s="36"/>
      <c r="B922" s="37"/>
      <c r="C922" s="36"/>
      <c r="D922" s="36"/>
      <c r="E922" s="36"/>
      <c r="F922" s="36"/>
      <c r="G922" s="36"/>
      <c r="H922" s="36"/>
      <c r="I922" s="36"/>
      <c r="J922" s="36"/>
    </row>
    <row r="923" spans="1:10" ht="15.6" x14ac:dyDescent="0.3">
      <c r="A923" s="1" t="s">
        <v>1</v>
      </c>
      <c r="B923" s="73" t="s">
        <v>67</v>
      </c>
    </row>
    <row r="924" spans="1:10" x14ac:dyDescent="0.3">
      <c r="A924" t="s">
        <v>2</v>
      </c>
      <c r="B924" s="6" t="s">
        <v>1050</v>
      </c>
    </row>
    <row r="925" spans="1:10" x14ac:dyDescent="0.3">
      <c r="A925" t="s">
        <v>3</v>
      </c>
      <c r="B925" s="6">
        <v>1</v>
      </c>
    </row>
    <row r="926" spans="1:10" ht="15.6" x14ac:dyDescent="0.3">
      <c r="A926" t="s">
        <v>4</v>
      </c>
      <c r="B926" s="74" t="s">
        <v>68</v>
      </c>
    </row>
    <row r="927" spans="1:10" x14ac:dyDescent="0.3">
      <c r="A927" t="s">
        <v>5</v>
      </c>
      <c r="B927" s="6" t="s">
        <v>6</v>
      </c>
    </row>
    <row r="928" spans="1:10" x14ac:dyDescent="0.3">
      <c r="A928" t="s">
        <v>7</v>
      </c>
      <c r="B928" s="6" t="s">
        <v>8</v>
      </c>
    </row>
    <row r="929" spans="1:8" x14ac:dyDescent="0.3">
      <c r="A929" t="s">
        <v>9</v>
      </c>
      <c r="B929" s="6" t="s">
        <v>10</v>
      </c>
    </row>
    <row r="930" spans="1:8" x14ac:dyDescent="0.3">
      <c r="A930" t="s">
        <v>11</v>
      </c>
      <c r="B930" s="6" t="s">
        <v>27</v>
      </c>
    </row>
    <row r="931" spans="1:8" x14ac:dyDescent="0.3">
      <c r="A931" t="s">
        <v>850</v>
      </c>
      <c r="B931" s="5">
        <f>Summary!R11</f>
        <v>15.5262026244</v>
      </c>
    </row>
    <row r="932" spans="1:8" x14ac:dyDescent="0.3">
      <c r="A932" t="s">
        <v>856</v>
      </c>
      <c r="B932" s="78">
        <f>Summary!Q11</f>
        <v>0.12</v>
      </c>
    </row>
    <row r="933" spans="1:8" ht="15.6" x14ac:dyDescent="0.3">
      <c r="A933" s="1" t="s">
        <v>12</v>
      </c>
    </row>
    <row r="934" spans="1:8" x14ac:dyDescent="0.3">
      <c r="A934" t="s">
        <v>13</v>
      </c>
      <c r="B934" s="6" t="s">
        <v>14</v>
      </c>
      <c r="C934" t="s">
        <v>2</v>
      </c>
      <c r="D934" t="s">
        <v>7</v>
      </c>
      <c r="E934" t="s">
        <v>15</v>
      </c>
      <c r="F934" t="s">
        <v>5</v>
      </c>
      <c r="G934" t="s">
        <v>11</v>
      </c>
      <c r="H934" t="s">
        <v>4</v>
      </c>
    </row>
    <row r="935" spans="1:8" ht="15.6" x14ac:dyDescent="0.3">
      <c r="A935" s="2" t="s">
        <v>67</v>
      </c>
      <c r="B935" s="6">
        <v>1</v>
      </c>
      <c r="C935" t="s">
        <v>1050</v>
      </c>
      <c r="D935" t="s">
        <v>8</v>
      </c>
      <c r="F935" t="s">
        <v>17</v>
      </c>
      <c r="G935" t="s">
        <v>18</v>
      </c>
      <c r="H935" s="2" t="s">
        <v>68</v>
      </c>
    </row>
    <row r="936" spans="1:8" x14ac:dyDescent="0.3">
      <c r="A936" t="s">
        <v>22</v>
      </c>
      <c r="B936" s="6">
        <f>223592*Parameters!$B$3/1000</f>
        <v>0.23590205879279999</v>
      </c>
      <c r="C936" t="s">
        <v>26</v>
      </c>
      <c r="D936" t="s">
        <v>19</v>
      </c>
      <c r="F936" t="s">
        <v>20</v>
      </c>
      <c r="G936" t="s">
        <v>60</v>
      </c>
      <c r="H936" t="s">
        <v>23</v>
      </c>
    </row>
    <row r="937" spans="1:8" x14ac:dyDescent="0.3">
      <c r="A937" t="s">
        <v>352</v>
      </c>
      <c r="B937" s="6">
        <f>53*Parameters!$B$7/1000</f>
        <v>8.5330000000000003E-2</v>
      </c>
      <c r="C937" t="s">
        <v>581</v>
      </c>
      <c r="D937" t="s">
        <v>41</v>
      </c>
      <c r="F937" t="s">
        <v>20</v>
      </c>
      <c r="G937" t="s">
        <v>72</v>
      </c>
      <c r="H937" t="s">
        <v>353</v>
      </c>
    </row>
    <row r="938" spans="1:8" x14ac:dyDescent="0.3">
      <c r="A938" t="s">
        <v>42</v>
      </c>
      <c r="B938" s="6">
        <f>3.183/1000</f>
        <v>3.1829999999999996E-3</v>
      </c>
      <c r="C938" t="s">
        <v>1051</v>
      </c>
      <c r="D938" t="s">
        <v>8</v>
      </c>
      <c r="F938" t="s">
        <v>20</v>
      </c>
      <c r="H938" t="s">
        <v>43</v>
      </c>
    </row>
    <row r="939" spans="1:8" x14ac:dyDescent="0.3">
      <c r="A939" t="s">
        <v>44</v>
      </c>
      <c r="B939" s="6">
        <f>2.273/1000</f>
        <v>2.2730000000000003E-3</v>
      </c>
      <c r="C939" t="s">
        <v>1051</v>
      </c>
      <c r="D939" t="s">
        <v>8</v>
      </c>
      <c r="F939" t="s">
        <v>20</v>
      </c>
      <c r="H939" t="s">
        <v>45</v>
      </c>
    </row>
    <row r="940" spans="1:8" x14ac:dyDescent="0.3">
      <c r="A940" t="s">
        <v>46</v>
      </c>
      <c r="B940" s="6">
        <f>13.641/1000</f>
        <v>1.3641E-2</v>
      </c>
      <c r="C940" t="s">
        <v>1051</v>
      </c>
      <c r="D940" t="s">
        <v>8</v>
      </c>
      <c r="F940" t="s">
        <v>20</v>
      </c>
      <c r="H940" t="s">
        <v>47</v>
      </c>
    </row>
    <row r="941" spans="1:8" x14ac:dyDescent="0.3">
      <c r="A941" t="s">
        <v>54</v>
      </c>
      <c r="B941" s="6">
        <f>0.744/1000*Parameters!$B$6</f>
        <v>3.3747839999999997E-4</v>
      </c>
      <c r="C941" t="s">
        <v>26</v>
      </c>
      <c r="D941" t="s">
        <v>8</v>
      </c>
      <c r="F941" t="s">
        <v>20</v>
      </c>
      <c r="G941" t="s">
        <v>56</v>
      </c>
      <c r="H941" t="s">
        <v>55</v>
      </c>
    </row>
    <row r="942" spans="1:8" x14ac:dyDescent="0.3">
      <c r="A942" t="s">
        <v>1046</v>
      </c>
      <c r="B942" s="6">
        <f>0.4682*(44/12)*1</f>
        <v>1.7167333333333332</v>
      </c>
      <c r="D942" t="s">
        <v>8</v>
      </c>
      <c r="E942" t="s">
        <v>1047</v>
      </c>
      <c r="F942" t="s">
        <v>36</v>
      </c>
      <c r="G942" s="8" t="s">
        <v>217</v>
      </c>
    </row>
    <row r="943" spans="1:8" x14ac:dyDescent="0.3">
      <c r="A943" t="s">
        <v>108</v>
      </c>
      <c r="B943" s="6">
        <v>15.68</v>
      </c>
      <c r="D943" t="s">
        <v>19</v>
      </c>
      <c r="E943" t="s">
        <v>112</v>
      </c>
      <c r="F943" t="s">
        <v>36</v>
      </c>
      <c r="G943" s="8" t="s">
        <v>217</v>
      </c>
    </row>
    <row r="945" spans="1:8" ht="15.6" x14ac:dyDescent="0.3">
      <c r="A945" s="1" t="s">
        <v>1</v>
      </c>
      <c r="B945" s="73" t="s">
        <v>415</v>
      </c>
    </row>
    <row r="946" spans="1:8" x14ac:dyDescent="0.3">
      <c r="A946" t="s">
        <v>2</v>
      </c>
      <c r="B946" s="6" t="s">
        <v>1050</v>
      </c>
    </row>
    <row r="947" spans="1:8" x14ac:dyDescent="0.3">
      <c r="A947" t="s">
        <v>3</v>
      </c>
      <c r="B947" s="6">
        <v>1</v>
      </c>
    </row>
    <row r="948" spans="1:8" ht="15.6" x14ac:dyDescent="0.3">
      <c r="A948" t="s">
        <v>4</v>
      </c>
      <c r="B948" s="74" t="s">
        <v>416</v>
      </c>
    </row>
    <row r="949" spans="1:8" x14ac:dyDescent="0.3">
      <c r="A949" t="s">
        <v>5</v>
      </c>
      <c r="B949" s="6" t="s">
        <v>6</v>
      </c>
    </row>
    <row r="950" spans="1:8" x14ac:dyDescent="0.3">
      <c r="A950" t="s">
        <v>7</v>
      </c>
      <c r="B950" s="6" t="s">
        <v>8</v>
      </c>
    </row>
    <row r="951" spans="1:8" x14ac:dyDescent="0.3">
      <c r="A951" t="s">
        <v>9</v>
      </c>
      <c r="B951" s="6" t="s">
        <v>10</v>
      </c>
    </row>
    <row r="952" spans="1:8" x14ac:dyDescent="0.3">
      <c r="A952" t="s">
        <v>11</v>
      </c>
      <c r="B952" s="6" t="s">
        <v>230</v>
      </c>
    </row>
    <row r="953" spans="1:8" x14ac:dyDescent="0.3">
      <c r="A953" t="s">
        <v>497</v>
      </c>
      <c r="B953" s="72">
        <f>Summary!O96</f>
        <v>0.58958531894622812</v>
      </c>
    </row>
    <row r="954" spans="1:8" ht="15.6" x14ac:dyDescent="0.3">
      <c r="A954" s="1" t="s">
        <v>12</v>
      </c>
    </row>
    <row r="955" spans="1:8" x14ac:dyDescent="0.3">
      <c r="A955" t="s">
        <v>13</v>
      </c>
      <c r="B955" s="6" t="s">
        <v>14</v>
      </c>
      <c r="C955" t="s">
        <v>2</v>
      </c>
      <c r="D955" t="s">
        <v>7</v>
      </c>
      <c r="E955" t="s">
        <v>15</v>
      </c>
      <c r="F955" t="s">
        <v>5</v>
      </c>
      <c r="G955" t="s">
        <v>11</v>
      </c>
      <c r="H955" t="s">
        <v>4</v>
      </c>
    </row>
    <row r="956" spans="1:8" ht="15.6" x14ac:dyDescent="0.3">
      <c r="A956" s="2" t="s">
        <v>415</v>
      </c>
      <c r="B956" s="6">
        <v>1</v>
      </c>
      <c r="C956" t="s">
        <v>1050</v>
      </c>
      <c r="D956" t="s">
        <v>8</v>
      </c>
      <c r="F956" t="s">
        <v>17</v>
      </c>
      <c r="G956" t="s">
        <v>18</v>
      </c>
      <c r="H956" s="2" t="s">
        <v>416</v>
      </c>
    </row>
    <row r="957" spans="1:8" ht="15.6" x14ac:dyDescent="0.3">
      <c r="A957" s="2" t="s">
        <v>67</v>
      </c>
      <c r="B957" s="6">
        <f>(1/((Parameters!$C$20*Parameters!$B$4*Parameters!$B$10)/1000))*Parameters!F32</f>
        <v>3.2444757981354098</v>
      </c>
      <c r="C957" t="s">
        <v>1050</v>
      </c>
      <c r="D957" t="s">
        <v>8</v>
      </c>
      <c r="F957" t="s">
        <v>20</v>
      </c>
      <c r="G957" t="s">
        <v>18</v>
      </c>
      <c r="H957" s="2" t="s">
        <v>417</v>
      </c>
    </row>
    <row r="958" spans="1:8" ht="15.6" x14ac:dyDescent="0.3">
      <c r="A958" s="2" t="s">
        <v>221</v>
      </c>
      <c r="B958" s="6">
        <f>(180*Parameters!$B$3)/(Parameters!$B$4*Parameters!$B$10)*Parameters!F32</f>
        <v>5.2373480998418598E-2</v>
      </c>
      <c r="C958" t="s">
        <v>26</v>
      </c>
      <c r="D958" t="s">
        <v>19</v>
      </c>
      <c r="F958" t="s">
        <v>20</v>
      </c>
      <c r="H958" s="2" t="s">
        <v>222</v>
      </c>
    </row>
    <row r="959" spans="1:8" ht="15.6" x14ac:dyDescent="0.3">
      <c r="A959" s="2" t="s">
        <v>252</v>
      </c>
      <c r="B959" s="6">
        <f>((346.23/1000)/(Parameters!$B$4*Parameters!$B$10))*Parameters!$F$32</f>
        <v>9.5483462725015969E-2</v>
      </c>
      <c r="C959" t="s">
        <v>31</v>
      </c>
      <c r="D959" t="s">
        <v>8</v>
      </c>
      <c r="F959" t="s">
        <v>20</v>
      </c>
      <c r="H959" s="2" t="s">
        <v>253</v>
      </c>
    </row>
    <row r="960" spans="1:8" ht="15.6" x14ac:dyDescent="0.3">
      <c r="A960" s="2" t="s">
        <v>254</v>
      </c>
      <c r="B960" s="6">
        <f>((41.55/1000)/(Parameters!$B$4*Parameters!$B$10))*Parameters!$F$32</f>
        <v>1.1458677400064735E-2</v>
      </c>
      <c r="C960" t="s">
        <v>255</v>
      </c>
      <c r="D960" t="s">
        <v>8</v>
      </c>
      <c r="F960" t="s">
        <v>20</v>
      </c>
      <c r="H960" s="2" t="s">
        <v>256</v>
      </c>
    </row>
    <row r="961" spans="1:8" ht="15.6" x14ac:dyDescent="0.3">
      <c r="A961" s="2" t="s">
        <v>257</v>
      </c>
      <c r="B961" s="6">
        <f>((20.77/1000)/(Parameters!$B$4*Parameters!$B$10))*Parameters!$F$32</f>
        <v>5.7279597978181608E-3</v>
      </c>
      <c r="C961" t="s">
        <v>31</v>
      </c>
      <c r="D961" t="s">
        <v>8</v>
      </c>
      <c r="F961" t="s">
        <v>20</v>
      </c>
      <c r="H961" s="2" t="s">
        <v>414</v>
      </c>
    </row>
    <row r="962" spans="1:8" ht="15.6" x14ac:dyDescent="0.3">
      <c r="A962" s="2" t="s">
        <v>370</v>
      </c>
      <c r="B962" s="6">
        <f>((76.17/1000)/(Parameters!$B$4*Parameters!$B$10))*Parameters!$F$32</f>
        <v>2.1006196331237806E-2</v>
      </c>
      <c r="C962" t="s">
        <v>31</v>
      </c>
      <c r="D962" t="s">
        <v>8</v>
      </c>
      <c r="F962" t="s">
        <v>20</v>
      </c>
      <c r="G962" t="s">
        <v>387</v>
      </c>
      <c r="H962" s="2" t="s">
        <v>371</v>
      </c>
    </row>
    <row r="963" spans="1:8" ht="15.6" x14ac:dyDescent="0.3">
      <c r="A963" s="2" t="s">
        <v>315</v>
      </c>
      <c r="B963" s="6">
        <f>((106.73/1000)/(Parameters!$B$4*Parameters!$B$10))*Parameters!$F$32</f>
        <v>2.9434046664474352E-2</v>
      </c>
      <c r="C963" t="s">
        <v>31</v>
      </c>
      <c r="D963" t="s">
        <v>8</v>
      </c>
      <c r="F963" t="s">
        <v>20</v>
      </c>
      <c r="G963" t="s">
        <v>314</v>
      </c>
      <c r="H963" s="2" t="s">
        <v>316</v>
      </c>
    </row>
    <row r="964" spans="1:8" ht="15.6" x14ac:dyDescent="0.3">
      <c r="A964" s="2" t="s">
        <v>384</v>
      </c>
      <c r="B964" s="6">
        <f>((26.58/1000)/(Parameters!$B$4*Parameters!$B$10))*Parameters!$F$32</f>
        <v>7.3302441707273321E-3</v>
      </c>
      <c r="C964" t="s">
        <v>26</v>
      </c>
      <c r="D964" t="s">
        <v>8</v>
      </c>
      <c r="F964" t="s">
        <v>20</v>
      </c>
      <c r="G964" t="s">
        <v>386</v>
      </c>
      <c r="H964" s="2" t="s">
        <v>385</v>
      </c>
    </row>
    <row r="965" spans="1:8" ht="15.6" x14ac:dyDescent="0.3">
      <c r="A965" s="2" t="s">
        <v>388</v>
      </c>
      <c r="B965" s="6">
        <f>((117.72/1000)/(Parameters!$B$4*Parameters!$B$10))*Parameters!$F$32</f>
        <v>3.2464873731302545E-2</v>
      </c>
      <c r="C965" t="s">
        <v>26</v>
      </c>
      <c r="D965" t="s">
        <v>8</v>
      </c>
      <c r="F965" t="s">
        <v>20</v>
      </c>
      <c r="G965" t="s">
        <v>390</v>
      </c>
      <c r="H965" s="2" t="s">
        <v>389</v>
      </c>
    </row>
    <row r="966" spans="1:8" x14ac:dyDescent="0.3">
      <c r="A966" t="s">
        <v>265</v>
      </c>
      <c r="B966" s="6">
        <f>(B942*B957)-Parameters!$B$13</f>
        <v>3.6558997518523286</v>
      </c>
      <c r="D966" t="s">
        <v>8</v>
      </c>
      <c r="E966" t="s">
        <v>37</v>
      </c>
      <c r="F966" t="s">
        <v>36</v>
      </c>
      <c r="G966" t="s">
        <v>428</v>
      </c>
    </row>
    <row r="967" spans="1:8" x14ac:dyDescent="0.3">
      <c r="A967" t="s">
        <v>306</v>
      </c>
      <c r="B967" s="6">
        <f>1/(90000000*20)</f>
        <v>5.5555555555555553E-10</v>
      </c>
      <c r="C967" t="s">
        <v>26</v>
      </c>
      <c r="D967" t="s">
        <v>7</v>
      </c>
      <c r="F967" t="s">
        <v>20</v>
      </c>
      <c r="G967" t="s">
        <v>308</v>
      </c>
      <c r="H967" t="s">
        <v>307</v>
      </c>
    </row>
    <row r="968" spans="1:8" ht="15.6" x14ac:dyDescent="0.3">
      <c r="A968" s="2"/>
      <c r="H968" s="2"/>
    </row>
    <row r="969" spans="1:8" ht="15.6" x14ac:dyDescent="0.3">
      <c r="A969" s="1" t="s">
        <v>1</v>
      </c>
      <c r="B969" s="73" t="s">
        <v>418</v>
      </c>
    </row>
    <row r="970" spans="1:8" x14ac:dyDescent="0.3">
      <c r="A970" t="s">
        <v>2</v>
      </c>
      <c r="B970" s="6" t="s">
        <v>1050</v>
      </c>
    </row>
    <row r="971" spans="1:8" x14ac:dyDescent="0.3">
      <c r="A971" t="s">
        <v>3</v>
      </c>
      <c r="B971" s="6">
        <v>1</v>
      </c>
    </row>
    <row r="972" spans="1:8" ht="15.6" x14ac:dyDescent="0.3">
      <c r="A972" t="s">
        <v>4</v>
      </c>
      <c r="B972" s="74" t="s">
        <v>416</v>
      </c>
    </row>
    <row r="973" spans="1:8" x14ac:dyDescent="0.3">
      <c r="A973" t="s">
        <v>5</v>
      </c>
      <c r="B973" s="6" t="s">
        <v>6</v>
      </c>
    </row>
    <row r="974" spans="1:8" x14ac:dyDescent="0.3">
      <c r="A974" t="s">
        <v>7</v>
      </c>
      <c r="B974" s="6" t="s">
        <v>8</v>
      </c>
    </row>
    <row r="975" spans="1:8" x14ac:dyDescent="0.3">
      <c r="A975" t="s">
        <v>9</v>
      </c>
      <c r="B975" s="6" t="s">
        <v>10</v>
      </c>
    </row>
    <row r="976" spans="1:8" x14ac:dyDescent="0.3">
      <c r="A976" t="s">
        <v>11</v>
      </c>
      <c r="B976" s="6" t="s">
        <v>373</v>
      </c>
    </row>
    <row r="977" spans="1:8" x14ac:dyDescent="0.3">
      <c r="A977" t="s">
        <v>497</v>
      </c>
      <c r="B977" s="72">
        <f>Summary!O39</f>
        <v>0.53310385306271002</v>
      </c>
    </row>
    <row r="978" spans="1:8" ht="15.6" x14ac:dyDescent="0.3">
      <c r="A978" s="1" t="s">
        <v>12</v>
      </c>
    </row>
    <row r="979" spans="1:8" x14ac:dyDescent="0.3">
      <c r="A979" t="s">
        <v>13</v>
      </c>
      <c r="B979" s="6" t="s">
        <v>14</v>
      </c>
      <c r="C979" t="s">
        <v>2</v>
      </c>
      <c r="D979" t="s">
        <v>7</v>
      </c>
      <c r="E979" t="s">
        <v>15</v>
      </c>
      <c r="F979" t="s">
        <v>5</v>
      </c>
      <c r="G979" t="s">
        <v>11</v>
      </c>
      <c r="H979" t="s">
        <v>4</v>
      </c>
    </row>
    <row r="980" spans="1:8" ht="15.6" x14ac:dyDescent="0.3">
      <c r="A980" s="2" t="s">
        <v>418</v>
      </c>
      <c r="B980" s="6">
        <v>1</v>
      </c>
      <c r="C980" t="s">
        <v>1050</v>
      </c>
      <c r="D980" t="s">
        <v>8</v>
      </c>
      <c r="F980" t="s">
        <v>17</v>
      </c>
      <c r="G980" t="s">
        <v>18</v>
      </c>
      <c r="H980" s="2" t="s">
        <v>416</v>
      </c>
    </row>
    <row r="981" spans="1:8" ht="15.6" x14ac:dyDescent="0.3">
      <c r="A981" s="2" t="s">
        <v>67</v>
      </c>
      <c r="B981" s="6">
        <f>(1/((Parameters!$C$20*Parameters!$B$4*Parameters!$B$10)/1000))*Parameters!G32</f>
        <v>3.5882226085354634</v>
      </c>
      <c r="C981" t="s">
        <v>1050</v>
      </c>
      <c r="D981" t="s">
        <v>8</v>
      </c>
      <c r="F981" t="s">
        <v>20</v>
      </c>
      <c r="G981" t="s">
        <v>18</v>
      </c>
      <c r="H981" s="2" t="s">
        <v>417</v>
      </c>
    </row>
    <row r="982" spans="1:8" ht="15.6" x14ac:dyDescent="0.3">
      <c r="A982" s="2" t="s">
        <v>221</v>
      </c>
      <c r="B982" s="6">
        <f>(180*Parameters!$B$3)/(Parameters!$B$4*Parameters!$B$10)*Parameters!G32</f>
        <v>5.7922364134825585E-2</v>
      </c>
      <c r="C982" t="s">
        <v>26</v>
      </c>
      <c r="D982" t="s">
        <v>19</v>
      </c>
      <c r="F982" t="s">
        <v>20</v>
      </c>
      <c r="H982" s="2" t="s">
        <v>222</v>
      </c>
    </row>
    <row r="983" spans="1:8" ht="15.6" x14ac:dyDescent="0.3">
      <c r="A983" s="2" t="s">
        <v>252</v>
      </c>
      <c r="B983" s="6">
        <f>((346.23/1000)/(Parameters!$B$4*Parameters!$B$10))*Parameters!$G$32</f>
        <v>0.10559977666902486</v>
      </c>
      <c r="C983" t="s">
        <v>31</v>
      </c>
      <c r="D983" t="s">
        <v>8</v>
      </c>
      <c r="F983" t="s">
        <v>20</v>
      </c>
      <c r="H983" s="2" t="s">
        <v>253</v>
      </c>
    </row>
    <row r="984" spans="1:8" ht="15.6" x14ac:dyDescent="0.3">
      <c r="A984" s="2" t="s">
        <v>254</v>
      </c>
      <c r="B984" s="6">
        <f>((41.55/1000)/(Parameters!$B$4*Parameters!$B$10))*Parameters!$G$32</f>
        <v>1.2672705197695122E-2</v>
      </c>
      <c r="C984" t="s">
        <v>255</v>
      </c>
      <c r="D984" t="s">
        <v>8</v>
      </c>
      <c r="F984" t="s">
        <v>20</v>
      </c>
      <c r="H984" s="2" t="s">
        <v>256</v>
      </c>
    </row>
    <row r="985" spans="1:8" ht="15.6" x14ac:dyDescent="0.3">
      <c r="A985" s="2" t="s">
        <v>257</v>
      </c>
      <c r="B985" s="6">
        <f>((20.77/1000)/(Parameters!$B$4*Parameters!$B$10))*Parameters!$G$32</f>
        <v>6.3348276042389344E-3</v>
      </c>
      <c r="C985" t="s">
        <v>31</v>
      </c>
      <c r="D985" t="s">
        <v>8</v>
      </c>
      <c r="F985" t="s">
        <v>20</v>
      </c>
      <c r="H985" s="2" t="s">
        <v>414</v>
      </c>
    </row>
    <row r="986" spans="1:8" ht="15.6" x14ac:dyDescent="0.3">
      <c r="A986" s="2" t="s">
        <v>370</v>
      </c>
      <c r="B986" s="6">
        <f>((76.17/1000)/(Parameters!$B$4*Parameters!$B$10))*Parameters!$G$32</f>
        <v>2.3231767867832431E-2</v>
      </c>
      <c r="C986" t="s">
        <v>31</v>
      </c>
      <c r="D986" t="s">
        <v>8</v>
      </c>
      <c r="F986" t="s">
        <v>20</v>
      </c>
      <c r="H986" s="2" t="s">
        <v>371</v>
      </c>
    </row>
    <row r="987" spans="1:8" ht="15.6" x14ac:dyDescent="0.3">
      <c r="A987" s="2" t="s">
        <v>315</v>
      </c>
      <c r="B987" s="6">
        <f>((106.73/1000)/(Parameters!$B$4*Parameters!$B$10))*Parameters!$G$32</f>
        <v>3.2552534915764153E-2</v>
      </c>
      <c r="C987" t="s">
        <v>31</v>
      </c>
      <c r="D987" t="s">
        <v>8</v>
      </c>
      <c r="F987" t="s">
        <v>20</v>
      </c>
      <c r="G987" t="s">
        <v>314</v>
      </c>
      <c r="H987" s="2" t="s">
        <v>316</v>
      </c>
    </row>
    <row r="988" spans="1:8" ht="15.6" x14ac:dyDescent="0.3">
      <c r="A988" s="2" t="s">
        <v>384</v>
      </c>
      <c r="B988" s="6">
        <f>((26.58/1000)/(Parameters!$B$4*Parameters!$B$10))*Parameters!$G$32</f>
        <v>8.1068713394641719E-3</v>
      </c>
      <c r="C988" t="s">
        <v>26</v>
      </c>
      <c r="D988" t="s">
        <v>8</v>
      </c>
      <c r="F988" t="s">
        <v>20</v>
      </c>
      <c r="G988" t="s">
        <v>386</v>
      </c>
      <c r="H988" s="2" t="s">
        <v>385</v>
      </c>
    </row>
    <row r="989" spans="1:8" ht="15.6" x14ac:dyDescent="0.3">
      <c r="A989" s="2" t="s">
        <v>388</v>
      </c>
      <c r="B989" s="6">
        <f>((117.72/1000)/(Parameters!$B$4*Parameters!$B$10))*Parameters!G$32</f>
        <v>3.5904473065527555E-2</v>
      </c>
      <c r="C989" t="s">
        <v>26</v>
      </c>
      <c r="D989" t="s">
        <v>8</v>
      </c>
      <c r="F989" t="s">
        <v>20</v>
      </c>
      <c r="G989" t="s">
        <v>390</v>
      </c>
      <c r="H989" s="2" t="s">
        <v>389</v>
      </c>
    </row>
    <row r="990" spans="1:8" x14ac:dyDescent="0.3">
      <c r="A990" t="s">
        <v>265</v>
      </c>
      <c r="B990" s="6">
        <f>(B942*B981)-Parameters!$B$13</f>
        <v>4.2460213594931142</v>
      </c>
      <c r="D990" t="s">
        <v>8</v>
      </c>
      <c r="E990" t="s">
        <v>37</v>
      </c>
      <c r="F990" t="s">
        <v>36</v>
      </c>
      <c r="G990" t="s">
        <v>428</v>
      </c>
    </row>
    <row r="991" spans="1:8" x14ac:dyDescent="0.3">
      <c r="A991" t="s">
        <v>306</v>
      </c>
      <c r="B991" s="6">
        <f>1/(90000000*20)</f>
        <v>5.5555555555555553E-10</v>
      </c>
      <c r="C991" t="s">
        <v>26</v>
      </c>
      <c r="D991" t="s">
        <v>7</v>
      </c>
      <c r="F991" t="s">
        <v>20</v>
      </c>
      <c r="G991" t="s">
        <v>308</v>
      </c>
      <c r="H991" t="s">
        <v>307</v>
      </c>
    </row>
    <row r="992" spans="1:8" ht="15.6" x14ac:dyDescent="0.3">
      <c r="A992" s="2"/>
      <c r="H992" s="2"/>
    </row>
    <row r="993" spans="1:8" ht="15.6" x14ac:dyDescent="0.3">
      <c r="A993" s="1" t="s">
        <v>1</v>
      </c>
      <c r="B993" s="73" t="s">
        <v>516</v>
      </c>
    </row>
    <row r="994" spans="1:8" x14ac:dyDescent="0.3">
      <c r="A994" t="s">
        <v>2</v>
      </c>
      <c r="B994" s="6" t="s">
        <v>1050</v>
      </c>
    </row>
    <row r="995" spans="1:8" x14ac:dyDescent="0.3">
      <c r="A995" t="s">
        <v>3</v>
      </c>
      <c r="B995" s="6">
        <v>1</v>
      </c>
    </row>
    <row r="996" spans="1:8" ht="15.6" x14ac:dyDescent="0.3">
      <c r="A996" t="s">
        <v>4</v>
      </c>
      <c r="B996" s="74" t="s">
        <v>416</v>
      </c>
    </row>
    <row r="997" spans="1:8" x14ac:dyDescent="0.3">
      <c r="A997" t="s">
        <v>5</v>
      </c>
      <c r="B997" s="6" t="s">
        <v>6</v>
      </c>
    </row>
    <row r="998" spans="1:8" x14ac:dyDescent="0.3">
      <c r="A998" t="s">
        <v>7</v>
      </c>
      <c r="B998" s="6" t="s">
        <v>8</v>
      </c>
    </row>
    <row r="999" spans="1:8" x14ac:dyDescent="0.3">
      <c r="A999" t="s">
        <v>9</v>
      </c>
      <c r="B999" s="6" t="s">
        <v>10</v>
      </c>
    </row>
    <row r="1000" spans="1:8" x14ac:dyDescent="0.3">
      <c r="A1000" t="s">
        <v>11</v>
      </c>
      <c r="B1000" s="6" t="s">
        <v>504</v>
      </c>
    </row>
    <row r="1001" spans="1:8" x14ac:dyDescent="0.3">
      <c r="A1001" t="s">
        <v>497</v>
      </c>
      <c r="B1001" s="72">
        <f>Summary!O134</f>
        <v>0.48557130322723352</v>
      </c>
    </row>
    <row r="1002" spans="1:8" ht="15.6" x14ac:dyDescent="0.3">
      <c r="A1002" s="1" t="s">
        <v>12</v>
      </c>
    </row>
    <row r="1003" spans="1:8" x14ac:dyDescent="0.3">
      <c r="A1003" t="s">
        <v>13</v>
      </c>
      <c r="B1003" s="6" t="s">
        <v>14</v>
      </c>
      <c r="C1003" t="s">
        <v>2</v>
      </c>
      <c r="D1003" t="s">
        <v>7</v>
      </c>
      <c r="E1003" t="s">
        <v>15</v>
      </c>
      <c r="F1003" t="s">
        <v>5</v>
      </c>
      <c r="G1003" t="s">
        <v>11</v>
      </c>
      <c r="H1003" t="s">
        <v>4</v>
      </c>
    </row>
    <row r="1004" spans="1:8" ht="15.6" x14ac:dyDescent="0.3">
      <c r="A1004" s="2" t="s">
        <v>516</v>
      </c>
      <c r="B1004" s="6">
        <v>1</v>
      </c>
      <c r="C1004" t="s">
        <v>1050</v>
      </c>
      <c r="D1004" t="s">
        <v>8</v>
      </c>
      <c r="F1004" t="s">
        <v>17</v>
      </c>
      <c r="G1004" t="s">
        <v>18</v>
      </c>
      <c r="H1004" s="2" t="s">
        <v>416</v>
      </c>
    </row>
    <row r="1005" spans="1:8" ht="15.6" x14ac:dyDescent="0.3">
      <c r="A1005" s="2" t="s">
        <v>67</v>
      </c>
      <c r="B1005" s="6">
        <f>(1/((Parameters!$C$20*Parameters!$B$4*Parameters!$B$10)/1000))</f>
        <v>3.9394735346660368</v>
      </c>
      <c r="C1005" t="s">
        <v>1050</v>
      </c>
      <c r="D1005" t="s">
        <v>8</v>
      </c>
      <c r="F1005" t="s">
        <v>20</v>
      </c>
      <c r="G1005" t="s">
        <v>18</v>
      </c>
      <c r="H1005" s="2" t="s">
        <v>417</v>
      </c>
    </row>
    <row r="1006" spans="1:8" ht="15.6" x14ac:dyDescent="0.3">
      <c r="A1006" s="2" t="s">
        <v>221</v>
      </c>
      <c r="B1006" s="6">
        <f>(180*Parameters!$B$3)/(Parameters!$B$4*Parameters!$B$10)</f>
        <v>6.3592381373341833E-2</v>
      </c>
      <c r="C1006" t="s">
        <v>26</v>
      </c>
      <c r="D1006" t="s">
        <v>19</v>
      </c>
      <c r="F1006" t="s">
        <v>20</v>
      </c>
      <c r="H1006" s="2" t="s">
        <v>222</v>
      </c>
    </row>
    <row r="1007" spans="1:8" ht="15.6" x14ac:dyDescent="0.3">
      <c r="A1007" s="2" t="s">
        <v>252</v>
      </c>
      <c r="B1007" s="6">
        <f>((346.23/1000)/(Parameters!$B$4*Parameters!$B$10))</f>
        <v>0.11593693336213089</v>
      </c>
      <c r="C1007" t="s">
        <v>31</v>
      </c>
      <c r="D1007" t="s">
        <v>8</v>
      </c>
      <c r="F1007" t="s">
        <v>20</v>
      </c>
      <c r="H1007" s="2" t="s">
        <v>253</v>
      </c>
    </row>
    <row r="1008" spans="1:8" ht="15.6" x14ac:dyDescent="0.3">
      <c r="A1008" s="2" t="s">
        <v>254</v>
      </c>
      <c r="B1008" s="6">
        <f>((41.55/1000)/(Parameters!$B$4*Parameters!$B$10))</f>
        <v>1.3913235656056776E-2</v>
      </c>
      <c r="C1008" t="s">
        <v>255</v>
      </c>
      <c r="D1008" t="s">
        <v>8</v>
      </c>
      <c r="F1008" t="s">
        <v>20</v>
      </c>
      <c r="H1008" s="2" t="s">
        <v>256</v>
      </c>
    </row>
    <row r="1009" spans="1:9" ht="15.6" x14ac:dyDescent="0.3">
      <c r="A1009" s="2" t="s">
        <v>257</v>
      </c>
      <c r="B1009" s="6">
        <f>((20.77/1000)/(Parameters!$B$4*Parameters!$B$10))</f>
        <v>6.9549435517761559E-3</v>
      </c>
      <c r="C1009" t="s">
        <v>31</v>
      </c>
      <c r="D1009" t="s">
        <v>8</v>
      </c>
      <c r="F1009" t="s">
        <v>20</v>
      </c>
      <c r="H1009" s="2" t="s">
        <v>414</v>
      </c>
    </row>
    <row r="1010" spans="1:9" ht="15.6" x14ac:dyDescent="0.3">
      <c r="A1010" s="2" t="s">
        <v>370</v>
      </c>
      <c r="B1010" s="6">
        <f>((76.17/1000)/(Parameters!$B$4*Parameters!$B$10))</f>
        <v>2.5505924426518525E-2</v>
      </c>
      <c r="C1010" t="s">
        <v>31</v>
      </c>
      <c r="D1010" t="s">
        <v>8</v>
      </c>
      <c r="F1010" t="s">
        <v>20</v>
      </c>
      <c r="H1010" s="2" t="s">
        <v>371</v>
      </c>
    </row>
    <row r="1011" spans="1:9" ht="15.6" x14ac:dyDescent="0.3">
      <c r="A1011" s="2" t="s">
        <v>315</v>
      </c>
      <c r="B1011" s="6">
        <f>((106.73/1000)/(Parameters!$B$4*Parameters!$B$10))</f>
        <v>3.5739100880167025E-2</v>
      </c>
      <c r="C1011" t="s">
        <v>31</v>
      </c>
      <c r="D1011" t="s">
        <v>8</v>
      </c>
      <c r="F1011" t="s">
        <v>20</v>
      </c>
      <c r="G1011" t="s">
        <v>314</v>
      </c>
      <c r="H1011" s="2" t="s">
        <v>316</v>
      </c>
    </row>
    <row r="1012" spans="1:9" ht="15.6" x14ac:dyDescent="0.3">
      <c r="A1012" s="2" t="s">
        <v>384</v>
      </c>
      <c r="B1012" s="6">
        <f>((26.58/1000)/(Parameters!$B$4*Parameters!$B$10))</f>
        <v>8.9004525568709778E-3</v>
      </c>
      <c r="C1012" t="s">
        <v>26</v>
      </c>
      <c r="D1012" t="s">
        <v>8</v>
      </c>
      <c r="F1012" t="s">
        <v>20</v>
      </c>
      <c r="G1012" t="s">
        <v>386</v>
      </c>
      <c r="H1012" s="2" t="s">
        <v>385</v>
      </c>
    </row>
    <row r="1013" spans="1:9" ht="15.6" x14ac:dyDescent="0.3">
      <c r="A1013" s="2" t="s">
        <v>388</v>
      </c>
      <c r="B1013" s="6">
        <f>((117.72/1000)/(Parameters!$B$4*Parameters!$B$10))</f>
        <v>3.9419160082575302E-2</v>
      </c>
      <c r="C1013" t="s">
        <v>26</v>
      </c>
      <c r="D1013" t="s">
        <v>8</v>
      </c>
      <c r="F1013" t="s">
        <v>20</v>
      </c>
      <c r="G1013" t="s">
        <v>390</v>
      </c>
      <c r="H1013" s="2" t="s">
        <v>389</v>
      </c>
    </row>
    <row r="1014" spans="1:9" x14ac:dyDescent="0.3">
      <c r="A1014" t="s">
        <v>265</v>
      </c>
      <c r="B1014" s="6">
        <f>(B942*B1005)-Parameters!$B$13</f>
        <v>4.8490255327456744</v>
      </c>
      <c r="D1014" t="s">
        <v>8</v>
      </c>
      <c r="E1014" t="s">
        <v>37</v>
      </c>
      <c r="F1014" t="s">
        <v>36</v>
      </c>
      <c r="G1014" t="s">
        <v>428</v>
      </c>
    </row>
    <row r="1015" spans="1:9" x14ac:dyDescent="0.3">
      <c r="A1015" t="s">
        <v>306</v>
      </c>
      <c r="B1015" s="6">
        <f>1/(90000000*20)</f>
        <v>5.5555555555555553E-10</v>
      </c>
      <c r="C1015" t="s">
        <v>26</v>
      </c>
      <c r="D1015" t="s">
        <v>7</v>
      </c>
      <c r="F1015" t="s">
        <v>20</v>
      </c>
      <c r="G1015" t="s">
        <v>308</v>
      </c>
      <c r="H1015" t="s">
        <v>307</v>
      </c>
    </row>
    <row r="1016" spans="1:9" x14ac:dyDescent="0.3">
      <c r="A1016" s="36" t="s">
        <v>28</v>
      </c>
      <c r="B1016" s="37">
        <f>Parameters!G19/Parameters!B4*Parameters!B10*-1</f>
        <v>-0.50274302587613584</v>
      </c>
      <c r="C1016" t="s">
        <v>1051</v>
      </c>
      <c r="D1016" s="36" t="s">
        <v>29</v>
      </c>
      <c r="E1016" s="36"/>
      <c r="F1016" s="36" t="s">
        <v>20</v>
      </c>
      <c r="G1016" s="36" t="s">
        <v>505</v>
      </c>
      <c r="H1016" s="36" t="s">
        <v>30</v>
      </c>
      <c r="I1016" s="36"/>
    </row>
    <row r="1017" spans="1:9" ht="15.6" x14ac:dyDescent="0.3">
      <c r="A1017" s="2"/>
      <c r="H1017" s="2"/>
    </row>
    <row r="1018" spans="1:9" ht="15.6" x14ac:dyDescent="0.3">
      <c r="A1018" s="1" t="s">
        <v>1</v>
      </c>
      <c r="B1018" s="73" t="s">
        <v>419</v>
      </c>
    </row>
    <row r="1019" spans="1:9" x14ac:dyDescent="0.3">
      <c r="A1019" t="s">
        <v>2</v>
      </c>
      <c r="B1019" s="6" t="s">
        <v>1050</v>
      </c>
    </row>
    <row r="1020" spans="1:9" x14ac:dyDescent="0.3">
      <c r="A1020" t="s">
        <v>3</v>
      </c>
      <c r="B1020" s="6">
        <v>1</v>
      </c>
    </row>
    <row r="1021" spans="1:9" ht="15.6" x14ac:dyDescent="0.3">
      <c r="A1021" t="s">
        <v>4</v>
      </c>
      <c r="B1021" s="74" t="s">
        <v>337</v>
      </c>
    </row>
    <row r="1022" spans="1:9" x14ac:dyDescent="0.3">
      <c r="A1022" t="s">
        <v>5</v>
      </c>
      <c r="B1022" s="6" t="s">
        <v>6</v>
      </c>
    </row>
    <row r="1023" spans="1:9" x14ac:dyDescent="0.3">
      <c r="A1023" t="s">
        <v>7</v>
      </c>
      <c r="B1023" s="6" t="s">
        <v>8</v>
      </c>
    </row>
    <row r="1024" spans="1:9" x14ac:dyDescent="0.3">
      <c r="A1024" t="s">
        <v>9</v>
      </c>
      <c r="B1024" s="6" t="s">
        <v>393</v>
      </c>
    </row>
    <row r="1025" spans="1:10" x14ac:dyDescent="0.3">
      <c r="A1025" t="s">
        <v>11</v>
      </c>
      <c r="B1025" s="6" t="s">
        <v>362</v>
      </c>
    </row>
    <row r="1026" spans="1:10" ht="15.6" x14ac:dyDescent="0.3">
      <c r="A1026" s="1" t="s">
        <v>12</v>
      </c>
    </row>
    <row r="1027" spans="1:10" x14ac:dyDescent="0.3">
      <c r="A1027" t="s">
        <v>13</v>
      </c>
      <c r="B1027" s="6" t="s">
        <v>14</v>
      </c>
      <c r="C1027" t="s">
        <v>2</v>
      </c>
      <c r="D1027" t="s">
        <v>7</v>
      </c>
      <c r="E1027" t="s">
        <v>15</v>
      </c>
      <c r="F1027" t="s">
        <v>5</v>
      </c>
      <c r="G1027" t="s">
        <v>338</v>
      </c>
      <c r="H1027" t="s">
        <v>339</v>
      </c>
      <c r="I1027" t="s">
        <v>11</v>
      </c>
      <c r="J1027" t="s">
        <v>4</v>
      </c>
    </row>
    <row r="1028" spans="1:10" x14ac:dyDescent="0.3">
      <c r="A1028" s="36" t="s">
        <v>419</v>
      </c>
      <c r="B1028" s="37">
        <v>1</v>
      </c>
      <c r="C1028" t="s">
        <v>1050</v>
      </c>
      <c r="D1028" s="36" t="s">
        <v>8</v>
      </c>
      <c r="E1028" s="36"/>
      <c r="F1028" s="36" t="s">
        <v>17</v>
      </c>
      <c r="G1028" s="36"/>
      <c r="H1028" s="36"/>
      <c r="I1028" s="36" t="s">
        <v>18</v>
      </c>
      <c r="J1028" s="36" t="s">
        <v>337</v>
      </c>
    </row>
    <row r="1029" spans="1:10" ht="15.6" x14ac:dyDescent="0.3">
      <c r="A1029" s="2" t="s">
        <v>415</v>
      </c>
      <c r="B1029" s="6">
        <v>1.00057</v>
      </c>
      <c r="C1029" t="s">
        <v>1050</v>
      </c>
      <c r="D1029" t="s">
        <v>8</v>
      </c>
      <c r="F1029" s="36" t="s">
        <v>20</v>
      </c>
      <c r="G1029" t="s">
        <v>18</v>
      </c>
      <c r="I1029" s="36"/>
      <c r="J1029" s="2" t="s">
        <v>416</v>
      </c>
    </row>
    <row r="1030" spans="1:10" x14ac:dyDescent="0.3">
      <c r="A1030" s="36" t="s">
        <v>28</v>
      </c>
      <c r="B1030" s="37">
        <v>6.7000000000000002E-3</v>
      </c>
      <c r="C1030" t="s">
        <v>1051</v>
      </c>
      <c r="D1030" s="36" t="s">
        <v>29</v>
      </c>
      <c r="E1030" s="36"/>
      <c r="F1030" s="36" t="s">
        <v>20</v>
      </c>
      <c r="G1030" s="36"/>
      <c r="H1030" s="36"/>
      <c r="I1030" s="36"/>
      <c r="J1030" s="36" t="s">
        <v>30</v>
      </c>
    </row>
    <row r="1031" spans="1:10" x14ac:dyDescent="0.3">
      <c r="A1031" s="36" t="s">
        <v>340</v>
      </c>
      <c r="B1031" s="37">
        <v>-1.6799999999999999E-4</v>
      </c>
      <c r="C1031" s="36" t="s">
        <v>31</v>
      </c>
      <c r="D1031" s="36" t="s">
        <v>8</v>
      </c>
      <c r="E1031" s="36"/>
      <c r="F1031" s="36" t="s">
        <v>20</v>
      </c>
      <c r="G1031" s="36"/>
      <c r="H1031" s="36"/>
      <c r="I1031" s="36"/>
      <c r="J1031" s="36" t="s">
        <v>341</v>
      </c>
    </row>
    <row r="1032" spans="1:10" x14ac:dyDescent="0.3">
      <c r="A1032" s="36" t="s">
        <v>342</v>
      </c>
      <c r="B1032" s="37">
        <v>5.8399999999999999E-4</v>
      </c>
      <c r="C1032" s="36" t="s">
        <v>31</v>
      </c>
      <c r="D1032" s="36" t="s">
        <v>19</v>
      </c>
      <c r="E1032" s="36"/>
      <c r="F1032" s="36" t="s">
        <v>20</v>
      </c>
      <c r="G1032" s="36"/>
      <c r="H1032" s="36"/>
      <c r="I1032" s="36"/>
      <c r="J1032" s="36" t="s">
        <v>343</v>
      </c>
    </row>
    <row r="1033" spans="1:10" x14ac:dyDescent="0.3">
      <c r="A1033" s="36" t="s">
        <v>344</v>
      </c>
      <c r="B1033" s="37">
        <v>2.5999999999999998E-10</v>
      </c>
      <c r="C1033" s="36" t="s">
        <v>31</v>
      </c>
      <c r="D1033" s="36" t="s">
        <v>7</v>
      </c>
      <c r="E1033" s="36"/>
      <c r="F1033" s="36" t="s">
        <v>20</v>
      </c>
      <c r="G1033" s="36"/>
      <c r="H1033" s="36"/>
      <c r="I1033" s="36"/>
      <c r="J1033" s="36" t="s">
        <v>345</v>
      </c>
    </row>
    <row r="1034" spans="1:10" x14ac:dyDescent="0.3">
      <c r="A1034" s="36" t="s">
        <v>346</v>
      </c>
      <c r="B1034" s="37">
        <v>-6.2700000000000001E-6</v>
      </c>
      <c r="C1034" s="36" t="s">
        <v>31</v>
      </c>
      <c r="D1034" s="36" t="s">
        <v>8</v>
      </c>
      <c r="E1034" s="36"/>
      <c r="F1034" s="36" t="s">
        <v>20</v>
      </c>
      <c r="G1034" s="36"/>
      <c r="H1034" s="36"/>
      <c r="I1034" s="36"/>
      <c r="J1034" s="36" t="s">
        <v>347</v>
      </c>
    </row>
    <row r="1035" spans="1:10" x14ac:dyDescent="0.3">
      <c r="A1035" s="36" t="s">
        <v>348</v>
      </c>
      <c r="B1035" s="37">
        <v>-7.4999999999999993E-5</v>
      </c>
      <c r="C1035" s="36" t="s">
        <v>31</v>
      </c>
      <c r="D1035" s="36" t="s">
        <v>121</v>
      </c>
      <c r="E1035" s="36"/>
      <c r="F1035" s="36" t="s">
        <v>20</v>
      </c>
      <c r="G1035" s="36"/>
      <c r="H1035" s="36"/>
      <c r="I1035" s="36"/>
      <c r="J1035" s="36" t="s">
        <v>349</v>
      </c>
    </row>
    <row r="1036" spans="1:10" x14ac:dyDescent="0.3">
      <c r="A1036" s="36" t="s">
        <v>350</v>
      </c>
      <c r="B1036" s="37">
        <v>6.8900000000000005E-4</v>
      </c>
      <c r="C1036" s="36" t="s">
        <v>31</v>
      </c>
      <c r="D1036" s="36" t="s">
        <v>8</v>
      </c>
      <c r="E1036" s="36"/>
      <c r="F1036" s="36" t="s">
        <v>20</v>
      </c>
      <c r="G1036" s="36"/>
      <c r="H1036" s="36"/>
      <c r="I1036" s="36"/>
      <c r="J1036" s="36" t="s">
        <v>351</v>
      </c>
    </row>
    <row r="1037" spans="1:10" x14ac:dyDescent="0.3">
      <c r="A1037" s="36" t="s">
        <v>100</v>
      </c>
      <c r="B1037" s="37">
        <v>3.3599999999999998E-2</v>
      </c>
      <c r="C1037" s="36" t="s">
        <v>31</v>
      </c>
      <c r="D1037" s="36" t="s">
        <v>41</v>
      </c>
      <c r="E1037" s="36"/>
      <c r="F1037" s="36" t="s">
        <v>20</v>
      </c>
      <c r="G1037" s="36"/>
      <c r="H1037" s="36"/>
      <c r="I1037" s="36"/>
      <c r="J1037" s="36" t="s">
        <v>103</v>
      </c>
    </row>
    <row r="1038" spans="1:10" x14ac:dyDescent="0.3">
      <c r="A1038" s="36" t="s">
        <v>352</v>
      </c>
      <c r="B1038" s="37">
        <v>3.2599999999999997E-2</v>
      </c>
      <c r="C1038" s="36" t="s">
        <v>581</v>
      </c>
      <c r="D1038" s="36" t="s">
        <v>41</v>
      </c>
      <c r="E1038" s="36"/>
      <c r="F1038" s="36" t="s">
        <v>20</v>
      </c>
      <c r="G1038" s="36"/>
      <c r="H1038" s="36"/>
      <c r="I1038" s="36"/>
      <c r="J1038" s="36" t="s">
        <v>353</v>
      </c>
    </row>
    <row r="1039" spans="1:10" x14ac:dyDescent="0.3">
      <c r="A1039" s="36" t="s">
        <v>354</v>
      </c>
      <c r="B1039" s="37">
        <v>-6.8899999999999999E-7</v>
      </c>
      <c r="C1039" s="36" t="s">
        <v>31</v>
      </c>
      <c r="D1039" s="36" t="s">
        <v>121</v>
      </c>
      <c r="E1039" s="36"/>
      <c r="F1039" s="36" t="s">
        <v>20</v>
      </c>
      <c r="G1039" s="36"/>
      <c r="H1039" s="36"/>
      <c r="I1039" s="36"/>
      <c r="J1039" s="36" t="s">
        <v>355</v>
      </c>
    </row>
    <row r="1041" spans="1:10" ht="15.6" x14ac:dyDescent="0.3">
      <c r="A1041" s="1" t="s">
        <v>1</v>
      </c>
      <c r="B1041" s="73" t="s">
        <v>420</v>
      </c>
    </row>
    <row r="1042" spans="1:10" x14ac:dyDescent="0.3">
      <c r="A1042" t="s">
        <v>2</v>
      </c>
      <c r="B1042" s="6" t="s">
        <v>1050</v>
      </c>
    </row>
    <row r="1043" spans="1:10" x14ac:dyDescent="0.3">
      <c r="A1043" t="s">
        <v>3</v>
      </c>
      <c r="B1043" s="6">
        <v>1</v>
      </c>
    </row>
    <row r="1044" spans="1:10" ht="15.6" x14ac:dyDescent="0.3">
      <c r="A1044" t="s">
        <v>4</v>
      </c>
      <c r="B1044" s="74" t="s">
        <v>337</v>
      </c>
    </row>
    <row r="1045" spans="1:10" x14ac:dyDescent="0.3">
      <c r="A1045" t="s">
        <v>5</v>
      </c>
      <c r="B1045" s="6" t="s">
        <v>6</v>
      </c>
    </row>
    <row r="1046" spans="1:10" x14ac:dyDescent="0.3">
      <c r="A1046" t="s">
        <v>7</v>
      </c>
      <c r="B1046" s="6" t="s">
        <v>8</v>
      </c>
    </row>
    <row r="1047" spans="1:10" x14ac:dyDescent="0.3">
      <c r="A1047" t="s">
        <v>9</v>
      </c>
      <c r="B1047" s="6" t="s">
        <v>393</v>
      </c>
    </row>
    <row r="1048" spans="1:10" x14ac:dyDescent="0.3">
      <c r="A1048" t="s">
        <v>11</v>
      </c>
      <c r="B1048" s="6" t="s">
        <v>361</v>
      </c>
    </row>
    <row r="1049" spans="1:10" ht="15.6" x14ac:dyDescent="0.3">
      <c r="A1049" s="1" t="s">
        <v>12</v>
      </c>
    </row>
    <row r="1050" spans="1:10" x14ac:dyDescent="0.3">
      <c r="A1050" t="s">
        <v>13</v>
      </c>
      <c r="B1050" s="6" t="s">
        <v>14</v>
      </c>
      <c r="C1050" t="s">
        <v>2</v>
      </c>
      <c r="D1050" t="s">
        <v>7</v>
      </c>
      <c r="E1050" t="s">
        <v>15</v>
      </c>
      <c r="F1050" t="s">
        <v>5</v>
      </c>
      <c r="G1050" t="s">
        <v>338</v>
      </c>
      <c r="H1050" t="s">
        <v>339</v>
      </c>
      <c r="I1050" t="s">
        <v>11</v>
      </c>
      <c r="J1050" t="s">
        <v>4</v>
      </c>
    </row>
    <row r="1051" spans="1:10" x14ac:dyDescent="0.3">
      <c r="A1051" s="36" t="s">
        <v>420</v>
      </c>
      <c r="B1051" s="37">
        <v>1</v>
      </c>
      <c r="C1051" t="s">
        <v>1050</v>
      </c>
      <c r="D1051" s="36" t="s">
        <v>8</v>
      </c>
      <c r="E1051" s="36"/>
      <c r="F1051" s="36" t="s">
        <v>17</v>
      </c>
      <c r="G1051" s="36"/>
      <c r="H1051" s="36"/>
      <c r="I1051" s="36" t="s">
        <v>18</v>
      </c>
      <c r="J1051" s="36" t="s">
        <v>337</v>
      </c>
    </row>
    <row r="1052" spans="1:10" ht="15.6" x14ac:dyDescent="0.3">
      <c r="A1052" s="2" t="s">
        <v>418</v>
      </c>
      <c r="B1052" s="6">
        <v>1.00057</v>
      </c>
      <c r="C1052" t="s">
        <v>1050</v>
      </c>
      <c r="D1052" t="s">
        <v>8</v>
      </c>
      <c r="F1052" s="36" t="s">
        <v>20</v>
      </c>
      <c r="G1052" t="s">
        <v>18</v>
      </c>
      <c r="I1052" s="36"/>
      <c r="J1052" s="2" t="s">
        <v>416</v>
      </c>
    </row>
    <row r="1053" spans="1:10" x14ac:dyDescent="0.3">
      <c r="A1053" s="36" t="s">
        <v>28</v>
      </c>
      <c r="B1053" s="37">
        <v>6.7000000000000002E-3</v>
      </c>
      <c r="C1053" t="s">
        <v>1051</v>
      </c>
      <c r="D1053" s="36" t="s">
        <v>29</v>
      </c>
      <c r="E1053" s="36"/>
      <c r="F1053" s="36" t="s">
        <v>20</v>
      </c>
      <c r="G1053" s="36"/>
      <c r="H1053" s="36"/>
      <c r="I1053" s="36"/>
      <c r="J1053" s="36" t="s">
        <v>30</v>
      </c>
    </row>
    <row r="1054" spans="1:10" x14ac:dyDescent="0.3">
      <c r="A1054" s="36" t="s">
        <v>340</v>
      </c>
      <c r="B1054" s="37">
        <v>-1.6799999999999999E-4</v>
      </c>
      <c r="C1054" s="36" t="s">
        <v>31</v>
      </c>
      <c r="D1054" s="36" t="s">
        <v>8</v>
      </c>
      <c r="E1054" s="36"/>
      <c r="F1054" s="36" t="s">
        <v>20</v>
      </c>
      <c r="G1054" s="36"/>
      <c r="H1054" s="36"/>
      <c r="I1054" s="36"/>
      <c r="J1054" s="36" t="s">
        <v>341</v>
      </c>
    </row>
    <row r="1055" spans="1:10" x14ac:dyDescent="0.3">
      <c r="A1055" s="36" t="s">
        <v>342</v>
      </c>
      <c r="B1055" s="37">
        <v>5.8399999999999999E-4</v>
      </c>
      <c r="C1055" s="36" t="s">
        <v>31</v>
      </c>
      <c r="D1055" s="36" t="s">
        <v>19</v>
      </c>
      <c r="E1055" s="36"/>
      <c r="F1055" s="36" t="s">
        <v>20</v>
      </c>
      <c r="G1055" s="36"/>
      <c r="H1055" s="36"/>
      <c r="I1055" s="36"/>
      <c r="J1055" s="36" t="s">
        <v>343</v>
      </c>
    </row>
    <row r="1056" spans="1:10" x14ac:dyDescent="0.3">
      <c r="A1056" s="36" t="s">
        <v>344</v>
      </c>
      <c r="B1056" s="37">
        <v>2.5999999999999998E-10</v>
      </c>
      <c r="C1056" s="36" t="s">
        <v>31</v>
      </c>
      <c r="D1056" s="36" t="s">
        <v>7</v>
      </c>
      <c r="E1056" s="36"/>
      <c r="F1056" s="36" t="s">
        <v>20</v>
      </c>
      <c r="G1056" s="36"/>
      <c r="H1056" s="36"/>
      <c r="I1056" s="36"/>
      <c r="J1056" s="36" t="s">
        <v>345</v>
      </c>
    </row>
    <row r="1057" spans="1:10" x14ac:dyDescent="0.3">
      <c r="A1057" s="36" t="s">
        <v>346</v>
      </c>
      <c r="B1057" s="37">
        <v>-6.2700000000000001E-6</v>
      </c>
      <c r="C1057" s="36" t="s">
        <v>31</v>
      </c>
      <c r="D1057" s="36" t="s">
        <v>8</v>
      </c>
      <c r="E1057" s="36"/>
      <c r="F1057" s="36" t="s">
        <v>20</v>
      </c>
      <c r="G1057" s="36"/>
      <c r="H1057" s="36"/>
      <c r="I1057" s="36"/>
      <c r="J1057" s="36" t="s">
        <v>347</v>
      </c>
    </row>
    <row r="1058" spans="1:10" x14ac:dyDescent="0.3">
      <c r="A1058" s="36" t="s">
        <v>348</v>
      </c>
      <c r="B1058" s="37">
        <v>-7.4999999999999993E-5</v>
      </c>
      <c r="C1058" s="36" t="s">
        <v>31</v>
      </c>
      <c r="D1058" s="36" t="s">
        <v>121</v>
      </c>
      <c r="E1058" s="36"/>
      <c r="F1058" s="36" t="s">
        <v>20</v>
      </c>
      <c r="G1058" s="36"/>
      <c r="H1058" s="36"/>
      <c r="I1058" s="36"/>
      <c r="J1058" s="36" t="s">
        <v>349</v>
      </c>
    </row>
    <row r="1059" spans="1:10" x14ac:dyDescent="0.3">
      <c r="A1059" s="36" t="s">
        <v>350</v>
      </c>
      <c r="B1059" s="37">
        <v>6.8900000000000005E-4</v>
      </c>
      <c r="C1059" s="36" t="s">
        <v>31</v>
      </c>
      <c r="D1059" s="36" t="s">
        <v>8</v>
      </c>
      <c r="E1059" s="36"/>
      <c r="F1059" s="36" t="s">
        <v>20</v>
      </c>
      <c r="G1059" s="36"/>
      <c r="H1059" s="36"/>
      <c r="I1059" s="36"/>
      <c r="J1059" s="36" t="s">
        <v>351</v>
      </c>
    </row>
    <row r="1060" spans="1:10" x14ac:dyDescent="0.3">
      <c r="A1060" s="36" t="s">
        <v>100</v>
      </c>
      <c r="B1060" s="37">
        <v>3.3599999999999998E-2</v>
      </c>
      <c r="C1060" s="36" t="s">
        <v>31</v>
      </c>
      <c r="D1060" s="36" t="s">
        <v>41</v>
      </c>
      <c r="E1060" s="36"/>
      <c r="F1060" s="36" t="s">
        <v>20</v>
      </c>
      <c r="G1060" s="36"/>
      <c r="H1060" s="36"/>
      <c r="I1060" s="36"/>
      <c r="J1060" s="36" t="s">
        <v>103</v>
      </c>
    </row>
    <row r="1061" spans="1:10" x14ac:dyDescent="0.3">
      <c r="A1061" s="36" t="s">
        <v>352</v>
      </c>
      <c r="B1061" s="37">
        <v>3.2599999999999997E-2</v>
      </c>
      <c r="C1061" s="36" t="s">
        <v>581</v>
      </c>
      <c r="D1061" s="36" t="s">
        <v>41</v>
      </c>
      <c r="E1061" s="36"/>
      <c r="F1061" s="36" t="s">
        <v>20</v>
      </c>
      <c r="G1061" s="36"/>
      <c r="H1061" s="36"/>
      <c r="I1061" s="36"/>
      <c r="J1061" s="36" t="s">
        <v>353</v>
      </c>
    </row>
    <row r="1062" spans="1:10" x14ac:dyDescent="0.3">
      <c r="A1062" s="36" t="s">
        <v>354</v>
      </c>
      <c r="B1062" s="37">
        <v>-6.8899999999999999E-7</v>
      </c>
      <c r="C1062" s="36" t="s">
        <v>31</v>
      </c>
      <c r="D1062" s="36" t="s">
        <v>121</v>
      </c>
      <c r="E1062" s="36"/>
      <c r="F1062" s="36" t="s">
        <v>20</v>
      </c>
      <c r="G1062" s="36"/>
      <c r="H1062" s="36"/>
      <c r="I1062" s="36"/>
      <c r="J1062" s="36" t="s">
        <v>355</v>
      </c>
    </row>
    <row r="1063" spans="1:10" x14ac:dyDescent="0.3">
      <c r="A1063" s="36"/>
      <c r="B1063" s="37"/>
      <c r="C1063" s="36"/>
      <c r="D1063" s="36"/>
      <c r="E1063" s="36"/>
      <c r="F1063" s="36"/>
      <c r="G1063" s="36"/>
      <c r="H1063" s="36"/>
      <c r="I1063" s="36"/>
      <c r="J1063" s="36"/>
    </row>
    <row r="1064" spans="1:10" ht="15.6" x14ac:dyDescent="0.3">
      <c r="A1064" s="1" t="s">
        <v>1</v>
      </c>
      <c r="B1064" s="73" t="s">
        <v>517</v>
      </c>
    </row>
    <row r="1065" spans="1:10" x14ac:dyDescent="0.3">
      <c r="A1065" t="s">
        <v>2</v>
      </c>
      <c r="B1065" s="6" t="s">
        <v>1050</v>
      </c>
    </row>
    <row r="1066" spans="1:10" x14ac:dyDescent="0.3">
      <c r="A1066" t="s">
        <v>3</v>
      </c>
      <c r="B1066" s="6">
        <v>1</v>
      </c>
    </row>
    <row r="1067" spans="1:10" ht="15.6" x14ac:dyDescent="0.3">
      <c r="A1067" t="s">
        <v>4</v>
      </c>
      <c r="B1067" s="74" t="s">
        <v>337</v>
      </c>
    </row>
    <row r="1068" spans="1:10" x14ac:dyDescent="0.3">
      <c r="A1068" t="s">
        <v>5</v>
      </c>
      <c r="B1068" s="6" t="s">
        <v>6</v>
      </c>
    </row>
    <row r="1069" spans="1:10" x14ac:dyDescent="0.3">
      <c r="A1069" t="s">
        <v>7</v>
      </c>
      <c r="B1069" s="6" t="s">
        <v>8</v>
      </c>
    </row>
    <row r="1070" spans="1:10" x14ac:dyDescent="0.3">
      <c r="A1070" t="s">
        <v>9</v>
      </c>
      <c r="B1070" s="6" t="s">
        <v>393</v>
      </c>
    </row>
    <row r="1071" spans="1:10" x14ac:dyDescent="0.3">
      <c r="A1071" t="s">
        <v>11</v>
      </c>
      <c r="B1071" s="6" t="s">
        <v>507</v>
      </c>
    </row>
    <row r="1072" spans="1:10" ht="15.6" x14ac:dyDescent="0.3">
      <c r="A1072" s="1" t="s">
        <v>12</v>
      </c>
    </row>
    <row r="1073" spans="1:10" x14ac:dyDescent="0.3">
      <c r="A1073" t="s">
        <v>13</v>
      </c>
      <c r="B1073" s="6" t="s">
        <v>14</v>
      </c>
      <c r="C1073" t="s">
        <v>2</v>
      </c>
      <c r="D1073" t="s">
        <v>7</v>
      </c>
      <c r="E1073" t="s">
        <v>15</v>
      </c>
      <c r="F1073" t="s">
        <v>5</v>
      </c>
      <c r="G1073" t="s">
        <v>338</v>
      </c>
      <c r="H1073" t="s">
        <v>339</v>
      </c>
      <c r="I1073" t="s">
        <v>11</v>
      </c>
      <c r="J1073" t="s">
        <v>4</v>
      </c>
    </row>
    <row r="1074" spans="1:10" x14ac:dyDescent="0.3">
      <c r="A1074" s="36" t="s">
        <v>517</v>
      </c>
      <c r="B1074" s="37">
        <v>1</v>
      </c>
      <c r="C1074" t="s">
        <v>1050</v>
      </c>
      <c r="D1074" s="36" t="s">
        <v>8</v>
      </c>
      <c r="E1074" s="36"/>
      <c r="F1074" s="36" t="s">
        <v>17</v>
      </c>
      <c r="G1074" s="36"/>
      <c r="H1074" s="36"/>
      <c r="I1074" s="36" t="s">
        <v>18</v>
      </c>
      <c r="J1074" s="36" t="s">
        <v>337</v>
      </c>
    </row>
    <row r="1075" spans="1:10" ht="15.6" x14ac:dyDescent="0.3">
      <c r="A1075" s="2" t="s">
        <v>516</v>
      </c>
      <c r="B1075" s="6">
        <v>1.00057</v>
      </c>
      <c r="C1075" t="s">
        <v>1050</v>
      </c>
      <c r="D1075" t="s">
        <v>8</v>
      </c>
      <c r="F1075" s="36" t="s">
        <v>20</v>
      </c>
      <c r="G1075" t="s">
        <v>18</v>
      </c>
      <c r="I1075" s="36"/>
      <c r="J1075" s="2" t="s">
        <v>416</v>
      </c>
    </row>
    <row r="1076" spans="1:10" x14ac:dyDescent="0.3">
      <c r="A1076" s="36" t="s">
        <v>28</v>
      </c>
      <c r="B1076" s="37">
        <v>6.7000000000000002E-3</v>
      </c>
      <c r="C1076" t="s">
        <v>1051</v>
      </c>
      <c r="D1076" s="36" t="s">
        <v>29</v>
      </c>
      <c r="E1076" s="36"/>
      <c r="F1076" s="36" t="s">
        <v>20</v>
      </c>
      <c r="G1076" s="36"/>
      <c r="H1076" s="36"/>
      <c r="I1076" s="36"/>
      <c r="J1076" s="36" t="s">
        <v>30</v>
      </c>
    </row>
    <row r="1077" spans="1:10" x14ac:dyDescent="0.3">
      <c r="A1077" s="36" t="s">
        <v>340</v>
      </c>
      <c r="B1077" s="37">
        <v>-1.6799999999999999E-4</v>
      </c>
      <c r="C1077" s="36" t="s">
        <v>31</v>
      </c>
      <c r="D1077" s="36" t="s">
        <v>8</v>
      </c>
      <c r="E1077" s="36"/>
      <c r="F1077" s="36" t="s">
        <v>20</v>
      </c>
      <c r="G1077" s="36"/>
      <c r="H1077" s="36"/>
      <c r="I1077" s="36"/>
      <c r="J1077" s="36" t="s">
        <v>341</v>
      </c>
    </row>
    <row r="1078" spans="1:10" x14ac:dyDescent="0.3">
      <c r="A1078" s="36" t="s">
        <v>342</v>
      </c>
      <c r="B1078" s="37">
        <v>5.8399999999999999E-4</v>
      </c>
      <c r="C1078" s="36" t="s">
        <v>31</v>
      </c>
      <c r="D1078" s="36" t="s">
        <v>19</v>
      </c>
      <c r="E1078" s="36"/>
      <c r="F1078" s="36" t="s">
        <v>20</v>
      </c>
      <c r="G1078" s="36"/>
      <c r="H1078" s="36"/>
      <c r="I1078" s="36"/>
      <c r="J1078" s="36" t="s">
        <v>343</v>
      </c>
    </row>
    <row r="1079" spans="1:10" x14ac:dyDescent="0.3">
      <c r="A1079" s="36" t="s">
        <v>344</v>
      </c>
      <c r="B1079" s="37">
        <v>2.5999999999999998E-10</v>
      </c>
      <c r="C1079" s="36" t="s">
        <v>31</v>
      </c>
      <c r="D1079" s="36" t="s">
        <v>7</v>
      </c>
      <c r="E1079" s="36"/>
      <c r="F1079" s="36" t="s">
        <v>20</v>
      </c>
      <c r="G1079" s="36"/>
      <c r="H1079" s="36"/>
      <c r="I1079" s="36"/>
      <c r="J1079" s="36" t="s">
        <v>345</v>
      </c>
    </row>
    <row r="1080" spans="1:10" x14ac:dyDescent="0.3">
      <c r="A1080" s="36" t="s">
        <v>346</v>
      </c>
      <c r="B1080" s="37">
        <v>-6.2700000000000001E-6</v>
      </c>
      <c r="C1080" s="36" t="s">
        <v>31</v>
      </c>
      <c r="D1080" s="36" t="s">
        <v>8</v>
      </c>
      <c r="E1080" s="36"/>
      <c r="F1080" s="36" t="s">
        <v>20</v>
      </c>
      <c r="G1080" s="36"/>
      <c r="H1080" s="36"/>
      <c r="I1080" s="36"/>
      <c r="J1080" s="36" t="s">
        <v>347</v>
      </c>
    </row>
    <row r="1081" spans="1:10" x14ac:dyDescent="0.3">
      <c r="A1081" s="36" t="s">
        <v>348</v>
      </c>
      <c r="B1081" s="37">
        <v>-7.4999999999999993E-5</v>
      </c>
      <c r="C1081" s="36" t="s">
        <v>31</v>
      </c>
      <c r="D1081" s="36" t="s">
        <v>121</v>
      </c>
      <c r="E1081" s="36"/>
      <c r="F1081" s="36" t="s">
        <v>20</v>
      </c>
      <c r="G1081" s="36"/>
      <c r="H1081" s="36"/>
      <c r="I1081" s="36"/>
      <c r="J1081" s="36" t="s">
        <v>349</v>
      </c>
    </row>
    <row r="1082" spans="1:10" x14ac:dyDescent="0.3">
      <c r="A1082" s="36" t="s">
        <v>350</v>
      </c>
      <c r="B1082" s="37">
        <v>6.8900000000000005E-4</v>
      </c>
      <c r="C1082" s="36" t="s">
        <v>31</v>
      </c>
      <c r="D1082" s="36" t="s">
        <v>8</v>
      </c>
      <c r="E1082" s="36"/>
      <c r="F1082" s="36" t="s">
        <v>20</v>
      </c>
      <c r="G1082" s="36"/>
      <c r="H1082" s="36"/>
      <c r="I1082" s="36"/>
      <c r="J1082" s="36" t="s">
        <v>351</v>
      </c>
    </row>
    <row r="1083" spans="1:10" x14ac:dyDescent="0.3">
      <c r="A1083" s="36" t="s">
        <v>100</v>
      </c>
      <c r="B1083" s="37">
        <v>3.3599999999999998E-2</v>
      </c>
      <c r="C1083" s="36" t="s">
        <v>31</v>
      </c>
      <c r="D1083" s="36" t="s">
        <v>41</v>
      </c>
      <c r="E1083" s="36"/>
      <c r="F1083" s="36" t="s">
        <v>20</v>
      </c>
      <c r="G1083" s="36"/>
      <c r="H1083" s="36"/>
      <c r="I1083" s="36"/>
      <c r="J1083" s="36" t="s">
        <v>103</v>
      </c>
    </row>
    <row r="1084" spans="1:10" x14ac:dyDescent="0.3">
      <c r="A1084" s="36" t="s">
        <v>352</v>
      </c>
      <c r="B1084" s="37">
        <v>3.2599999999999997E-2</v>
      </c>
      <c r="C1084" s="36" t="s">
        <v>581</v>
      </c>
      <c r="D1084" s="36" t="s">
        <v>41</v>
      </c>
      <c r="E1084" s="36"/>
      <c r="F1084" s="36" t="s">
        <v>20</v>
      </c>
      <c r="G1084" s="36"/>
      <c r="H1084" s="36"/>
      <c r="I1084" s="36"/>
      <c r="J1084" s="36" t="s">
        <v>353</v>
      </c>
    </row>
    <row r="1085" spans="1:10" x14ac:dyDescent="0.3">
      <c r="A1085" s="36" t="s">
        <v>354</v>
      </c>
      <c r="B1085" s="37">
        <v>-6.8899999999999999E-7</v>
      </c>
      <c r="C1085" s="36" t="s">
        <v>31</v>
      </c>
      <c r="D1085" s="36" t="s">
        <v>121</v>
      </c>
      <c r="E1085" s="36"/>
      <c r="F1085" s="36" t="s">
        <v>20</v>
      </c>
      <c r="G1085" s="36"/>
      <c r="H1085" s="36"/>
      <c r="I1085" s="36"/>
      <c r="J1085" s="36" t="s">
        <v>355</v>
      </c>
    </row>
    <row r="1087" spans="1:10" ht="15.6" x14ac:dyDescent="0.3">
      <c r="A1087" s="1" t="s">
        <v>1</v>
      </c>
      <c r="B1087" s="73" t="s">
        <v>76</v>
      </c>
    </row>
    <row r="1088" spans="1:10" x14ac:dyDescent="0.3">
      <c r="A1088" t="s">
        <v>2</v>
      </c>
      <c r="B1088" s="6" t="s">
        <v>1050</v>
      </c>
    </row>
    <row r="1089" spans="1:8" x14ac:dyDescent="0.3">
      <c r="A1089" t="s">
        <v>3</v>
      </c>
      <c r="B1089" s="6">
        <v>1</v>
      </c>
    </row>
    <row r="1090" spans="1:8" ht="15.6" x14ac:dyDescent="0.3">
      <c r="A1090" t="s">
        <v>4</v>
      </c>
      <c r="B1090" s="74" t="s">
        <v>77</v>
      </c>
    </row>
    <row r="1091" spans="1:8" x14ac:dyDescent="0.3">
      <c r="A1091" t="s">
        <v>5</v>
      </c>
      <c r="B1091" s="6" t="s">
        <v>6</v>
      </c>
    </row>
    <row r="1092" spans="1:8" x14ac:dyDescent="0.3">
      <c r="A1092" t="s">
        <v>7</v>
      </c>
      <c r="B1092" s="6" t="s">
        <v>8</v>
      </c>
    </row>
    <row r="1093" spans="1:8" x14ac:dyDescent="0.3">
      <c r="A1093" t="s">
        <v>9</v>
      </c>
      <c r="B1093" s="6" t="s">
        <v>10</v>
      </c>
    </row>
    <row r="1094" spans="1:8" x14ac:dyDescent="0.3">
      <c r="A1094" t="s">
        <v>11</v>
      </c>
      <c r="B1094" s="6" t="s">
        <v>363</v>
      </c>
    </row>
    <row r="1095" spans="1:8" x14ac:dyDescent="0.3">
      <c r="A1095" t="s">
        <v>850</v>
      </c>
      <c r="B1095" s="5">
        <f>Summary!R12</f>
        <v>13.063460875088559</v>
      </c>
    </row>
    <row r="1096" spans="1:8" x14ac:dyDescent="0.3">
      <c r="A1096" t="s">
        <v>856</v>
      </c>
      <c r="B1096" s="78">
        <f>Summary!Q12</f>
        <v>0.75</v>
      </c>
    </row>
    <row r="1097" spans="1:8" ht="15.6" x14ac:dyDescent="0.3">
      <c r="A1097" s="1" t="s">
        <v>12</v>
      </c>
    </row>
    <row r="1098" spans="1:8" x14ac:dyDescent="0.3">
      <c r="A1098" t="s">
        <v>13</v>
      </c>
      <c r="B1098" s="6" t="s">
        <v>14</v>
      </c>
      <c r="C1098" t="s">
        <v>2</v>
      </c>
      <c r="D1098" t="s">
        <v>7</v>
      </c>
      <c r="E1098" t="s">
        <v>15</v>
      </c>
      <c r="F1098" t="s">
        <v>5</v>
      </c>
      <c r="G1098" t="s">
        <v>11</v>
      </c>
      <c r="H1098" t="s">
        <v>4</v>
      </c>
    </row>
    <row r="1099" spans="1:8" ht="15.6" x14ac:dyDescent="0.3">
      <c r="A1099" s="2" t="s">
        <v>76</v>
      </c>
      <c r="B1099" s="6">
        <v>1</v>
      </c>
      <c r="C1099" t="s">
        <v>1050</v>
      </c>
      <c r="D1099" t="s">
        <v>8</v>
      </c>
      <c r="F1099" t="s">
        <v>17</v>
      </c>
      <c r="G1099" t="s">
        <v>18</v>
      </c>
      <c r="H1099" s="2" t="s">
        <v>77</v>
      </c>
    </row>
    <row r="1100" spans="1:8" x14ac:dyDescent="0.3">
      <c r="A1100" t="s">
        <v>22</v>
      </c>
      <c r="B1100" s="6">
        <f>36385*Parameters!$B$3/1000</f>
        <v>3.8388208921499994E-2</v>
      </c>
      <c r="C1100" t="s">
        <v>26</v>
      </c>
      <c r="D1100" t="s">
        <v>19</v>
      </c>
      <c r="F1100" t="s">
        <v>20</v>
      </c>
      <c r="G1100" t="s">
        <v>79</v>
      </c>
      <c r="H1100" t="s">
        <v>23</v>
      </c>
    </row>
    <row r="1101" spans="1:8" x14ac:dyDescent="0.3">
      <c r="A1101" t="s">
        <v>78</v>
      </c>
      <c r="B1101" s="6">
        <f>11685*Parameters!$B$3/1000</f>
        <v>1.2328328191499999E-2</v>
      </c>
      <c r="C1101" t="s">
        <v>26</v>
      </c>
      <c r="D1101" t="s">
        <v>19</v>
      </c>
      <c r="F1101" t="s">
        <v>20</v>
      </c>
      <c r="G1101" t="s">
        <v>80</v>
      </c>
      <c r="H1101" t="s">
        <v>78</v>
      </c>
    </row>
    <row r="1102" spans="1:8" x14ac:dyDescent="0.3">
      <c r="A1102" t="s">
        <v>81</v>
      </c>
      <c r="B1102" s="6">
        <f>(20425+17860)*Parameters!$B$3/1000</f>
        <v>4.0392815131500004E-2</v>
      </c>
      <c r="C1102" t="s">
        <v>26</v>
      </c>
      <c r="D1102" t="s">
        <v>19</v>
      </c>
      <c r="F1102" t="s">
        <v>20</v>
      </c>
      <c r="G1102" t="s">
        <v>83</v>
      </c>
      <c r="H1102" t="s">
        <v>82</v>
      </c>
    </row>
    <row r="1103" spans="1:8" x14ac:dyDescent="0.3">
      <c r="A1103" t="s">
        <v>28</v>
      </c>
      <c r="B1103" s="6">
        <f>8550*Parameters!$B$3/1000/3.6</f>
        <v>2.5057577624999997E-3</v>
      </c>
      <c r="C1103" t="s">
        <v>1051</v>
      </c>
      <c r="D1103" t="s">
        <v>29</v>
      </c>
      <c r="F1103" t="s">
        <v>20</v>
      </c>
      <c r="H1103" t="s">
        <v>30</v>
      </c>
    </row>
    <row r="1104" spans="1:8" x14ac:dyDescent="0.3">
      <c r="A1104" t="s">
        <v>352</v>
      </c>
      <c r="B1104" s="6">
        <f>12*Parameters!$B$7/1000</f>
        <v>1.932E-2</v>
      </c>
      <c r="C1104" t="s">
        <v>581</v>
      </c>
      <c r="D1104" t="s">
        <v>41</v>
      </c>
      <c r="F1104" t="s">
        <v>20</v>
      </c>
      <c r="G1104" t="s">
        <v>84</v>
      </c>
      <c r="H1104" t="s">
        <v>353</v>
      </c>
    </row>
    <row r="1105" spans="1:8" x14ac:dyDescent="0.3">
      <c r="A1105" t="s">
        <v>42</v>
      </c>
      <c r="B1105" s="6">
        <f>0.9796/1000</f>
        <v>9.7959999999999996E-4</v>
      </c>
      <c r="C1105" t="s">
        <v>1051</v>
      </c>
      <c r="D1105" t="s">
        <v>8</v>
      </c>
      <c r="F1105" t="s">
        <v>20</v>
      </c>
      <c r="H1105" t="s">
        <v>43</v>
      </c>
    </row>
    <row r="1106" spans="1:8" x14ac:dyDescent="0.3">
      <c r="A1106" t="s">
        <v>44</v>
      </c>
      <c r="B1106" s="6">
        <f>0.3237/1000</f>
        <v>3.2370000000000001E-4</v>
      </c>
      <c r="C1106" t="s">
        <v>1051</v>
      </c>
      <c r="D1106" t="s">
        <v>8</v>
      </c>
      <c r="F1106" t="s">
        <v>20</v>
      </c>
      <c r="H1106" t="s">
        <v>45</v>
      </c>
    </row>
    <row r="1107" spans="1:8" x14ac:dyDescent="0.3">
      <c r="A1107" t="s">
        <v>46</v>
      </c>
      <c r="B1107" s="6">
        <f>1.508/1000</f>
        <v>1.508E-3</v>
      </c>
      <c r="C1107" t="s">
        <v>1051</v>
      </c>
      <c r="D1107" t="s">
        <v>8</v>
      </c>
      <c r="F1107" t="s">
        <v>20</v>
      </c>
      <c r="H1107" t="s">
        <v>47</v>
      </c>
    </row>
    <row r="1108" spans="1:8" x14ac:dyDescent="0.3">
      <c r="A1108" s="7" t="s">
        <v>48</v>
      </c>
      <c r="B1108" s="6">
        <f>5.2/1000</f>
        <v>5.1999999999999998E-3</v>
      </c>
      <c r="C1108" t="s">
        <v>26</v>
      </c>
      <c r="D1108" t="s">
        <v>8</v>
      </c>
      <c r="F1108" t="s">
        <v>20</v>
      </c>
      <c r="H1108" s="7" t="s">
        <v>49</v>
      </c>
    </row>
    <row r="1109" spans="1:8" x14ac:dyDescent="0.3">
      <c r="A1109" t="s">
        <v>105</v>
      </c>
      <c r="B1109" s="6">
        <f>2.5*1.14/1000/1000</f>
        <v>2.8499999999999998E-6</v>
      </c>
      <c r="C1109" t="s">
        <v>26</v>
      </c>
      <c r="D1109" t="s">
        <v>8</v>
      </c>
      <c r="F1109" t="s">
        <v>20</v>
      </c>
      <c r="G1109" t="s">
        <v>52</v>
      </c>
      <c r="H1109" t="s">
        <v>106</v>
      </c>
    </row>
    <row r="1110" spans="1:8" x14ac:dyDescent="0.3">
      <c r="A1110" t="s">
        <v>50</v>
      </c>
      <c r="B1110" s="6">
        <f>45*1.14/1000/1000</f>
        <v>5.13E-5</v>
      </c>
      <c r="C1110" t="s">
        <v>26</v>
      </c>
      <c r="D1110" t="s">
        <v>8</v>
      </c>
      <c r="F1110" t="s">
        <v>20</v>
      </c>
      <c r="G1110" t="s">
        <v>51</v>
      </c>
      <c r="H1110" t="s">
        <v>53</v>
      </c>
    </row>
    <row r="1111" spans="1:8" x14ac:dyDescent="0.3">
      <c r="A1111" t="s">
        <v>54</v>
      </c>
      <c r="B1111" s="6">
        <f>0.744/1000*Parameters!$B$6</f>
        <v>3.3747839999999997E-4</v>
      </c>
      <c r="C1111" t="s">
        <v>26</v>
      </c>
      <c r="D1111" t="s">
        <v>8</v>
      </c>
      <c r="F1111" t="s">
        <v>20</v>
      </c>
      <c r="G1111" t="s">
        <v>56</v>
      </c>
      <c r="H1111" t="s">
        <v>55</v>
      </c>
    </row>
    <row r="1112" spans="1:8" x14ac:dyDescent="0.3">
      <c r="A1112" t="s">
        <v>120</v>
      </c>
      <c r="B1112" s="6">
        <v>4.2599999999999999E-2</v>
      </c>
      <c r="C1112" t="s">
        <v>1051</v>
      </c>
      <c r="D1112" t="s">
        <v>121</v>
      </c>
      <c r="F1112" t="s">
        <v>20</v>
      </c>
      <c r="G1112" t="s">
        <v>125</v>
      </c>
      <c r="H1112" t="s">
        <v>122</v>
      </c>
    </row>
    <row r="1113" spans="1:8" x14ac:dyDescent="0.3">
      <c r="A1113" t="s">
        <v>325</v>
      </c>
      <c r="B1113" s="6">
        <f>(0.754+1.126)/1000</f>
        <v>1.8799999999999999E-3</v>
      </c>
      <c r="D1113" t="s">
        <v>8</v>
      </c>
      <c r="E1113" t="s">
        <v>37</v>
      </c>
      <c r="F1113" t="s">
        <v>36</v>
      </c>
      <c r="G1113" t="s">
        <v>1006</v>
      </c>
    </row>
    <row r="1114" spans="1:8" x14ac:dyDescent="0.3">
      <c r="A1114" t="s">
        <v>994</v>
      </c>
      <c r="B1114" s="6">
        <f>29.38/1000000</f>
        <v>2.938E-5</v>
      </c>
      <c r="D1114" t="s">
        <v>8</v>
      </c>
      <c r="E1114" t="s">
        <v>37</v>
      </c>
      <c r="F1114" t="s">
        <v>36</v>
      </c>
      <c r="G1114" t="s">
        <v>1007</v>
      </c>
    </row>
    <row r="1115" spans="1:8" x14ac:dyDescent="0.3">
      <c r="A1115" t="s">
        <v>40</v>
      </c>
      <c r="B1115" s="6">
        <f>33.33/1000000</f>
        <v>3.3330000000000001E-5</v>
      </c>
      <c r="D1115" t="s">
        <v>8</v>
      </c>
      <c r="E1115" t="s">
        <v>37</v>
      </c>
      <c r="F1115" t="s">
        <v>36</v>
      </c>
      <c r="G1115" t="s">
        <v>1008</v>
      </c>
    </row>
    <row r="1116" spans="1:8" x14ac:dyDescent="0.3">
      <c r="A1116" t="s">
        <v>158</v>
      </c>
      <c r="B1116" s="6">
        <v>2.3126999999999999E-6</v>
      </c>
      <c r="D1116" t="s">
        <v>8</v>
      </c>
      <c r="E1116" t="s">
        <v>170</v>
      </c>
      <c r="F1116" t="s">
        <v>36</v>
      </c>
      <c r="G1116" t="s">
        <v>365</v>
      </c>
    </row>
    <row r="1117" spans="1:8" x14ac:dyDescent="0.3">
      <c r="A1117" t="s">
        <v>189</v>
      </c>
      <c r="B1117" s="6">
        <v>3.5645999999999997E-5</v>
      </c>
      <c r="D1117" t="s">
        <v>8</v>
      </c>
      <c r="E1117" t="s">
        <v>170</v>
      </c>
      <c r="F1117" t="s">
        <v>36</v>
      </c>
      <c r="G1117" t="s">
        <v>365</v>
      </c>
    </row>
    <row r="1118" spans="1:8" x14ac:dyDescent="0.3">
      <c r="A1118" t="s">
        <v>127</v>
      </c>
      <c r="B1118" s="6">
        <v>2.48605E-4</v>
      </c>
      <c r="D1118" t="s">
        <v>8</v>
      </c>
      <c r="E1118" t="s">
        <v>169</v>
      </c>
      <c r="F1118" t="s">
        <v>36</v>
      </c>
      <c r="G1118" t="s">
        <v>365</v>
      </c>
    </row>
    <row r="1119" spans="1:8" x14ac:dyDescent="0.3">
      <c r="A1119" t="s">
        <v>190</v>
      </c>
      <c r="B1119" s="6">
        <v>2.5372999999999998E-6</v>
      </c>
      <c r="D1119" t="s">
        <v>8</v>
      </c>
      <c r="E1119" t="s">
        <v>170</v>
      </c>
      <c r="F1119" t="s">
        <v>36</v>
      </c>
      <c r="G1119" t="s">
        <v>365</v>
      </c>
    </row>
    <row r="1120" spans="1:8" x14ac:dyDescent="0.3">
      <c r="A1120" t="s">
        <v>150</v>
      </c>
      <c r="B1120" s="6">
        <v>9.3513999999999999E-6</v>
      </c>
      <c r="D1120" t="s">
        <v>8</v>
      </c>
      <c r="E1120" t="s">
        <v>170</v>
      </c>
      <c r="F1120" t="s">
        <v>36</v>
      </c>
      <c r="G1120" t="s">
        <v>365</v>
      </c>
    </row>
    <row r="1121" spans="1:7" x14ac:dyDescent="0.3">
      <c r="A1121" t="s">
        <v>148</v>
      </c>
      <c r="B1121" s="6">
        <v>2.8088E-8</v>
      </c>
      <c r="D1121" t="s">
        <v>8</v>
      </c>
      <c r="E1121" t="s">
        <v>170</v>
      </c>
      <c r="F1121" t="s">
        <v>36</v>
      </c>
      <c r="G1121" t="s">
        <v>365</v>
      </c>
    </row>
    <row r="1122" spans="1:7" x14ac:dyDescent="0.3">
      <c r="A1122" t="s">
        <v>265</v>
      </c>
      <c r="B1122" s="6">
        <v>7.1538421000000005E-2</v>
      </c>
      <c r="D1122" t="s">
        <v>8</v>
      </c>
      <c r="E1122" t="s">
        <v>169</v>
      </c>
      <c r="F1122" t="s">
        <v>36</v>
      </c>
      <c r="G1122" t="s">
        <v>365</v>
      </c>
    </row>
    <row r="1123" spans="1:7" x14ac:dyDescent="0.3">
      <c r="A1123" t="s">
        <v>1046</v>
      </c>
      <c r="B1123" s="6">
        <v>0.44</v>
      </c>
      <c r="D1123" t="s">
        <v>8</v>
      </c>
      <c r="E1123" t="s">
        <v>1047</v>
      </c>
      <c r="F1123" t="s">
        <v>36</v>
      </c>
      <c r="G1123" t="s">
        <v>477</v>
      </c>
    </row>
    <row r="1124" spans="1:7" x14ac:dyDescent="0.3">
      <c r="A1124" t="s">
        <v>191</v>
      </c>
      <c r="B1124" s="6">
        <v>0.03</v>
      </c>
      <c r="D1124" t="s">
        <v>8</v>
      </c>
      <c r="E1124" t="s">
        <v>197</v>
      </c>
      <c r="F1124" t="s">
        <v>36</v>
      </c>
      <c r="G1124" t="s">
        <v>365</v>
      </c>
    </row>
    <row r="1125" spans="1:7" x14ac:dyDescent="0.3">
      <c r="A1125" t="s">
        <v>145</v>
      </c>
      <c r="B1125" s="6">
        <v>2.1009E-7</v>
      </c>
      <c r="D1125" t="s">
        <v>8</v>
      </c>
      <c r="E1125" t="s">
        <v>170</v>
      </c>
      <c r="F1125" t="s">
        <v>36</v>
      </c>
      <c r="G1125" t="s">
        <v>365</v>
      </c>
    </row>
    <row r="1126" spans="1:7" x14ac:dyDescent="0.3">
      <c r="A1126" t="s">
        <v>132</v>
      </c>
      <c r="B1126" s="6">
        <v>1.3009E-7</v>
      </c>
      <c r="D1126" t="s">
        <v>8</v>
      </c>
      <c r="E1126" t="s">
        <v>170</v>
      </c>
      <c r="F1126" t="s">
        <v>36</v>
      </c>
      <c r="G1126" t="s">
        <v>365</v>
      </c>
    </row>
    <row r="1127" spans="1:7" x14ac:dyDescent="0.3">
      <c r="A1127" t="s">
        <v>108</v>
      </c>
      <c r="B1127" s="6">
        <v>4.9478001594543501</v>
      </c>
      <c r="D1127" t="s">
        <v>19</v>
      </c>
      <c r="E1127" t="s">
        <v>112</v>
      </c>
      <c r="F1127" t="s">
        <v>36</v>
      </c>
      <c r="G1127" t="s">
        <v>365</v>
      </c>
    </row>
    <row r="1128" spans="1:7" x14ac:dyDescent="0.3">
      <c r="A1128" t="s">
        <v>155</v>
      </c>
      <c r="B1128" s="6">
        <v>3.3181999999999998E-6</v>
      </c>
      <c r="D1128" t="s">
        <v>8</v>
      </c>
      <c r="E1128" t="s">
        <v>170</v>
      </c>
      <c r="F1128" t="s">
        <v>36</v>
      </c>
      <c r="G1128" t="s">
        <v>365</v>
      </c>
    </row>
    <row r="1129" spans="1:7" x14ac:dyDescent="0.3">
      <c r="A1129" t="s">
        <v>168</v>
      </c>
      <c r="B1129" s="6">
        <v>2.1526999999999999E-7</v>
      </c>
      <c r="D1129" t="s">
        <v>8</v>
      </c>
      <c r="E1129" t="s">
        <v>170</v>
      </c>
      <c r="F1129" t="s">
        <v>36</v>
      </c>
      <c r="G1129" t="s">
        <v>365</v>
      </c>
    </row>
    <row r="1130" spans="1:7" x14ac:dyDescent="0.3">
      <c r="A1130" t="s">
        <v>192</v>
      </c>
      <c r="B1130" s="6">
        <v>7.7928999999999995E-6</v>
      </c>
      <c r="D1130" t="s">
        <v>8</v>
      </c>
      <c r="E1130" t="s">
        <v>170</v>
      </c>
      <c r="F1130" t="s">
        <v>36</v>
      </c>
      <c r="G1130" t="s">
        <v>365</v>
      </c>
    </row>
    <row r="1131" spans="1:7" x14ac:dyDescent="0.3">
      <c r="A1131" t="s">
        <v>193</v>
      </c>
      <c r="B1131" s="6">
        <v>2.8600000000000001E-4</v>
      </c>
      <c r="D1131" t="s">
        <v>8</v>
      </c>
      <c r="E1131" t="s">
        <v>197</v>
      </c>
      <c r="F1131" t="s">
        <v>36</v>
      </c>
      <c r="G1131" t="s">
        <v>365</v>
      </c>
    </row>
    <row r="1132" spans="1:7" x14ac:dyDescent="0.3">
      <c r="A1132" t="s">
        <v>138</v>
      </c>
      <c r="B1132" s="6">
        <v>1.0490000000000001E-7</v>
      </c>
      <c r="D1132" t="s">
        <v>8</v>
      </c>
      <c r="E1132" t="s">
        <v>170</v>
      </c>
      <c r="F1132" t="s">
        <v>36</v>
      </c>
      <c r="G1132" t="s">
        <v>365</v>
      </c>
    </row>
    <row r="1133" spans="1:7" x14ac:dyDescent="0.3">
      <c r="A1133" t="s">
        <v>172</v>
      </c>
      <c r="B1133" s="6">
        <v>1.7521259999999999E-3</v>
      </c>
      <c r="D1133" t="s">
        <v>8</v>
      </c>
      <c r="E1133" t="s">
        <v>179</v>
      </c>
      <c r="F1133" t="s">
        <v>36</v>
      </c>
      <c r="G1133" t="s">
        <v>365</v>
      </c>
    </row>
    <row r="1134" spans="1:7" x14ac:dyDescent="0.3">
      <c r="A1134" t="s">
        <v>38</v>
      </c>
      <c r="B1134" s="6">
        <v>4.4222639999999998E-6</v>
      </c>
      <c r="D1134" t="s">
        <v>8</v>
      </c>
      <c r="E1134" t="s">
        <v>169</v>
      </c>
      <c r="F1134" t="s">
        <v>36</v>
      </c>
      <c r="G1134" t="s">
        <v>365</v>
      </c>
    </row>
    <row r="1135" spans="1:7" x14ac:dyDescent="0.3">
      <c r="A1135" t="s">
        <v>194</v>
      </c>
      <c r="B1135" s="6">
        <v>0.13575000000000001</v>
      </c>
      <c r="D1135" t="s">
        <v>113</v>
      </c>
      <c r="E1135" t="s">
        <v>114</v>
      </c>
      <c r="F1135" t="s">
        <v>36</v>
      </c>
      <c r="G1135" t="s">
        <v>365</v>
      </c>
    </row>
    <row r="1136" spans="1:7" x14ac:dyDescent="0.3">
      <c r="A1136" t="s">
        <v>39</v>
      </c>
      <c r="B1136" s="6">
        <v>3.0000000000000001E-3</v>
      </c>
      <c r="D1136" t="s">
        <v>8</v>
      </c>
      <c r="E1136" t="s">
        <v>197</v>
      </c>
      <c r="F1136" t="s">
        <v>36</v>
      </c>
      <c r="G1136" t="s">
        <v>365</v>
      </c>
    </row>
    <row r="1137" spans="1:7" x14ac:dyDescent="0.3">
      <c r="A1137" t="s">
        <v>173</v>
      </c>
      <c r="B1137" s="6">
        <v>3.0072000000000002E-6</v>
      </c>
      <c r="D1137" t="s">
        <v>8</v>
      </c>
      <c r="E1137" t="s">
        <v>171</v>
      </c>
      <c r="F1137" t="s">
        <v>36</v>
      </c>
      <c r="G1137" t="s">
        <v>365</v>
      </c>
    </row>
    <row r="1138" spans="1:7" x14ac:dyDescent="0.3">
      <c r="A1138" t="s">
        <v>173</v>
      </c>
      <c r="B1138" s="6">
        <v>1.0557999999999999E-6</v>
      </c>
      <c r="D1138" t="s">
        <v>8</v>
      </c>
      <c r="E1138" t="s">
        <v>179</v>
      </c>
      <c r="F1138" t="s">
        <v>36</v>
      </c>
      <c r="G1138" t="s">
        <v>365</v>
      </c>
    </row>
    <row r="1139" spans="1:7" x14ac:dyDescent="0.3">
      <c r="A1139" t="s">
        <v>195</v>
      </c>
      <c r="B1139" s="6">
        <v>0.15082999999999999</v>
      </c>
      <c r="D1139" t="s">
        <v>115</v>
      </c>
      <c r="E1139" t="s">
        <v>114</v>
      </c>
      <c r="F1139" t="s">
        <v>36</v>
      </c>
      <c r="G1139" t="s">
        <v>365</v>
      </c>
    </row>
    <row r="1140" spans="1:7" x14ac:dyDescent="0.3">
      <c r="A1140" t="s">
        <v>196</v>
      </c>
      <c r="B1140" s="6">
        <v>0.15082999999999999</v>
      </c>
      <c r="D1140" t="s">
        <v>115</v>
      </c>
      <c r="E1140" t="s">
        <v>114</v>
      </c>
      <c r="F1140" t="s">
        <v>36</v>
      </c>
      <c r="G1140" t="s">
        <v>365</v>
      </c>
    </row>
    <row r="1141" spans="1:7" x14ac:dyDescent="0.3">
      <c r="A1141" t="s">
        <v>126</v>
      </c>
      <c r="B1141" s="6">
        <v>1.40841069805568E-2</v>
      </c>
      <c r="D1141" t="s">
        <v>121</v>
      </c>
      <c r="E1141" t="s">
        <v>179</v>
      </c>
      <c r="F1141" t="s">
        <v>36</v>
      </c>
      <c r="G1141" t="s">
        <v>365</v>
      </c>
    </row>
    <row r="1142" spans="1:7" x14ac:dyDescent="0.3">
      <c r="A1142" t="s">
        <v>126</v>
      </c>
      <c r="B1142" s="6">
        <v>2.5020866274303999E-2</v>
      </c>
      <c r="D1142" t="s">
        <v>121</v>
      </c>
      <c r="E1142" t="s">
        <v>37</v>
      </c>
      <c r="F1142" t="s">
        <v>36</v>
      </c>
      <c r="G1142" t="s">
        <v>365</v>
      </c>
    </row>
    <row r="1143" spans="1:7" x14ac:dyDescent="0.3">
      <c r="A1143" t="s">
        <v>126</v>
      </c>
      <c r="B1143" s="6">
        <v>3.5210267451392099E-3</v>
      </c>
      <c r="D1143" t="s">
        <v>121</v>
      </c>
      <c r="E1143" t="s">
        <v>171</v>
      </c>
      <c r="F1143" t="s">
        <v>36</v>
      </c>
      <c r="G1143" t="s">
        <v>365</v>
      </c>
    </row>
    <row r="1144" spans="1:7" x14ac:dyDescent="0.3">
      <c r="A1144" t="s">
        <v>142</v>
      </c>
      <c r="B1144" s="6">
        <v>2.1604999999999999E-6</v>
      </c>
      <c r="D1144" t="s">
        <v>8</v>
      </c>
      <c r="E1144" t="s">
        <v>170</v>
      </c>
      <c r="F1144" t="s">
        <v>36</v>
      </c>
      <c r="G1144" t="s">
        <v>365</v>
      </c>
    </row>
    <row r="1146" spans="1:7" ht="15.6" x14ac:dyDescent="0.3">
      <c r="A1146" s="1" t="s">
        <v>1</v>
      </c>
      <c r="B1146" s="73" t="s">
        <v>287</v>
      </c>
    </row>
    <row r="1147" spans="1:7" x14ac:dyDescent="0.3">
      <c r="A1147" t="s">
        <v>2</v>
      </c>
      <c r="B1147" s="6" t="s">
        <v>1050</v>
      </c>
    </row>
    <row r="1148" spans="1:7" x14ac:dyDescent="0.3">
      <c r="A1148" t="s">
        <v>3</v>
      </c>
      <c r="B1148" s="6">
        <v>1</v>
      </c>
    </row>
    <row r="1149" spans="1:7" ht="15.6" x14ac:dyDescent="0.3">
      <c r="A1149" t="s">
        <v>4</v>
      </c>
      <c r="B1149" s="74" t="s">
        <v>286</v>
      </c>
    </row>
    <row r="1150" spans="1:7" x14ac:dyDescent="0.3">
      <c r="A1150" t="s">
        <v>5</v>
      </c>
      <c r="B1150" s="6" t="s">
        <v>6</v>
      </c>
    </row>
    <row r="1151" spans="1:7" x14ac:dyDescent="0.3">
      <c r="A1151" t="s">
        <v>7</v>
      </c>
      <c r="B1151" s="6" t="s">
        <v>8</v>
      </c>
    </row>
    <row r="1152" spans="1:7" x14ac:dyDescent="0.3">
      <c r="A1152" t="s">
        <v>9</v>
      </c>
      <c r="B1152" s="6" t="s">
        <v>10</v>
      </c>
    </row>
    <row r="1153" spans="1:8" x14ac:dyDescent="0.3">
      <c r="A1153" t="s">
        <v>11</v>
      </c>
      <c r="B1153" s="6" t="s">
        <v>230</v>
      </c>
    </row>
    <row r="1154" spans="1:8" x14ac:dyDescent="0.3">
      <c r="A1154" t="s">
        <v>497</v>
      </c>
      <c r="B1154" s="72">
        <f>Summary!O97</f>
        <v>0.76211402907387182</v>
      </c>
    </row>
    <row r="1155" spans="1:8" ht="15.6" x14ac:dyDescent="0.3">
      <c r="A1155" s="1" t="s">
        <v>12</v>
      </c>
    </row>
    <row r="1156" spans="1:8" x14ac:dyDescent="0.3">
      <c r="A1156" t="s">
        <v>13</v>
      </c>
      <c r="B1156" s="6" t="s">
        <v>14</v>
      </c>
      <c r="C1156" t="s">
        <v>2</v>
      </c>
      <c r="D1156" t="s">
        <v>7</v>
      </c>
      <c r="E1156" t="s">
        <v>15</v>
      </c>
      <c r="F1156" t="s">
        <v>5</v>
      </c>
      <c r="G1156" t="s">
        <v>11</v>
      </c>
      <c r="H1156" t="s">
        <v>4</v>
      </c>
    </row>
    <row r="1157" spans="1:8" ht="15.6" x14ac:dyDescent="0.3">
      <c r="A1157" s="2" t="s">
        <v>287</v>
      </c>
      <c r="B1157" s="6">
        <v>1</v>
      </c>
      <c r="C1157" t="s">
        <v>1050</v>
      </c>
      <c r="D1157" t="s">
        <v>8</v>
      </c>
      <c r="F1157" t="s">
        <v>17</v>
      </c>
      <c r="G1157" t="s">
        <v>18</v>
      </c>
      <c r="H1157" s="2" t="s">
        <v>286</v>
      </c>
    </row>
    <row r="1158" spans="1:8" ht="15.6" x14ac:dyDescent="0.3">
      <c r="A1158" s="2" t="s">
        <v>76</v>
      </c>
      <c r="B1158" s="6">
        <f>(1/((Parameters!$C$39*Parameters!$B$4*Parameters!$B$10)/1000))*Parameters!F47</f>
        <v>11.932686628537386</v>
      </c>
      <c r="C1158" t="s">
        <v>1050</v>
      </c>
      <c r="D1158" t="s">
        <v>8</v>
      </c>
      <c r="F1158" t="s">
        <v>20</v>
      </c>
      <c r="G1158" t="s">
        <v>18</v>
      </c>
      <c r="H1158" s="2" t="s">
        <v>409</v>
      </c>
    </row>
    <row r="1159" spans="1:8" ht="15.6" x14ac:dyDescent="0.3">
      <c r="A1159" s="2" t="s">
        <v>221</v>
      </c>
      <c r="B1159" s="6">
        <f>(300*Parameters!$B$3)/(Parameters!$B$4*Parameters!$B$10)*Parameters!F47</f>
        <v>8.0825562182458455E-2</v>
      </c>
      <c r="C1159" t="s">
        <v>26</v>
      </c>
      <c r="D1159" t="s">
        <v>19</v>
      </c>
      <c r="F1159" t="s">
        <v>20</v>
      </c>
      <c r="G1159" t="s">
        <v>412</v>
      </c>
      <c r="H1159" s="2" t="s">
        <v>222</v>
      </c>
    </row>
    <row r="1160" spans="1:8" x14ac:dyDescent="0.3">
      <c r="A1160" t="s">
        <v>214</v>
      </c>
      <c r="B1160" s="6">
        <f>((41.1/1000)/(Parameters!$B$4*Parameters!$B$10))*Parameters!$F$47</f>
        <v>1.0495275197263775E-2</v>
      </c>
      <c r="C1160" t="s">
        <v>31</v>
      </c>
      <c r="D1160" t="s">
        <v>8</v>
      </c>
      <c r="F1160" t="s">
        <v>20</v>
      </c>
      <c r="G1160" t="s">
        <v>413</v>
      </c>
      <c r="H1160" t="s">
        <v>215</v>
      </c>
    </row>
    <row r="1161" spans="1:8" x14ac:dyDescent="0.3">
      <c r="A1161" t="s">
        <v>265</v>
      </c>
      <c r="B1161" s="6">
        <f>(B1123*B1158)-Parameters!$B$13</f>
        <v>3.3363821165564502</v>
      </c>
      <c r="D1161" t="s">
        <v>8</v>
      </c>
      <c r="E1161" t="s">
        <v>37</v>
      </c>
      <c r="F1161" t="s">
        <v>36</v>
      </c>
      <c r="G1161" t="s">
        <v>428</v>
      </c>
    </row>
    <row r="1162" spans="1:8" x14ac:dyDescent="0.3">
      <c r="A1162" t="s">
        <v>306</v>
      </c>
      <c r="B1162" s="6">
        <f>1/(90000000*20)</f>
        <v>5.5555555555555553E-10</v>
      </c>
      <c r="C1162" t="s">
        <v>26</v>
      </c>
      <c r="D1162" t="s">
        <v>7</v>
      </c>
      <c r="F1162" t="s">
        <v>20</v>
      </c>
      <c r="G1162" t="s">
        <v>308</v>
      </c>
      <c r="H1162" t="s">
        <v>307</v>
      </c>
    </row>
    <row r="1163" spans="1:8" ht="15.6" x14ac:dyDescent="0.3">
      <c r="A1163" s="2"/>
      <c r="H1163" s="2"/>
    </row>
    <row r="1164" spans="1:8" ht="15.6" x14ac:dyDescent="0.3">
      <c r="A1164" s="1" t="s">
        <v>1</v>
      </c>
      <c r="B1164" s="73" t="s">
        <v>301</v>
      </c>
    </row>
    <row r="1165" spans="1:8" x14ac:dyDescent="0.3">
      <c r="A1165" t="s">
        <v>2</v>
      </c>
      <c r="B1165" s="6" t="s">
        <v>1050</v>
      </c>
    </row>
    <row r="1166" spans="1:8" x14ac:dyDescent="0.3">
      <c r="A1166" t="s">
        <v>3</v>
      </c>
      <c r="B1166" s="6">
        <v>1</v>
      </c>
    </row>
    <row r="1167" spans="1:8" ht="15.6" x14ac:dyDescent="0.3">
      <c r="A1167" t="s">
        <v>4</v>
      </c>
      <c r="B1167" s="74" t="s">
        <v>286</v>
      </c>
    </row>
    <row r="1168" spans="1:8" x14ac:dyDescent="0.3">
      <c r="A1168" t="s">
        <v>5</v>
      </c>
      <c r="B1168" s="6" t="s">
        <v>6</v>
      </c>
    </row>
    <row r="1169" spans="1:8" x14ac:dyDescent="0.3">
      <c r="A1169" t="s">
        <v>7</v>
      </c>
      <c r="B1169" s="6" t="s">
        <v>8</v>
      </c>
    </row>
    <row r="1170" spans="1:8" x14ac:dyDescent="0.3">
      <c r="A1170" t="s">
        <v>9</v>
      </c>
      <c r="B1170" s="6" t="s">
        <v>10</v>
      </c>
    </row>
    <row r="1171" spans="1:8" x14ac:dyDescent="0.3">
      <c r="A1171" t="s">
        <v>11</v>
      </c>
      <c r="B1171" s="6" t="s">
        <v>373</v>
      </c>
    </row>
    <row r="1172" spans="1:8" x14ac:dyDescent="0.3">
      <c r="A1172" t="s">
        <v>497</v>
      </c>
      <c r="B1172" s="72">
        <f>Summary!O40</f>
        <v>0.66386666976879583</v>
      </c>
    </row>
    <row r="1173" spans="1:8" ht="15.6" x14ac:dyDescent="0.3">
      <c r="A1173" s="1" t="s">
        <v>12</v>
      </c>
    </row>
    <row r="1174" spans="1:8" x14ac:dyDescent="0.3">
      <c r="A1174" t="s">
        <v>13</v>
      </c>
      <c r="B1174" s="6" t="s">
        <v>14</v>
      </c>
      <c r="C1174" t="s">
        <v>2</v>
      </c>
      <c r="D1174" t="s">
        <v>7</v>
      </c>
      <c r="E1174" t="s">
        <v>15</v>
      </c>
      <c r="F1174" t="s">
        <v>5</v>
      </c>
      <c r="G1174" t="s">
        <v>11</v>
      </c>
      <c r="H1174" t="s">
        <v>4</v>
      </c>
    </row>
    <row r="1175" spans="1:8" ht="15.6" x14ac:dyDescent="0.3">
      <c r="A1175" s="2" t="s">
        <v>301</v>
      </c>
      <c r="B1175" s="6">
        <v>1</v>
      </c>
      <c r="C1175" t="s">
        <v>1050</v>
      </c>
      <c r="D1175" t="s">
        <v>8</v>
      </c>
      <c r="F1175" t="s">
        <v>17</v>
      </c>
      <c r="G1175" t="s">
        <v>18</v>
      </c>
      <c r="H1175" s="2" t="s">
        <v>286</v>
      </c>
    </row>
    <row r="1176" spans="1:8" ht="15.6" x14ac:dyDescent="0.3">
      <c r="A1176" s="2" t="s">
        <v>76</v>
      </c>
      <c r="B1176" s="6">
        <f>(1/((Parameters!$C$39*Parameters!$B$4*Parameters!$B$10)/1000))*Parameters!G47</f>
        <v>13.698636033825473</v>
      </c>
      <c r="C1176" t="s">
        <v>1050</v>
      </c>
      <c r="D1176" t="s">
        <v>8</v>
      </c>
      <c r="F1176" t="s">
        <v>20</v>
      </c>
      <c r="G1176" t="s">
        <v>18</v>
      </c>
      <c r="H1176" s="2" t="s">
        <v>409</v>
      </c>
    </row>
    <row r="1177" spans="1:8" ht="15.6" x14ac:dyDescent="0.3">
      <c r="A1177" s="2" t="s">
        <v>221</v>
      </c>
      <c r="B1177" s="6">
        <f>(300*Parameters!$B$3)/(Parameters!$B$4*Parameters!$B$10)*Parameters!G47</f>
        <v>9.2787147859805866E-2</v>
      </c>
      <c r="C1177" t="s">
        <v>26</v>
      </c>
      <c r="D1177" t="s">
        <v>19</v>
      </c>
      <c r="F1177" t="s">
        <v>20</v>
      </c>
      <c r="G1177" t="s">
        <v>412</v>
      </c>
      <c r="H1177" s="2" t="s">
        <v>222</v>
      </c>
    </row>
    <row r="1178" spans="1:8" x14ac:dyDescent="0.3">
      <c r="A1178" t="s">
        <v>214</v>
      </c>
      <c r="B1178" s="6">
        <f>((41.1/1000)/(Parameters!$B$4*Parameters!$B$10))*Parameters!$G$47</f>
        <v>1.2048498337190858E-2</v>
      </c>
      <c r="C1178" t="s">
        <v>31</v>
      </c>
      <c r="D1178" t="s">
        <v>8</v>
      </c>
      <c r="F1178" t="s">
        <v>20</v>
      </c>
      <c r="G1178" t="s">
        <v>413</v>
      </c>
      <c r="H1178" t="s">
        <v>215</v>
      </c>
    </row>
    <row r="1179" spans="1:8" x14ac:dyDescent="0.3">
      <c r="A1179" t="s">
        <v>265</v>
      </c>
      <c r="B1179" s="6">
        <f>(B1123*B1176)-Parameters!$B$13</f>
        <v>4.113399854883208</v>
      </c>
      <c r="D1179" t="s">
        <v>8</v>
      </c>
      <c r="E1179" t="s">
        <v>37</v>
      </c>
      <c r="F1179" t="s">
        <v>36</v>
      </c>
      <c r="G1179" t="s">
        <v>428</v>
      </c>
    </row>
    <row r="1180" spans="1:8" x14ac:dyDescent="0.3">
      <c r="A1180" t="s">
        <v>306</v>
      </c>
      <c r="B1180" s="6">
        <f>1/(90000000*20)</f>
        <v>5.5555555555555553E-10</v>
      </c>
      <c r="C1180" t="s">
        <v>26</v>
      </c>
      <c r="D1180" t="s">
        <v>7</v>
      </c>
      <c r="F1180" t="s">
        <v>20</v>
      </c>
      <c r="G1180" t="s">
        <v>308</v>
      </c>
      <c r="H1180" t="s">
        <v>307</v>
      </c>
    </row>
    <row r="1181" spans="1:8" ht="15.6" x14ac:dyDescent="0.3">
      <c r="A1181" s="2"/>
      <c r="H1181" s="2"/>
    </row>
    <row r="1182" spans="1:8" ht="15.6" x14ac:dyDescent="0.3">
      <c r="A1182" s="1" t="s">
        <v>1</v>
      </c>
      <c r="B1182" s="73" t="s">
        <v>518</v>
      </c>
    </row>
    <row r="1183" spans="1:8" x14ac:dyDescent="0.3">
      <c r="A1183" t="s">
        <v>2</v>
      </c>
      <c r="B1183" s="6" t="s">
        <v>1050</v>
      </c>
    </row>
    <row r="1184" spans="1:8" x14ac:dyDescent="0.3">
      <c r="A1184" t="s">
        <v>3</v>
      </c>
      <c r="B1184" s="6">
        <v>1</v>
      </c>
    </row>
    <row r="1185" spans="1:9" ht="15.6" x14ac:dyDescent="0.3">
      <c r="A1185" t="s">
        <v>4</v>
      </c>
      <c r="B1185" s="74" t="s">
        <v>286</v>
      </c>
    </row>
    <row r="1186" spans="1:9" x14ac:dyDescent="0.3">
      <c r="A1186" t="s">
        <v>5</v>
      </c>
      <c r="B1186" s="6" t="s">
        <v>6</v>
      </c>
    </row>
    <row r="1187" spans="1:9" x14ac:dyDescent="0.3">
      <c r="A1187" t="s">
        <v>7</v>
      </c>
      <c r="B1187" s="6" t="s">
        <v>8</v>
      </c>
    </row>
    <row r="1188" spans="1:9" x14ac:dyDescent="0.3">
      <c r="A1188" t="s">
        <v>9</v>
      </c>
      <c r="B1188" s="6" t="s">
        <v>10</v>
      </c>
    </row>
    <row r="1189" spans="1:9" x14ac:dyDescent="0.3">
      <c r="A1189" t="s">
        <v>11</v>
      </c>
      <c r="B1189" s="6" t="s">
        <v>504</v>
      </c>
    </row>
    <row r="1190" spans="1:9" x14ac:dyDescent="0.3">
      <c r="A1190" t="s">
        <v>497</v>
      </c>
      <c r="B1190" s="72">
        <f>Summary!O135</f>
        <v>0.5811856091886165</v>
      </c>
    </row>
    <row r="1191" spans="1:9" ht="15.6" x14ac:dyDescent="0.3">
      <c r="A1191" s="1" t="s">
        <v>12</v>
      </c>
    </row>
    <row r="1192" spans="1:9" x14ac:dyDescent="0.3">
      <c r="A1192" t="s">
        <v>13</v>
      </c>
      <c r="B1192" s="6" t="s">
        <v>14</v>
      </c>
      <c r="C1192" t="s">
        <v>2</v>
      </c>
      <c r="D1192" t="s">
        <v>7</v>
      </c>
      <c r="E1192" t="s">
        <v>15</v>
      </c>
      <c r="F1192" t="s">
        <v>5</v>
      </c>
      <c r="G1192" t="s">
        <v>11</v>
      </c>
      <c r="H1192" t="s">
        <v>4</v>
      </c>
    </row>
    <row r="1193" spans="1:9" ht="15.6" x14ac:dyDescent="0.3">
      <c r="A1193" s="2" t="s">
        <v>518</v>
      </c>
      <c r="B1193" s="6">
        <v>1</v>
      </c>
      <c r="C1193" t="s">
        <v>1050</v>
      </c>
      <c r="D1193" t="s">
        <v>8</v>
      </c>
      <c r="F1193" t="s">
        <v>17</v>
      </c>
      <c r="G1193" t="s">
        <v>18</v>
      </c>
      <c r="H1193" s="2" t="s">
        <v>286</v>
      </c>
    </row>
    <row r="1194" spans="1:9" ht="15.6" x14ac:dyDescent="0.3">
      <c r="A1194" s="2" t="s">
        <v>76</v>
      </c>
      <c r="B1194" s="6">
        <f>(1/((Parameters!$C$39*Parameters!$B$4*Parameters!$B$10)/1000))</f>
        <v>15.64744160965482</v>
      </c>
      <c r="C1194" t="s">
        <v>1050</v>
      </c>
      <c r="D1194" t="s">
        <v>8</v>
      </c>
      <c r="F1194" t="s">
        <v>20</v>
      </c>
      <c r="G1194" t="s">
        <v>18</v>
      </c>
      <c r="H1194" s="2" t="s">
        <v>409</v>
      </c>
    </row>
    <row r="1195" spans="1:9" ht="15.6" x14ac:dyDescent="0.3">
      <c r="A1195" s="2" t="s">
        <v>221</v>
      </c>
      <c r="B1195" s="6">
        <f>(300*Parameters!$B$3)/(Parameters!$B$4*Parameters!$B$10)</f>
        <v>0.10598730228890306</v>
      </c>
      <c r="C1195" t="s">
        <v>26</v>
      </c>
      <c r="D1195" t="s">
        <v>19</v>
      </c>
      <c r="F1195" t="s">
        <v>20</v>
      </c>
      <c r="G1195" t="s">
        <v>412</v>
      </c>
      <c r="H1195" s="2" t="s">
        <v>222</v>
      </c>
    </row>
    <row r="1196" spans="1:9" x14ac:dyDescent="0.3">
      <c r="A1196" t="s">
        <v>214</v>
      </c>
      <c r="B1196" s="6">
        <f>((41.1/1000)/(Parameters!$B$4*Parameters!$B$10))</f>
        <v>1.3762550793355803E-2</v>
      </c>
      <c r="C1196" t="s">
        <v>31</v>
      </c>
      <c r="D1196" t="s">
        <v>8</v>
      </c>
      <c r="F1196" t="s">
        <v>20</v>
      </c>
      <c r="G1196" t="s">
        <v>413</v>
      </c>
      <c r="H1196" t="s">
        <v>215</v>
      </c>
    </row>
    <row r="1197" spans="1:9" x14ac:dyDescent="0.3">
      <c r="A1197" t="s">
        <v>265</v>
      </c>
      <c r="B1197" s="6">
        <f>(B1123*B1194)-Parameters!$B$13</f>
        <v>4.9708743082481206</v>
      </c>
      <c r="D1197" t="s">
        <v>8</v>
      </c>
      <c r="E1197" t="s">
        <v>37</v>
      </c>
      <c r="F1197" t="s">
        <v>36</v>
      </c>
      <c r="G1197" t="s">
        <v>428</v>
      </c>
    </row>
    <row r="1198" spans="1:9" x14ac:dyDescent="0.3">
      <c r="A1198" t="s">
        <v>306</v>
      </c>
      <c r="B1198" s="6">
        <f>1/(90000000*20)</f>
        <v>5.5555555555555553E-10</v>
      </c>
      <c r="C1198" t="s">
        <v>26</v>
      </c>
      <c r="D1198" t="s">
        <v>7</v>
      </c>
      <c r="F1198" t="s">
        <v>20</v>
      </c>
      <c r="G1198" t="s">
        <v>308</v>
      </c>
      <c r="H1198" t="s">
        <v>307</v>
      </c>
    </row>
    <row r="1199" spans="1:9" x14ac:dyDescent="0.3">
      <c r="A1199" s="36" t="s">
        <v>28</v>
      </c>
      <c r="B1199" s="37">
        <f>Parameters!C38/Parameters!B4*Parameters!B10*-1</f>
        <v>-0.73063276089828266</v>
      </c>
      <c r="C1199" t="s">
        <v>1051</v>
      </c>
      <c r="D1199" s="36" t="s">
        <v>29</v>
      </c>
      <c r="E1199" s="36"/>
      <c r="F1199" s="36" t="s">
        <v>20</v>
      </c>
      <c r="G1199" s="36" t="s">
        <v>505</v>
      </c>
      <c r="H1199" s="36" t="s">
        <v>30</v>
      </c>
      <c r="I1199" s="36"/>
    </row>
    <row r="1200" spans="1:9" ht="15.6" x14ac:dyDescent="0.3">
      <c r="A1200" s="2"/>
      <c r="H1200" s="2"/>
    </row>
    <row r="1201" spans="1:10" ht="15.6" x14ac:dyDescent="0.3">
      <c r="A1201" s="1" t="s">
        <v>1</v>
      </c>
      <c r="B1201" s="73" t="s">
        <v>356</v>
      </c>
    </row>
    <row r="1202" spans="1:10" x14ac:dyDescent="0.3">
      <c r="A1202" t="s">
        <v>2</v>
      </c>
      <c r="B1202" s="6" t="s">
        <v>1050</v>
      </c>
    </row>
    <row r="1203" spans="1:10" x14ac:dyDescent="0.3">
      <c r="A1203" t="s">
        <v>3</v>
      </c>
      <c r="B1203" s="6">
        <v>1</v>
      </c>
    </row>
    <row r="1204" spans="1:10" ht="15.6" x14ac:dyDescent="0.3">
      <c r="A1204" t="s">
        <v>4</v>
      </c>
      <c r="B1204" s="74" t="s">
        <v>337</v>
      </c>
    </row>
    <row r="1205" spans="1:10" x14ac:dyDescent="0.3">
      <c r="A1205" t="s">
        <v>5</v>
      </c>
      <c r="B1205" s="6" t="s">
        <v>6</v>
      </c>
    </row>
    <row r="1206" spans="1:10" x14ac:dyDescent="0.3">
      <c r="A1206" t="s">
        <v>7</v>
      </c>
      <c r="B1206" s="6" t="s">
        <v>8</v>
      </c>
    </row>
    <row r="1207" spans="1:10" x14ac:dyDescent="0.3">
      <c r="A1207" t="s">
        <v>9</v>
      </c>
      <c r="B1207" s="6" t="s">
        <v>393</v>
      </c>
    </row>
    <row r="1208" spans="1:10" x14ac:dyDescent="0.3">
      <c r="A1208" t="s">
        <v>11</v>
      </c>
      <c r="B1208" s="6" t="s">
        <v>362</v>
      </c>
    </row>
    <row r="1209" spans="1:10" ht="15.6" x14ac:dyDescent="0.3">
      <c r="A1209" s="1" t="s">
        <v>12</v>
      </c>
    </row>
    <row r="1210" spans="1:10" x14ac:dyDescent="0.3">
      <c r="A1210" t="s">
        <v>13</v>
      </c>
      <c r="B1210" s="6" t="s">
        <v>14</v>
      </c>
      <c r="C1210" t="s">
        <v>2</v>
      </c>
      <c r="D1210" t="s">
        <v>7</v>
      </c>
      <c r="E1210" t="s">
        <v>15</v>
      </c>
      <c r="F1210" t="s">
        <v>5</v>
      </c>
      <c r="G1210" t="s">
        <v>338</v>
      </c>
      <c r="H1210" t="s">
        <v>339</v>
      </c>
      <c r="I1210" t="s">
        <v>11</v>
      </c>
      <c r="J1210" t="s">
        <v>4</v>
      </c>
    </row>
    <row r="1211" spans="1:10" x14ac:dyDescent="0.3">
      <c r="A1211" s="36" t="s">
        <v>356</v>
      </c>
      <c r="B1211" s="37">
        <v>1</v>
      </c>
      <c r="C1211" t="s">
        <v>1050</v>
      </c>
      <c r="D1211" s="36" t="s">
        <v>8</v>
      </c>
      <c r="E1211" s="36"/>
      <c r="F1211" s="36" t="s">
        <v>17</v>
      </c>
      <c r="G1211" s="36"/>
      <c r="H1211" s="36"/>
      <c r="I1211" s="36" t="s">
        <v>18</v>
      </c>
      <c r="J1211" s="36" t="s">
        <v>337</v>
      </c>
    </row>
    <row r="1212" spans="1:10" ht="15.6" x14ac:dyDescent="0.3">
      <c r="A1212" s="2" t="s">
        <v>287</v>
      </c>
      <c r="B1212" s="6">
        <v>1.00057</v>
      </c>
      <c r="C1212" t="s">
        <v>1050</v>
      </c>
      <c r="D1212" t="s">
        <v>8</v>
      </c>
      <c r="F1212" s="36" t="s">
        <v>20</v>
      </c>
      <c r="G1212" t="s">
        <v>18</v>
      </c>
      <c r="I1212" s="36"/>
      <c r="J1212" s="2" t="s">
        <v>286</v>
      </c>
    </row>
    <row r="1213" spans="1:10" x14ac:dyDescent="0.3">
      <c r="A1213" s="36" t="s">
        <v>28</v>
      </c>
      <c r="B1213" s="37">
        <v>6.7000000000000002E-3</v>
      </c>
      <c r="C1213" t="s">
        <v>1051</v>
      </c>
      <c r="D1213" s="36" t="s">
        <v>29</v>
      </c>
      <c r="E1213" s="36"/>
      <c r="F1213" s="36" t="s">
        <v>20</v>
      </c>
      <c r="G1213" s="36"/>
      <c r="H1213" s="36"/>
      <c r="I1213" s="36"/>
      <c r="J1213" s="36" t="s">
        <v>30</v>
      </c>
    </row>
    <row r="1214" spans="1:10" x14ac:dyDescent="0.3">
      <c r="A1214" s="36" t="s">
        <v>340</v>
      </c>
      <c r="B1214" s="37">
        <v>-1.6799999999999999E-4</v>
      </c>
      <c r="C1214" s="36" t="s">
        <v>31</v>
      </c>
      <c r="D1214" s="36" t="s">
        <v>8</v>
      </c>
      <c r="E1214" s="36"/>
      <c r="F1214" s="36" t="s">
        <v>20</v>
      </c>
      <c r="G1214" s="36"/>
      <c r="H1214" s="36"/>
      <c r="I1214" s="36"/>
      <c r="J1214" s="36" t="s">
        <v>341</v>
      </c>
    </row>
    <row r="1215" spans="1:10" x14ac:dyDescent="0.3">
      <c r="A1215" s="36" t="s">
        <v>342</v>
      </c>
      <c r="B1215" s="37">
        <v>5.8399999999999999E-4</v>
      </c>
      <c r="C1215" s="36" t="s">
        <v>31</v>
      </c>
      <c r="D1215" s="36" t="s">
        <v>19</v>
      </c>
      <c r="E1215" s="36"/>
      <c r="F1215" s="36" t="s">
        <v>20</v>
      </c>
      <c r="G1215" s="36"/>
      <c r="H1215" s="36"/>
      <c r="I1215" s="36"/>
      <c r="J1215" s="36" t="s">
        <v>343</v>
      </c>
    </row>
    <row r="1216" spans="1:10" x14ac:dyDescent="0.3">
      <c r="A1216" s="36" t="s">
        <v>344</v>
      </c>
      <c r="B1216" s="37">
        <v>2.5999999999999998E-10</v>
      </c>
      <c r="C1216" s="36" t="s">
        <v>31</v>
      </c>
      <c r="D1216" s="36" t="s">
        <v>7</v>
      </c>
      <c r="E1216" s="36"/>
      <c r="F1216" s="36" t="s">
        <v>20</v>
      </c>
      <c r="G1216" s="36"/>
      <c r="H1216" s="36"/>
      <c r="I1216" s="36"/>
      <c r="J1216" s="36" t="s">
        <v>345</v>
      </c>
    </row>
    <row r="1217" spans="1:10" x14ac:dyDescent="0.3">
      <c r="A1217" s="36" t="s">
        <v>346</v>
      </c>
      <c r="B1217" s="37">
        <v>-6.2700000000000001E-6</v>
      </c>
      <c r="C1217" s="36" t="s">
        <v>31</v>
      </c>
      <c r="D1217" s="36" t="s">
        <v>8</v>
      </c>
      <c r="E1217" s="36"/>
      <c r="F1217" s="36" t="s">
        <v>20</v>
      </c>
      <c r="G1217" s="36"/>
      <c r="H1217" s="36"/>
      <c r="I1217" s="36"/>
      <c r="J1217" s="36" t="s">
        <v>347</v>
      </c>
    </row>
    <row r="1218" spans="1:10" x14ac:dyDescent="0.3">
      <c r="A1218" s="36" t="s">
        <v>348</v>
      </c>
      <c r="B1218" s="37">
        <v>-7.4999999999999993E-5</v>
      </c>
      <c r="C1218" s="36" t="s">
        <v>31</v>
      </c>
      <c r="D1218" s="36" t="s">
        <v>121</v>
      </c>
      <c r="E1218" s="36"/>
      <c r="F1218" s="36" t="s">
        <v>20</v>
      </c>
      <c r="G1218" s="36"/>
      <c r="H1218" s="36"/>
      <c r="I1218" s="36"/>
      <c r="J1218" s="36" t="s">
        <v>349</v>
      </c>
    </row>
    <row r="1219" spans="1:10" x14ac:dyDescent="0.3">
      <c r="A1219" s="36" t="s">
        <v>350</v>
      </c>
      <c r="B1219" s="37">
        <v>6.8900000000000005E-4</v>
      </c>
      <c r="C1219" s="36" t="s">
        <v>31</v>
      </c>
      <c r="D1219" s="36" t="s">
        <v>8</v>
      </c>
      <c r="E1219" s="36"/>
      <c r="F1219" s="36" t="s">
        <v>20</v>
      </c>
      <c r="G1219" s="36"/>
      <c r="H1219" s="36"/>
      <c r="I1219" s="36"/>
      <c r="J1219" s="36" t="s">
        <v>351</v>
      </c>
    </row>
    <row r="1220" spans="1:10" x14ac:dyDescent="0.3">
      <c r="A1220" s="36" t="s">
        <v>100</v>
      </c>
      <c r="B1220" s="37">
        <v>3.3599999999999998E-2</v>
      </c>
      <c r="C1220" s="36" t="s">
        <v>31</v>
      </c>
      <c r="D1220" s="36" t="s">
        <v>41</v>
      </c>
      <c r="E1220" s="36"/>
      <c r="F1220" s="36" t="s">
        <v>20</v>
      </c>
      <c r="G1220" s="36"/>
      <c r="H1220" s="36"/>
      <c r="I1220" s="36"/>
      <c r="J1220" s="36" t="s">
        <v>103</v>
      </c>
    </row>
    <row r="1221" spans="1:10" x14ac:dyDescent="0.3">
      <c r="A1221" s="36" t="s">
        <v>352</v>
      </c>
      <c r="B1221" s="37">
        <v>3.2599999999999997E-2</v>
      </c>
      <c r="C1221" s="36" t="s">
        <v>581</v>
      </c>
      <c r="D1221" s="36" t="s">
        <v>41</v>
      </c>
      <c r="E1221" s="36"/>
      <c r="F1221" s="36" t="s">
        <v>20</v>
      </c>
      <c r="G1221" s="36"/>
      <c r="H1221" s="36"/>
      <c r="I1221" s="36"/>
      <c r="J1221" s="36" t="s">
        <v>353</v>
      </c>
    </row>
    <row r="1222" spans="1:10" x14ac:dyDescent="0.3">
      <c r="A1222" s="36" t="s">
        <v>354</v>
      </c>
      <c r="B1222" s="37">
        <v>-6.8899999999999999E-7</v>
      </c>
      <c r="C1222" s="36" t="s">
        <v>31</v>
      </c>
      <c r="D1222" s="36" t="s">
        <v>121</v>
      </c>
      <c r="E1222" s="36"/>
      <c r="F1222" s="36" t="s">
        <v>20</v>
      </c>
      <c r="G1222" s="36"/>
      <c r="H1222" s="36"/>
      <c r="I1222" s="36"/>
      <c r="J1222" s="36" t="s">
        <v>355</v>
      </c>
    </row>
    <row r="1224" spans="1:10" ht="15.6" x14ac:dyDescent="0.3">
      <c r="A1224" s="1" t="s">
        <v>1</v>
      </c>
      <c r="B1224" s="73" t="s">
        <v>357</v>
      </c>
    </row>
    <row r="1225" spans="1:10" x14ac:dyDescent="0.3">
      <c r="A1225" t="s">
        <v>2</v>
      </c>
      <c r="B1225" s="6" t="s">
        <v>1050</v>
      </c>
    </row>
    <row r="1226" spans="1:10" x14ac:dyDescent="0.3">
      <c r="A1226" t="s">
        <v>3</v>
      </c>
      <c r="B1226" s="6">
        <v>1</v>
      </c>
    </row>
    <row r="1227" spans="1:10" ht="15.6" x14ac:dyDescent="0.3">
      <c r="A1227" t="s">
        <v>4</v>
      </c>
      <c r="B1227" s="74" t="s">
        <v>337</v>
      </c>
    </row>
    <row r="1228" spans="1:10" x14ac:dyDescent="0.3">
      <c r="A1228" t="s">
        <v>5</v>
      </c>
      <c r="B1228" s="6" t="s">
        <v>6</v>
      </c>
    </row>
    <row r="1229" spans="1:10" x14ac:dyDescent="0.3">
      <c r="A1229" t="s">
        <v>7</v>
      </c>
      <c r="B1229" s="6" t="s">
        <v>8</v>
      </c>
    </row>
    <row r="1230" spans="1:10" x14ac:dyDescent="0.3">
      <c r="A1230" t="s">
        <v>9</v>
      </c>
      <c r="B1230" s="6" t="s">
        <v>393</v>
      </c>
    </row>
    <row r="1231" spans="1:10" x14ac:dyDescent="0.3">
      <c r="A1231" t="s">
        <v>11</v>
      </c>
      <c r="B1231" s="6" t="s">
        <v>361</v>
      </c>
    </row>
    <row r="1232" spans="1:10" ht="15.6" x14ac:dyDescent="0.3">
      <c r="A1232" s="1" t="s">
        <v>12</v>
      </c>
    </row>
    <row r="1233" spans="1:10" x14ac:dyDescent="0.3">
      <c r="A1233" t="s">
        <v>13</v>
      </c>
      <c r="B1233" s="6" t="s">
        <v>14</v>
      </c>
      <c r="C1233" t="s">
        <v>2</v>
      </c>
      <c r="D1233" t="s">
        <v>7</v>
      </c>
      <c r="E1233" t="s">
        <v>15</v>
      </c>
      <c r="F1233" t="s">
        <v>5</v>
      </c>
      <c r="G1233" t="s">
        <v>338</v>
      </c>
      <c r="H1233" t="s">
        <v>339</v>
      </c>
      <c r="I1233" t="s">
        <v>11</v>
      </c>
      <c r="J1233" t="s">
        <v>4</v>
      </c>
    </row>
    <row r="1234" spans="1:10" x14ac:dyDescent="0.3">
      <c r="A1234" s="36" t="s">
        <v>357</v>
      </c>
      <c r="B1234" s="37">
        <v>1</v>
      </c>
      <c r="C1234" t="s">
        <v>1050</v>
      </c>
      <c r="D1234" s="36" t="s">
        <v>8</v>
      </c>
      <c r="E1234" s="36"/>
      <c r="F1234" s="36" t="s">
        <v>17</v>
      </c>
      <c r="G1234" s="36"/>
      <c r="H1234" s="36"/>
      <c r="I1234" s="36" t="s">
        <v>18</v>
      </c>
      <c r="J1234" s="36" t="s">
        <v>337</v>
      </c>
    </row>
    <row r="1235" spans="1:10" ht="15.6" x14ac:dyDescent="0.3">
      <c r="A1235" s="2" t="s">
        <v>301</v>
      </c>
      <c r="B1235" s="6">
        <v>1.00057</v>
      </c>
      <c r="C1235" t="s">
        <v>1050</v>
      </c>
      <c r="D1235" t="s">
        <v>8</v>
      </c>
      <c r="F1235" s="36" t="s">
        <v>20</v>
      </c>
      <c r="G1235" t="s">
        <v>18</v>
      </c>
      <c r="I1235" s="36"/>
      <c r="J1235" s="2" t="s">
        <v>286</v>
      </c>
    </row>
    <row r="1236" spans="1:10" x14ac:dyDescent="0.3">
      <c r="A1236" s="36" t="s">
        <v>28</v>
      </c>
      <c r="B1236" s="37">
        <v>6.7000000000000002E-3</v>
      </c>
      <c r="C1236" t="s">
        <v>1051</v>
      </c>
      <c r="D1236" s="36" t="s">
        <v>29</v>
      </c>
      <c r="E1236" s="36"/>
      <c r="F1236" s="36" t="s">
        <v>20</v>
      </c>
      <c r="G1236" s="36"/>
      <c r="H1236" s="36"/>
      <c r="I1236" s="36"/>
      <c r="J1236" s="36" t="s">
        <v>30</v>
      </c>
    </row>
    <row r="1237" spans="1:10" x14ac:dyDescent="0.3">
      <c r="A1237" s="36" t="s">
        <v>340</v>
      </c>
      <c r="B1237" s="37">
        <v>-1.6799999999999999E-4</v>
      </c>
      <c r="C1237" s="36" t="s">
        <v>31</v>
      </c>
      <c r="D1237" s="36" t="s">
        <v>8</v>
      </c>
      <c r="E1237" s="36"/>
      <c r="F1237" s="36" t="s">
        <v>20</v>
      </c>
      <c r="G1237" s="36"/>
      <c r="H1237" s="36"/>
      <c r="I1237" s="36"/>
      <c r="J1237" s="36" t="s">
        <v>341</v>
      </c>
    </row>
    <row r="1238" spans="1:10" x14ac:dyDescent="0.3">
      <c r="A1238" s="36" t="s">
        <v>342</v>
      </c>
      <c r="B1238" s="37">
        <v>5.8399999999999999E-4</v>
      </c>
      <c r="C1238" s="36" t="s">
        <v>31</v>
      </c>
      <c r="D1238" s="36" t="s">
        <v>19</v>
      </c>
      <c r="E1238" s="36"/>
      <c r="F1238" s="36" t="s">
        <v>20</v>
      </c>
      <c r="G1238" s="36"/>
      <c r="H1238" s="36"/>
      <c r="I1238" s="36"/>
      <c r="J1238" s="36" t="s">
        <v>343</v>
      </c>
    </row>
    <row r="1239" spans="1:10" x14ac:dyDescent="0.3">
      <c r="A1239" s="36" t="s">
        <v>344</v>
      </c>
      <c r="B1239" s="37">
        <v>2.5999999999999998E-10</v>
      </c>
      <c r="C1239" s="36" t="s">
        <v>31</v>
      </c>
      <c r="D1239" s="36" t="s">
        <v>7</v>
      </c>
      <c r="E1239" s="36"/>
      <c r="F1239" s="36" t="s">
        <v>20</v>
      </c>
      <c r="G1239" s="36"/>
      <c r="H1239" s="36"/>
      <c r="I1239" s="36"/>
      <c r="J1239" s="36" t="s">
        <v>345</v>
      </c>
    </row>
    <row r="1240" spans="1:10" x14ac:dyDescent="0.3">
      <c r="A1240" s="36" t="s">
        <v>346</v>
      </c>
      <c r="B1240" s="37">
        <v>-6.2700000000000001E-6</v>
      </c>
      <c r="C1240" s="36" t="s">
        <v>31</v>
      </c>
      <c r="D1240" s="36" t="s">
        <v>8</v>
      </c>
      <c r="E1240" s="36"/>
      <c r="F1240" s="36" t="s">
        <v>20</v>
      </c>
      <c r="G1240" s="36"/>
      <c r="H1240" s="36"/>
      <c r="I1240" s="36"/>
      <c r="J1240" s="36" t="s">
        <v>347</v>
      </c>
    </row>
    <row r="1241" spans="1:10" x14ac:dyDescent="0.3">
      <c r="A1241" s="36" t="s">
        <v>348</v>
      </c>
      <c r="B1241" s="37">
        <v>-7.4999999999999993E-5</v>
      </c>
      <c r="C1241" s="36" t="s">
        <v>31</v>
      </c>
      <c r="D1241" s="36" t="s">
        <v>121</v>
      </c>
      <c r="E1241" s="36"/>
      <c r="F1241" s="36" t="s">
        <v>20</v>
      </c>
      <c r="G1241" s="36"/>
      <c r="H1241" s="36"/>
      <c r="I1241" s="36"/>
      <c r="J1241" s="36" t="s">
        <v>349</v>
      </c>
    </row>
    <row r="1242" spans="1:10" x14ac:dyDescent="0.3">
      <c r="A1242" s="36" t="s">
        <v>350</v>
      </c>
      <c r="B1242" s="37">
        <v>6.8900000000000005E-4</v>
      </c>
      <c r="C1242" s="36" t="s">
        <v>31</v>
      </c>
      <c r="D1242" s="36" t="s">
        <v>8</v>
      </c>
      <c r="E1242" s="36"/>
      <c r="F1242" s="36" t="s">
        <v>20</v>
      </c>
      <c r="G1242" s="36"/>
      <c r="H1242" s="36"/>
      <c r="I1242" s="36"/>
      <c r="J1242" s="36" t="s">
        <v>351</v>
      </c>
    </row>
    <row r="1243" spans="1:10" x14ac:dyDescent="0.3">
      <c r="A1243" s="36" t="s">
        <v>100</v>
      </c>
      <c r="B1243" s="37">
        <v>3.3599999999999998E-2</v>
      </c>
      <c r="C1243" s="36" t="s">
        <v>31</v>
      </c>
      <c r="D1243" s="36" t="s">
        <v>41</v>
      </c>
      <c r="E1243" s="36"/>
      <c r="F1243" s="36" t="s">
        <v>20</v>
      </c>
      <c r="G1243" s="36"/>
      <c r="H1243" s="36"/>
      <c r="I1243" s="36"/>
      <c r="J1243" s="36" t="s">
        <v>103</v>
      </c>
    </row>
    <row r="1244" spans="1:10" x14ac:dyDescent="0.3">
      <c r="A1244" s="36" t="s">
        <v>352</v>
      </c>
      <c r="B1244" s="37">
        <v>3.2599999999999997E-2</v>
      </c>
      <c r="C1244" s="36" t="s">
        <v>581</v>
      </c>
      <c r="D1244" s="36" t="s">
        <v>41</v>
      </c>
      <c r="E1244" s="36"/>
      <c r="F1244" s="36" t="s">
        <v>20</v>
      </c>
      <c r="G1244" s="36"/>
      <c r="H1244" s="36"/>
      <c r="I1244" s="36"/>
      <c r="J1244" s="36" t="s">
        <v>353</v>
      </c>
    </row>
    <row r="1245" spans="1:10" x14ac:dyDescent="0.3">
      <c r="A1245" s="36" t="s">
        <v>354</v>
      </c>
      <c r="B1245" s="37">
        <v>-6.8899999999999999E-7</v>
      </c>
      <c r="C1245" s="36" t="s">
        <v>31</v>
      </c>
      <c r="D1245" s="36" t="s">
        <v>121</v>
      </c>
      <c r="E1245" s="36"/>
      <c r="F1245" s="36" t="s">
        <v>20</v>
      </c>
      <c r="G1245" s="36"/>
      <c r="H1245" s="36"/>
      <c r="I1245" s="36"/>
      <c r="J1245" s="36" t="s">
        <v>355</v>
      </c>
    </row>
    <row r="1246" spans="1:10" x14ac:dyDescent="0.3">
      <c r="A1246" s="36"/>
      <c r="B1246" s="37"/>
      <c r="C1246" s="36"/>
      <c r="D1246" s="36"/>
      <c r="E1246" s="36"/>
      <c r="F1246" s="36"/>
      <c r="G1246" s="36"/>
      <c r="H1246" s="36"/>
      <c r="I1246" s="36"/>
      <c r="J1246" s="36"/>
    </row>
    <row r="1247" spans="1:10" ht="15.6" x14ac:dyDescent="0.3">
      <c r="A1247" s="1" t="s">
        <v>1</v>
      </c>
      <c r="B1247" s="73" t="s">
        <v>519</v>
      </c>
    </row>
    <row r="1248" spans="1:10" x14ac:dyDescent="0.3">
      <c r="A1248" t="s">
        <v>2</v>
      </c>
      <c r="B1248" s="6" t="s">
        <v>1050</v>
      </c>
    </row>
    <row r="1249" spans="1:10" x14ac:dyDescent="0.3">
      <c r="A1249" t="s">
        <v>3</v>
      </c>
      <c r="B1249" s="6">
        <v>1</v>
      </c>
    </row>
    <row r="1250" spans="1:10" ht="15.6" x14ac:dyDescent="0.3">
      <c r="A1250" t="s">
        <v>4</v>
      </c>
      <c r="B1250" s="74" t="s">
        <v>337</v>
      </c>
    </row>
    <row r="1251" spans="1:10" x14ac:dyDescent="0.3">
      <c r="A1251" t="s">
        <v>5</v>
      </c>
      <c r="B1251" s="6" t="s">
        <v>6</v>
      </c>
    </row>
    <row r="1252" spans="1:10" x14ac:dyDescent="0.3">
      <c r="A1252" t="s">
        <v>7</v>
      </c>
      <c r="B1252" s="6" t="s">
        <v>8</v>
      </c>
    </row>
    <row r="1253" spans="1:10" x14ac:dyDescent="0.3">
      <c r="A1253" t="s">
        <v>9</v>
      </c>
      <c r="B1253" s="6" t="s">
        <v>393</v>
      </c>
    </row>
    <row r="1254" spans="1:10" x14ac:dyDescent="0.3">
      <c r="A1254" t="s">
        <v>11</v>
      </c>
      <c r="B1254" s="6" t="s">
        <v>507</v>
      </c>
    </row>
    <row r="1255" spans="1:10" ht="15.6" x14ac:dyDescent="0.3">
      <c r="A1255" s="1" t="s">
        <v>12</v>
      </c>
    </row>
    <row r="1256" spans="1:10" x14ac:dyDescent="0.3">
      <c r="A1256" t="s">
        <v>13</v>
      </c>
      <c r="B1256" s="6" t="s">
        <v>14</v>
      </c>
      <c r="C1256" t="s">
        <v>2</v>
      </c>
      <c r="D1256" t="s">
        <v>7</v>
      </c>
      <c r="E1256" t="s">
        <v>15</v>
      </c>
      <c r="F1256" t="s">
        <v>5</v>
      </c>
      <c r="G1256" t="s">
        <v>338</v>
      </c>
      <c r="H1256" t="s">
        <v>339</v>
      </c>
      <c r="I1256" t="s">
        <v>11</v>
      </c>
      <c r="J1256" t="s">
        <v>4</v>
      </c>
    </row>
    <row r="1257" spans="1:10" x14ac:dyDescent="0.3">
      <c r="A1257" s="36" t="s">
        <v>519</v>
      </c>
      <c r="B1257" s="37">
        <v>1</v>
      </c>
      <c r="C1257" t="s">
        <v>1050</v>
      </c>
      <c r="D1257" s="36" t="s">
        <v>8</v>
      </c>
      <c r="E1257" s="36"/>
      <c r="F1257" s="36" t="s">
        <v>17</v>
      </c>
      <c r="G1257" s="36"/>
      <c r="H1257" s="36"/>
      <c r="I1257" s="36" t="s">
        <v>18</v>
      </c>
      <c r="J1257" s="36" t="s">
        <v>337</v>
      </c>
    </row>
    <row r="1258" spans="1:10" ht="15.6" x14ac:dyDescent="0.3">
      <c r="A1258" s="2" t="s">
        <v>518</v>
      </c>
      <c r="B1258" s="6">
        <v>1.00057</v>
      </c>
      <c r="C1258" t="s">
        <v>1050</v>
      </c>
      <c r="D1258" t="s">
        <v>8</v>
      </c>
      <c r="F1258" s="36" t="s">
        <v>20</v>
      </c>
      <c r="G1258" t="s">
        <v>18</v>
      </c>
      <c r="I1258" s="36"/>
      <c r="J1258" s="2" t="s">
        <v>286</v>
      </c>
    </row>
    <row r="1259" spans="1:10" x14ac:dyDescent="0.3">
      <c r="A1259" s="36" t="s">
        <v>28</v>
      </c>
      <c r="B1259" s="37">
        <v>6.7000000000000002E-3</v>
      </c>
      <c r="C1259" t="s">
        <v>1051</v>
      </c>
      <c r="D1259" s="36" t="s">
        <v>29</v>
      </c>
      <c r="E1259" s="36"/>
      <c r="F1259" s="36" t="s">
        <v>20</v>
      </c>
      <c r="G1259" s="36"/>
      <c r="H1259" s="36"/>
      <c r="I1259" s="36"/>
      <c r="J1259" s="36" t="s">
        <v>30</v>
      </c>
    </row>
    <row r="1260" spans="1:10" x14ac:dyDescent="0.3">
      <c r="A1260" s="36" t="s">
        <v>340</v>
      </c>
      <c r="B1260" s="37">
        <v>-1.6799999999999999E-4</v>
      </c>
      <c r="C1260" s="36" t="s">
        <v>31</v>
      </c>
      <c r="D1260" s="36" t="s">
        <v>8</v>
      </c>
      <c r="E1260" s="36"/>
      <c r="F1260" s="36" t="s">
        <v>20</v>
      </c>
      <c r="G1260" s="36"/>
      <c r="H1260" s="36"/>
      <c r="I1260" s="36"/>
      <c r="J1260" s="36" t="s">
        <v>341</v>
      </c>
    </row>
    <row r="1261" spans="1:10" x14ac:dyDescent="0.3">
      <c r="A1261" s="36" t="s">
        <v>342</v>
      </c>
      <c r="B1261" s="37">
        <v>5.8399999999999999E-4</v>
      </c>
      <c r="C1261" s="36" t="s">
        <v>31</v>
      </c>
      <c r="D1261" s="36" t="s">
        <v>19</v>
      </c>
      <c r="E1261" s="36"/>
      <c r="F1261" s="36" t="s">
        <v>20</v>
      </c>
      <c r="G1261" s="36"/>
      <c r="H1261" s="36"/>
      <c r="I1261" s="36"/>
      <c r="J1261" s="36" t="s">
        <v>343</v>
      </c>
    </row>
    <row r="1262" spans="1:10" x14ac:dyDescent="0.3">
      <c r="A1262" s="36" t="s">
        <v>344</v>
      </c>
      <c r="B1262" s="37">
        <v>2.5999999999999998E-10</v>
      </c>
      <c r="C1262" s="36" t="s">
        <v>31</v>
      </c>
      <c r="D1262" s="36" t="s">
        <v>7</v>
      </c>
      <c r="E1262" s="36"/>
      <c r="F1262" s="36" t="s">
        <v>20</v>
      </c>
      <c r="G1262" s="36"/>
      <c r="H1262" s="36"/>
      <c r="I1262" s="36"/>
      <c r="J1262" s="36" t="s">
        <v>345</v>
      </c>
    </row>
    <row r="1263" spans="1:10" x14ac:dyDescent="0.3">
      <c r="A1263" s="36" t="s">
        <v>346</v>
      </c>
      <c r="B1263" s="37">
        <v>-6.2700000000000001E-6</v>
      </c>
      <c r="C1263" s="36" t="s">
        <v>31</v>
      </c>
      <c r="D1263" s="36" t="s">
        <v>8</v>
      </c>
      <c r="E1263" s="36"/>
      <c r="F1263" s="36" t="s">
        <v>20</v>
      </c>
      <c r="G1263" s="36"/>
      <c r="H1263" s="36"/>
      <c r="I1263" s="36"/>
      <c r="J1263" s="36" t="s">
        <v>347</v>
      </c>
    </row>
    <row r="1264" spans="1:10" x14ac:dyDescent="0.3">
      <c r="A1264" s="36" t="s">
        <v>348</v>
      </c>
      <c r="B1264" s="37">
        <v>-7.4999999999999993E-5</v>
      </c>
      <c r="C1264" s="36" t="s">
        <v>31</v>
      </c>
      <c r="D1264" s="36" t="s">
        <v>121</v>
      </c>
      <c r="E1264" s="36"/>
      <c r="F1264" s="36" t="s">
        <v>20</v>
      </c>
      <c r="G1264" s="36"/>
      <c r="H1264" s="36"/>
      <c r="I1264" s="36"/>
      <c r="J1264" s="36" t="s">
        <v>349</v>
      </c>
    </row>
    <row r="1265" spans="1:10" x14ac:dyDescent="0.3">
      <c r="A1265" s="36" t="s">
        <v>350</v>
      </c>
      <c r="B1265" s="37">
        <v>6.8900000000000005E-4</v>
      </c>
      <c r="C1265" s="36" t="s">
        <v>31</v>
      </c>
      <c r="D1265" s="36" t="s">
        <v>8</v>
      </c>
      <c r="E1265" s="36"/>
      <c r="F1265" s="36" t="s">
        <v>20</v>
      </c>
      <c r="G1265" s="36"/>
      <c r="H1265" s="36"/>
      <c r="I1265" s="36"/>
      <c r="J1265" s="36" t="s">
        <v>351</v>
      </c>
    </row>
    <row r="1266" spans="1:10" x14ac:dyDescent="0.3">
      <c r="A1266" s="36" t="s">
        <v>100</v>
      </c>
      <c r="B1266" s="37">
        <v>3.3599999999999998E-2</v>
      </c>
      <c r="C1266" s="36" t="s">
        <v>31</v>
      </c>
      <c r="D1266" s="36" t="s">
        <v>41</v>
      </c>
      <c r="E1266" s="36"/>
      <c r="F1266" s="36" t="s">
        <v>20</v>
      </c>
      <c r="G1266" s="36"/>
      <c r="H1266" s="36"/>
      <c r="I1266" s="36"/>
      <c r="J1266" s="36" t="s">
        <v>103</v>
      </c>
    </row>
    <row r="1267" spans="1:10" x14ac:dyDescent="0.3">
      <c r="A1267" s="36" t="s">
        <v>352</v>
      </c>
      <c r="B1267" s="37">
        <v>3.2599999999999997E-2</v>
      </c>
      <c r="C1267" s="36" t="s">
        <v>581</v>
      </c>
      <c r="D1267" s="36" t="s">
        <v>41</v>
      </c>
      <c r="E1267" s="36"/>
      <c r="F1267" s="36" t="s">
        <v>20</v>
      </c>
      <c r="G1267" s="36"/>
      <c r="H1267" s="36"/>
      <c r="I1267" s="36"/>
      <c r="J1267" s="36" t="s">
        <v>353</v>
      </c>
    </row>
    <row r="1268" spans="1:10" x14ac:dyDescent="0.3">
      <c r="A1268" s="36" t="s">
        <v>354</v>
      </c>
      <c r="B1268" s="37">
        <v>-6.8899999999999999E-7</v>
      </c>
      <c r="C1268" s="36" t="s">
        <v>31</v>
      </c>
      <c r="D1268" s="36" t="s">
        <v>121</v>
      </c>
      <c r="E1268" s="36"/>
      <c r="F1268" s="36" t="s">
        <v>20</v>
      </c>
      <c r="G1268" s="36"/>
      <c r="H1268" s="36"/>
      <c r="I1268" s="36"/>
      <c r="J1268" s="36" t="s">
        <v>355</v>
      </c>
    </row>
    <row r="1269" spans="1:10" x14ac:dyDescent="0.3">
      <c r="A1269" s="36"/>
      <c r="B1269" s="37"/>
      <c r="C1269" s="36"/>
      <c r="D1269" s="36"/>
      <c r="E1269" s="36"/>
      <c r="F1269" s="36"/>
      <c r="G1269" s="36"/>
      <c r="H1269" s="36"/>
      <c r="I1269" s="36"/>
      <c r="J1269" s="36"/>
    </row>
    <row r="1270" spans="1:10" ht="15.6" x14ac:dyDescent="0.3">
      <c r="A1270" s="1" t="s">
        <v>1</v>
      </c>
      <c r="B1270" s="73" t="s">
        <v>85</v>
      </c>
    </row>
    <row r="1271" spans="1:10" x14ac:dyDescent="0.3">
      <c r="A1271" t="s">
        <v>2</v>
      </c>
      <c r="B1271" s="6" t="s">
        <v>1050</v>
      </c>
    </row>
    <row r="1272" spans="1:10" x14ac:dyDescent="0.3">
      <c r="A1272" t="s">
        <v>3</v>
      </c>
      <c r="B1272" s="6">
        <v>1</v>
      </c>
    </row>
    <row r="1273" spans="1:10" ht="15.6" x14ac:dyDescent="0.3">
      <c r="A1273" t="s">
        <v>4</v>
      </c>
      <c r="B1273" s="74" t="s">
        <v>442</v>
      </c>
    </row>
    <row r="1274" spans="1:10" x14ac:dyDescent="0.3">
      <c r="A1274" t="s">
        <v>5</v>
      </c>
      <c r="B1274" s="6" t="s">
        <v>6</v>
      </c>
    </row>
    <row r="1275" spans="1:10" x14ac:dyDescent="0.3">
      <c r="A1275" t="s">
        <v>7</v>
      </c>
      <c r="B1275" s="6" t="s">
        <v>8</v>
      </c>
    </row>
    <row r="1276" spans="1:10" x14ac:dyDescent="0.3">
      <c r="A1276" t="s">
        <v>9</v>
      </c>
      <c r="B1276" s="6" t="s">
        <v>10</v>
      </c>
    </row>
    <row r="1277" spans="1:10" x14ac:dyDescent="0.3">
      <c r="A1277" t="s">
        <v>11</v>
      </c>
      <c r="B1277" s="6" t="s">
        <v>175</v>
      </c>
    </row>
    <row r="1278" spans="1:10" x14ac:dyDescent="0.3">
      <c r="A1278" t="s">
        <v>850</v>
      </c>
      <c r="B1278" s="5">
        <f>Summary!R13</f>
        <v>13.485301799179947</v>
      </c>
    </row>
    <row r="1279" spans="1:10" x14ac:dyDescent="0.3">
      <c r="A1279" t="s">
        <v>856</v>
      </c>
      <c r="B1279" s="78">
        <f>Summary!Q13</f>
        <v>0.2</v>
      </c>
    </row>
    <row r="1280" spans="1:10" ht="15.6" x14ac:dyDescent="0.3">
      <c r="A1280" s="1" t="s">
        <v>12</v>
      </c>
    </row>
    <row r="1281" spans="1:8" x14ac:dyDescent="0.3">
      <c r="A1281" t="s">
        <v>13</v>
      </c>
      <c r="B1281" s="6" t="s">
        <v>14</v>
      </c>
      <c r="C1281" t="s">
        <v>2</v>
      </c>
      <c r="D1281" t="s">
        <v>7</v>
      </c>
      <c r="E1281" t="s">
        <v>15</v>
      </c>
      <c r="F1281" t="s">
        <v>5</v>
      </c>
      <c r="G1281" t="s">
        <v>11</v>
      </c>
      <c r="H1281" t="s">
        <v>4</v>
      </c>
    </row>
    <row r="1282" spans="1:8" ht="15.6" x14ac:dyDescent="0.3">
      <c r="A1282" s="2" t="s">
        <v>85</v>
      </c>
      <c r="B1282" s="6">
        <v>1</v>
      </c>
      <c r="C1282" t="s">
        <v>1050</v>
      </c>
      <c r="D1282" t="s">
        <v>8</v>
      </c>
      <c r="F1282" t="s">
        <v>17</v>
      </c>
      <c r="G1282" t="s">
        <v>18</v>
      </c>
      <c r="H1282" s="74" t="s">
        <v>442</v>
      </c>
    </row>
    <row r="1283" spans="1:8" x14ac:dyDescent="0.3">
      <c r="A1283" t="s">
        <v>22</v>
      </c>
      <c r="B1283" s="6">
        <f>5983*Parameters!$B$3/Parameters!$B$8/1000</f>
        <v>0.24851916633468898</v>
      </c>
      <c r="C1283" t="s">
        <v>26</v>
      </c>
      <c r="D1283" t="s">
        <v>19</v>
      </c>
      <c r="F1283" t="s">
        <v>20</v>
      </c>
      <c r="G1283" t="s">
        <v>79</v>
      </c>
      <c r="H1283" t="s">
        <v>23</v>
      </c>
    </row>
    <row r="1284" spans="1:8" x14ac:dyDescent="0.3">
      <c r="A1284" t="s">
        <v>78</v>
      </c>
      <c r="B1284" s="6">
        <f>3100*Parameters!$B$3/Parameters!$B$8/1000</f>
        <v>0.12876640742729997</v>
      </c>
      <c r="C1284" t="s">
        <v>26</v>
      </c>
      <c r="D1284" t="s">
        <v>19</v>
      </c>
      <c r="F1284" t="s">
        <v>20</v>
      </c>
      <c r="G1284" t="s">
        <v>80</v>
      </c>
      <c r="H1284" t="s">
        <v>78</v>
      </c>
    </row>
    <row r="1285" spans="1:8" x14ac:dyDescent="0.3">
      <c r="A1285" t="s">
        <v>81</v>
      </c>
      <c r="B1285" s="6">
        <f>7646*Parameters!$B$3/Parameters!$B$8/1000</f>
        <v>0.31759611328681792</v>
      </c>
      <c r="C1285" t="s">
        <v>26</v>
      </c>
      <c r="D1285" t="s">
        <v>19</v>
      </c>
      <c r="F1285" t="s">
        <v>20</v>
      </c>
      <c r="G1285" t="s">
        <v>83</v>
      </c>
      <c r="H1285" t="s">
        <v>82</v>
      </c>
    </row>
    <row r="1286" spans="1:8" x14ac:dyDescent="0.3">
      <c r="A1286" t="s">
        <v>28</v>
      </c>
      <c r="B1286" s="6">
        <f>14*Parameters!$B$3/1000/3.6</f>
        <v>4.1029951666666666E-6</v>
      </c>
      <c r="C1286" t="s">
        <v>1051</v>
      </c>
      <c r="D1286" t="s">
        <v>29</v>
      </c>
      <c r="F1286" t="s">
        <v>20</v>
      </c>
      <c r="H1286" t="s">
        <v>30</v>
      </c>
    </row>
    <row r="1287" spans="1:8" x14ac:dyDescent="0.3">
      <c r="A1287" t="s">
        <v>352</v>
      </c>
      <c r="B1287" s="6">
        <f>20*Parameters!$B$7/1000</f>
        <v>3.2199999999999999E-2</v>
      </c>
      <c r="C1287" t="s">
        <v>581</v>
      </c>
      <c r="D1287" t="s">
        <v>41</v>
      </c>
      <c r="F1287" t="s">
        <v>20</v>
      </c>
      <c r="G1287" t="s">
        <v>86</v>
      </c>
      <c r="H1287" t="s">
        <v>353</v>
      </c>
    </row>
    <row r="1288" spans="1:8" x14ac:dyDescent="0.3">
      <c r="A1288" t="s">
        <v>42</v>
      </c>
      <c r="B1288" s="6">
        <f>0.522/Parameters!B8/1000</f>
        <v>2.0551139999999996E-2</v>
      </c>
      <c r="C1288" t="s">
        <v>1051</v>
      </c>
      <c r="D1288" t="s">
        <v>8</v>
      </c>
      <c r="F1288" t="s">
        <v>20</v>
      </c>
      <c r="H1288" t="s">
        <v>43</v>
      </c>
    </row>
    <row r="1289" spans="1:8" x14ac:dyDescent="0.3">
      <c r="A1289" t="s">
        <v>44</v>
      </c>
      <c r="B1289" s="6">
        <f>0.1235/Parameters!B8/1000</f>
        <v>4.8621949999999988E-3</v>
      </c>
      <c r="C1289" t="s">
        <v>1051</v>
      </c>
      <c r="D1289" t="s">
        <v>8</v>
      </c>
      <c r="F1289" t="s">
        <v>20</v>
      </c>
      <c r="H1289" t="s">
        <v>45</v>
      </c>
    </row>
    <row r="1290" spans="1:8" x14ac:dyDescent="0.3">
      <c r="A1290" t="s">
        <v>46</v>
      </c>
      <c r="B1290" s="6">
        <f>0.0194/Parameters!B8/1000</f>
        <v>7.63778E-4</v>
      </c>
      <c r="C1290" t="s">
        <v>1051</v>
      </c>
      <c r="D1290" t="s">
        <v>8</v>
      </c>
      <c r="F1290" t="s">
        <v>20</v>
      </c>
      <c r="H1290" t="s">
        <v>47</v>
      </c>
    </row>
    <row r="1291" spans="1:8" x14ac:dyDescent="0.3">
      <c r="A1291" t="s">
        <v>50</v>
      </c>
      <c r="B1291" s="6">
        <f>28.67/1000/Parameters!B8/1000</f>
        <v>1.1287379E-3</v>
      </c>
      <c r="C1291" t="s">
        <v>26</v>
      </c>
      <c r="D1291" t="s">
        <v>8</v>
      </c>
      <c r="F1291" t="s">
        <v>20</v>
      </c>
      <c r="G1291" t="s">
        <v>51</v>
      </c>
      <c r="H1291" t="s">
        <v>53</v>
      </c>
    </row>
    <row r="1292" spans="1:8" x14ac:dyDescent="0.3">
      <c r="A1292" t="s">
        <v>181</v>
      </c>
      <c r="B1292" s="6">
        <v>3.6830900643231697E-5</v>
      </c>
      <c r="C1292" t="s">
        <v>26</v>
      </c>
      <c r="D1292" t="s">
        <v>119</v>
      </c>
      <c r="F1292" t="s">
        <v>20</v>
      </c>
      <c r="G1292" t="s">
        <v>180</v>
      </c>
      <c r="H1292" t="s">
        <v>182</v>
      </c>
    </row>
    <row r="1293" spans="1:8" x14ac:dyDescent="0.3">
      <c r="A1293" t="s">
        <v>183</v>
      </c>
      <c r="B1293" s="6">
        <v>1.1049380686770699E-4</v>
      </c>
      <c r="C1293" t="s">
        <v>26</v>
      </c>
      <c r="D1293" t="s">
        <v>119</v>
      </c>
      <c r="F1293" t="s">
        <v>20</v>
      </c>
      <c r="G1293" t="s">
        <v>180</v>
      </c>
      <c r="H1293" t="s">
        <v>184</v>
      </c>
    </row>
    <row r="1294" spans="1:8" x14ac:dyDescent="0.3">
      <c r="A1294" t="s">
        <v>185</v>
      </c>
      <c r="B1294" s="6">
        <v>3.6830900643231697E-5</v>
      </c>
      <c r="C1294" t="s">
        <v>26</v>
      </c>
      <c r="D1294" t="s">
        <v>119</v>
      </c>
      <c r="F1294" t="s">
        <v>20</v>
      </c>
      <c r="G1294" t="s">
        <v>180</v>
      </c>
      <c r="H1294" t="s">
        <v>186</v>
      </c>
    </row>
    <row r="1295" spans="1:8" x14ac:dyDescent="0.3">
      <c r="A1295" t="s">
        <v>120</v>
      </c>
      <c r="B1295" s="6">
        <v>0.252</v>
      </c>
      <c r="C1295" t="s">
        <v>1051</v>
      </c>
      <c r="D1295" t="s">
        <v>121</v>
      </c>
      <c r="F1295" t="s">
        <v>20</v>
      </c>
      <c r="G1295" t="s">
        <v>125</v>
      </c>
      <c r="H1295" t="s">
        <v>122</v>
      </c>
    </row>
    <row r="1296" spans="1:8" x14ac:dyDescent="0.3">
      <c r="A1296" t="s">
        <v>187</v>
      </c>
      <c r="B1296" s="6">
        <v>1.1048999999999999E-4</v>
      </c>
      <c r="C1296" t="s">
        <v>26</v>
      </c>
      <c r="D1296" t="s">
        <v>119</v>
      </c>
      <c r="F1296" t="s">
        <v>20</v>
      </c>
      <c r="G1296" t="s">
        <v>180</v>
      </c>
      <c r="H1296" t="s">
        <v>188</v>
      </c>
    </row>
    <row r="1297" spans="1:7" x14ac:dyDescent="0.3">
      <c r="A1297" t="s">
        <v>325</v>
      </c>
      <c r="B1297" s="6">
        <f>(0.454)/1000</f>
        <v>4.5400000000000003E-4</v>
      </c>
      <c r="D1297" t="s">
        <v>8</v>
      </c>
      <c r="E1297" t="s">
        <v>37</v>
      </c>
      <c r="F1297" t="s">
        <v>36</v>
      </c>
      <c r="G1297" t="s">
        <v>1009</v>
      </c>
    </row>
    <row r="1298" spans="1:7" x14ac:dyDescent="0.3">
      <c r="A1298" t="s">
        <v>994</v>
      </c>
      <c r="B1298" s="6">
        <f>11.36/1000000</f>
        <v>1.136E-5</v>
      </c>
      <c r="D1298" t="s">
        <v>8</v>
      </c>
      <c r="E1298" t="s">
        <v>37</v>
      </c>
      <c r="F1298" t="s">
        <v>36</v>
      </c>
      <c r="G1298" t="s">
        <v>1010</v>
      </c>
    </row>
    <row r="1299" spans="1:7" x14ac:dyDescent="0.3">
      <c r="A1299" t="s">
        <v>40</v>
      </c>
      <c r="B1299" s="6">
        <f>13.75/1000000</f>
        <v>1.375E-5</v>
      </c>
      <c r="D1299" t="s">
        <v>8</v>
      </c>
      <c r="E1299" t="s">
        <v>37</v>
      </c>
      <c r="F1299" t="s">
        <v>36</v>
      </c>
      <c r="G1299" t="s">
        <v>1011</v>
      </c>
    </row>
    <row r="1300" spans="1:7" x14ac:dyDescent="0.3">
      <c r="A1300" t="s">
        <v>150</v>
      </c>
      <c r="B1300" s="6">
        <v>9.0160736528123E-5</v>
      </c>
      <c r="D1300" t="s">
        <v>8</v>
      </c>
      <c r="E1300" t="s">
        <v>170</v>
      </c>
      <c r="F1300" t="s">
        <v>36</v>
      </c>
      <c r="G1300" t="s">
        <v>180</v>
      </c>
    </row>
    <row r="1301" spans="1:7" x14ac:dyDescent="0.3">
      <c r="A1301" t="s">
        <v>132</v>
      </c>
      <c r="B1301" s="6">
        <v>-9.1589421450978903E-6</v>
      </c>
      <c r="D1301" t="s">
        <v>8</v>
      </c>
      <c r="E1301" t="s">
        <v>170</v>
      </c>
      <c r="F1301" t="s">
        <v>36</v>
      </c>
      <c r="G1301" t="s">
        <v>180</v>
      </c>
    </row>
    <row r="1302" spans="1:7" x14ac:dyDescent="0.3">
      <c r="A1302" t="s">
        <v>158</v>
      </c>
      <c r="B1302" s="6">
        <v>8.2358768825088601E-6</v>
      </c>
      <c r="D1302" t="s">
        <v>8</v>
      </c>
      <c r="E1302" t="s">
        <v>170</v>
      </c>
      <c r="F1302" t="s">
        <v>36</v>
      </c>
      <c r="G1302" t="s">
        <v>180</v>
      </c>
    </row>
    <row r="1303" spans="1:7" x14ac:dyDescent="0.3">
      <c r="A1303" t="s">
        <v>164</v>
      </c>
      <c r="B1303" s="6">
        <v>1.48614170237082E-7</v>
      </c>
      <c r="D1303" t="s">
        <v>8</v>
      </c>
      <c r="E1303" t="s">
        <v>170</v>
      </c>
      <c r="F1303" t="s">
        <v>36</v>
      </c>
      <c r="G1303" t="s">
        <v>180</v>
      </c>
    </row>
    <row r="1304" spans="1:7" x14ac:dyDescent="0.3">
      <c r="A1304" t="s">
        <v>173</v>
      </c>
      <c r="B1304" s="6">
        <v>1.0017920999684E-4</v>
      </c>
      <c r="D1304" t="s">
        <v>8</v>
      </c>
      <c r="E1304" t="s">
        <v>171</v>
      </c>
      <c r="F1304" t="s">
        <v>36</v>
      </c>
      <c r="G1304" t="s">
        <v>180</v>
      </c>
    </row>
    <row r="1305" spans="1:7" x14ac:dyDescent="0.3">
      <c r="A1305" t="s">
        <v>151</v>
      </c>
      <c r="B1305" s="6">
        <v>8.4092416654724493E-6</v>
      </c>
      <c r="D1305" t="s">
        <v>8</v>
      </c>
      <c r="E1305" t="s">
        <v>170</v>
      </c>
      <c r="F1305" t="s">
        <v>36</v>
      </c>
      <c r="G1305" t="s">
        <v>180</v>
      </c>
    </row>
    <row r="1306" spans="1:7" x14ac:dyDescent="0.3">
      <c r="A1306" t="s">
        <v>172</v>
      </c>
      <c r="B1306" s="6">
        <v>1.3650404900446601E-2</v>
      </c>
      <c r="D1306" t="s">
        <v>8</v>
      </c>
      <c r="E1306" t="s">
        <v>179</v>
      </c>
      <c r="F1306" t="s">
        <v>36</v>
      </c>
      <c r="G1306" t="s">
        <v>180</v>
      </c>
    </row>
    <row r="1307" spans="1:7" x14ac:dyDescent="0.3">
      <c r="A1307" t="s">
        <v>148</v>
      </c>
      <c r="B1307" s="6">
        <v>-2.0214841966486099E-7</v>
      </c>
      <c r="D1307" t="s">
        <v>8</v>
      </c>
      <c r="E1307" t="s">
        <v>170</v>
      </c>
      <c r="F1307" t="s">
        <v>36</v>
      </c>
      <c r="G1307" t="s">
        <v>180</v>
      </c>
    </row>
    <row r="1308" spans="1:7" x14ac:dyDescent="0.3">
      <c r="A1308" t="s">
        <v>126</v>
      </c>
      <c r="B1308" s="6">
        <v>2.56890246744301E-2</v>
      </c>
      <c r="D1308" t="s">
        <v>121</v>
      </c>
      <c r="E1308" t="s">
        <v>171</v>
      </c>
      <c r="F1308" t="s">
        <v>36</v>
      </c>
      <c r="G1308" t="s">
        <v>180</v>
      </c>
    </row>
    <row r="1309" spans="1:7" x14ac:dyDescent="0.3">
      <c r="A1309" t="s">
        <v>176</v>
      </c>
      <c r="B1309" s="6">
        <v>1.8577323748694601E-8</v>
      </c>
      <c r="D1309" t="s">
        <v>8</v>
      </c>
      <c r="E1309" t="s">
        <v>170</v>
      </c>
      <c r="F1309" t="s">
        <v>36</v>
      </c>
      <c r="G1309" t="s">
        <v>180</v>
      </c>
    </row>
    <row r="1310" spans="1:7" x14ac:dyDescent="0.3">
      <c r="A1310" t="s">
        <v>38</v>
      </c>
      <c r="B1310" s="6">
        <v>4.8263694839849898E-5</v>
      </c>
      <c r="D1310" t="s">
        <v>8</v>
      </c>
      <c r="E1310" t="s">
        <v>169</v>
      </c>
      <c r="F1310" t="s">
        <v>36</v>
      </c>
      <c r="G1310" t="s">
        <v>180</v>
      </c>
    </row>
    <row r="1311" spans="1:7" x14ac:dyDescent="0.3">
      <c r="A1311" t="s">
        <v>140</v>
      </c>
      <c r="B1311" s="6">
        <v>3.0516179580729401E-5</v>
      </c>
      <c r="D1311" t="s">
        <v>8</v>
      </c>
      <c r="E1311" t="s">
        <v>170</v>
      </c>
      <c r="F1311" t="s">
        <v>36</v>
      </c>
      <c r="G1311" t="s">
        <v>180</v>
      </c>
    </row>
    <row r="1312" spans="1:7" x14ac:dyDescent="0.3">
      <c r="A1312" t="s">
        <v>127</v>
      </c>
      <c r="B1312" s="6">
        <v>7.5135788670211399E-4</v>
      </c>
      <c r="D1312" t="s">
        <v>8</v>
      </c>
      <c r="E1312" t="s">
        <v>169</v>
      </c>
      <c r="F1312" t="s">
        <v>36</v>
      </c>
      <c r="G1312" t="s">
        <v>180</v>
      </c>
    </row>
    <row r="1313" spans="1:7" x14ac:dyDescent="0.3">
      <c r="A1313" t="s">
        <v>155</v>
      </c>
      <c r="B1313" s="6">
        <v>2.7085346877506901E-5</v>
      </c>
      <c r="D1313" t="s">
        <v>8</v>
      </c>
      <c r="E1313" t="s">
        <v>170</v>
      </c>
      <c r="F1313" t="s">
        <v>36</v>
      </c>
      <c r="G1313" t="s">
        <v>180</v>
      </c>
    </row>
    <row r="1314" spans="1:7" x14ac:dyDescent="0.3">
      <c r="A1314" t="s">
        <v>159</v>
      </c>
      <c r="B1314" s="6">
        <v>8.9169607080421099E-7</v>
      </c>
      <c r="D1314" t="s">
        <v>8</v>
      </c>
      <c r="E1314" t="s">
        <v>170</v>
      </c>
      <c r="F1314" t="s">
        <v>36</v>
      </c>
      <c r="G1314" t="s">
        <v>180</v>
      </c>
    </row>
    <row r="1315" spans="1:7" x14ac:dyDescent="0.3">
      <c r="A1315" t="s">
        <v>142</v>
      </c>
      <c r="B1315" s="6">
        <v>-1.0605085089343501E-5</v>
      </c>
      <c r="D1315" t="s">
        <v>8</v>
      </c>
      <c r="E1315" t="s">
        <v>170</v>
      </c>
      <c r="F1315" t="s">
        <v>36</v>
      </c>
      <c r="G1315" t="s">
        <v>180</v>
      </c>
    </row>
    <row r="1316" spans="1:7" x14ac:dyDescent="0.3">
      <c r="A1316" t="s">
        <v>168</v>
      </c>
      <c r="B1316" s="6">
        <v>-4.4162164728938601E-6</v>
      </c>
      <c r="D1316" t="s">
        <v>8</v>
      </c>
      <c r="E1316" t="s">
        <v>170</v>
      </c>
      <c r="F1316" t="s">
        <v>36</v>
      </c>
      <c r="G1316" t="s">
        <v>180</v>
      </c>
    </row>
    <row r="1317" spans="1:7" x14ac:dyDescent="0.3">
      <c r="A1317" t="s">
        <v>144</v>
      </c>
      <c r="B1317" s="6">
        <v>2.3283254983157499E-6</v>
      </c>
      <c r="D1317" t="s">
        <v>8</v>
      </c>
      <c r="E1317" t="s">
        <v>170</v>
      </c>
      <c r="F1317" t="s">
        <v>36</v>
      </c>
      <c r="G1317" t="s">
        <v>180</v>
      </c>
    </row>
    <row r="1318" spans="1:7" x14ac:dyDescent="0.3">
      <c r="A1318" t="s">
        <v>110</v>
      </c>
      <c r="B1318" s="6">
        <v>1.10493806867789</v>
      </c>
      <c r="D1318" t="s">
        <v>115</v>
      </c>
      <c r="E1318" t="s">
        <v>114</v>
      </c>
      <c r="F1318" t="s">
        <v>36</v>
      </c>
      <c r="G1318" t="s">
        <v>180</v>
      </c>
    </row>
    <row r="1319" spans="1:7" x14ac:dyDescent="0.3">
      <c r="A1319" t="s">
        <v>126</v>
      </c>
      <c r="B1319" s="6">
        <v>0.12385329220866501</v>
      </c>
      <c r="D1319" t="s">
        <v>121</v>
      </c>
      <c r="E1319" t="s">
        <v>37</v>
      </c>
      <c r="F1319" t="s">
        <v>36</v>
      </c>
      <c r="G1319" t="s">
        <v>180</v>
      </c>
    </row>
    <row r="1320" spans="1:7" x14ac:dyDescent="0.3">
      <c r="A1320" t="s">
        <v>1046</v>
      </c>
      <c r="B1320" s="6">
        <f>0.393*(44/12)</f>
        <v>1.4410000000000001</v>
      </c>
      <c r="D1320" t="s">
        <v>8</v>
      </c>
      <c r="E1320" t="s">
        <v>1047</v>
      </c>
      <c r="F1320" t="s">
        <v>36</v>
      </c>
      <c r="G1320" t="s">
        <v>180</v>
      </c>
    </row>
    <row r="1321" spans="1:7" x14ac:dyDescent="0.3">
      <c r="A1321" t="s">
        <v>126</v>
      </c>
      <c r="B1321" s="6">
        <v>0.102756098697507</v>
      </c>
      <c r="D1321" t="s">
        <v>121</v>
      </c>
      <c r="E1321" t="s">
        <v>179</v>
      </c>
      <c r="F1321" t="s">
        <v>36</v>
      </c>
      <c r="G1321" t="s">
        <v>180</v>
      </c>
    </row>
    <row r="1322" spans="1:7" x14ac:dyDescent="0.3">
      <c r="A1322" t="s">
        <v>108</v>
      </c>
      <c r="B1322" s="6">
        <v>27.26</v>
      </c>
      <c r="D1322" t="s">
        <v>19</v>
      </c>
      <c r="E1322" t="s">
        <v>112</v>
      </c>
      <c r="F1322" t="s">
        <v>36</v>
      </c>
      <c r="G1322" t="s">
        <v>180</v>
      </c>
    </row>
    <row r="1323" spans="1:7" x14ac:dyDescent="0.3">
      <c r="A1323" t="s">
        <v>173</v>
      </c>
      <c r="B1323" s="6">
        <v>7.7345664807288202E-6</v>
      </c>
      <c r="D1323" t="s">
        <v>8</v>
      </c>
      <c r="E1323" t="s">
        <v>179</v>
      </c>
      <c r="F1323" t="s">
        <v>36</v>
      </c>
      <c r="G1323" t="s">
        <v>180</v>
      </c>
    </row>
    <row r="1324" spans="1:7" x14ac:dyDescent="0.3">
      <c r="A1324" t="s">
        <v>177</v>
      </c>
      <c r="B1324" s="6">
        <v>1.10493806867789</v>
      </c>
      <c r="D1324" t="s">
        <v>115</v>
      </c>
      <c r="E1324" t="s">
        <v>114</v>
      </c>
      <c r="F1324" t="s">
        <v>36</v>
      </c>
      <c r="G1324" t="s">
        <v>180</v>
      </c>
    </row>
    <row r="1325" spans="1:7" x14ac:dyDescent="0.3">
      <c r="A1325" t="s">
        <v>153</v>
      </c>
      <c r="B1325" s="6">
        <v>1.3871392514178299E-6</v>
      </c>
      <c r="D1325" t="s">
        <v>8</v>
      </c>
      <c r="E1325" t="s">
        <v>170</v>
      </c>
      <c r="F1325" t="s">
        <v>36</v>
      </c>
      <c r="G1325" t="s">
        <v>180</v>
      </c>
    </row>
    <row r="1326" spans="1:7" x14ac:dyDescent="0.3">
      <c r="A1326" t="s">
        <v>178</v>
      </c>
      <c r="B1326" s="6">
        <v>0.64451037545981105</v>
      </c>
      <c r="D1326" t="s">
        <v>113</v>
      </c>
      <c r="E1326" t="s">
        <v>114</v>
      </c>
      <c r="F1326" t="s">
        <v>36</v>
      </c>
      <c r="G1326" t="s">
        <v>180</v>
      </c>
    </row>
    <row r="1327" spans="1:7" x14ac:dyDescent="0.3">
      <c r="A1327" t="s">
        <v>149</v>
      </c>
      <c r="B1327" s="6">
        <v>4.0175548177144303E-5</v>
      </c>
      <c r="D1327" t="s">
        <v>8</v>
      </c>
      <c r="E1327" t="s">
        <v>170</v>
      </c>
      <c r="F1327" t="s">
        <v>36</v>
      </c>
      <c r="G1327" t="s">
        <v>180</v>
      </c>
    </row>
    <row r="1329" spans="1:8" ht="15.6" x14ac:dyDescent="0.3">
      <c r="A1329" s="1" t="s">
        <v>1</v>
      </c>
      <c r="B1329" s="73" t="s">
        <v>440</v>
      </c>
    </row>
    <row r="1330" spans="1:8" x14ac:dyDescent="0.3">
      <c r="A1330" t="s">
        <v>2</v>
      </c>
      <c r="B1330" s="6" t="s">
        <v>1050</v>
      </c>
    </row>
    <row r="1331" spans="1:8" x14ac:dyDescent="0.3">
      <c r="A1331" t="s">
        <v>3</v>
      </c>
      <c r="B1331" s="6">
        <v>1</v>
      </c>
    </row>
    <row r="1332" spans="1:8" ht="15.6" x14ac:dyDescent="0.3">
      <c r="A1332" t="s">
        <v>4</v>
      </c>
      <c r="B1332" s="74" t="s">
        <v>441</v>
      </c>
    </row>
    <row r="1333" spans="1:8" x14ac:dyDescent="0.3">
      <c r="A1333" t="s">
        <v>5</v>
      </c>
      <c r="B1333" s="6" t="s">
        <v>6</v>
      </c>
    </row>
    <row r="1334" spans="1:8" x14ac:dyDescent="0.3">
      <c r="A1334" t="s">
        <v>7</v>
      </c>
      <c r="B1334" s="6" t="s">
        <v>8</v>
      </c>
    </row>
    <row r="1335" spans="1:8" x14ac:dyDescent="0.3">
      <c r="A1335" t="s">
        <v>9</v>
      </c>
      <c r="B1335" s="6" t="s">
        <v>10</v>
      </c>
    </row>
    <row r="1336" spans="1:8" x14ac:dyDescent="0.3">
      <c r="A1336" t="s">
        <v>11</v>
      </c>
      <c r="B1336" s="6" t="s">
        <v>230</v>
      </c>
    </row>
    <row r="1337" spans="1:8" x14ac:dyDescent="0.3">
      <c r="A1337" t="s">
        <v>497</v>
      </c>
      <c r="B1337" s="72">
        <f>Summary!O98</f>
        <v>0.87984240844115846</v>
      </c>
    </row>
    <row r="1338" spans="1:8" ht="15.6" x14ac:dyDescent="0.3">
      <c r="A1338" s="1" t="s">
        <v>12</v>
      </c>
    </row>
    <row r="1339" spans="1:8" x14ac:dyDescent="0.3">
      <c r="A1339" t="s">
        <v>13</v>
      </c>
      <c r="B1339" s="6" t="s">
        <v>14</v>
      </c>
      <c r="C1339" t="s">
        <v>2</v>
      </c>
      <c r="D1339" t="s">
        <v>7</v>
      </c>
      <c r="E1339" t="s">
        <v>15</v>
      </c>
      <c r="F1339" t="s">
        <v>5</v>
      </c>
      <c r="G1339" t="s">
        <v>11</v>
      </c>
      <c r="H1339" t="s">
        <v>4</v>
      </c>
    </row>
    <row r="1340" spans="1:8" ht="15.6" x14ac:dyDescent="0.3">
      <c r="A1340" s="2" t="s">
        <v>440</v>
      </c>
      <c r="B1340" s="6">
        <v>1</v>
      </c>
      <c r="C1340" t="s">
        <v>1050</v>
      </c>
      <c r="D1340" t="s">
        <v>8</v>
      </c>
      <c r="F1340" t="s">
        <v>17</v>
      </c>
      <c r="G1340" t="s">
        <v>18</v>
      </c>
      <c r="H1340" s="2" t="s">
        <v>441</v>
      </c>
    </row>
    <row r="1341" spans="1:8" ht="15.6" x14ac:dyDescent="0.3">
      <c r="A1341" s="2" t="s">
        <v>85</v>
      </c>
      <c r="B1341" s="6">
        <f>(1/((Parameters!$D$55*Parameters!$B$4*Parameters!$B$10)/1000))*Parameters!D60</f>
        <v>2.5031731272827198</v>
      </c>
      <c r="C1341" t="s">
        <v>1050</v>
      </c>
      <c r="D1341" t="s">
        <v>8</v>
      </c>
      <c r="F1341" t="s">
        <v>20</v>
      </c>
      <c r="G1341" t="s">
        <v>18</v>
      </c>
      <c r="H1341" s="74" t="s">
        <v>442</v>
      </c>
    </row>
    <row r="1342" spans="1:8" ht="15.6" x14ac:dyDescent="0.3">
      <c r="A1342" s="2" t="s">
        <v>438</v>
      </c>
      <c r="B1342" s="6">
        <f>((26556*Parameters!$B$3)/(Parameters!$B$4*Parameters!$B$10))*Parameters!D60</f>
        <v>7.7589106908535284</v>
      </c>
      <c r="C1342" t="s">
        <v>31</v>
      </c>
      <c r="D1342" t="s">
        <v>19</v>
      </c>
      <c r="F1342" t="s">
        <v>20</v>
      </c>
      <c r="G1342" t="s">
        <v>500</v>
      </c>
      <c r="H1342" s="2" t="s">
        <v>439</v>
      </c>
    </row>
    <row r="1343" spans="1:8" ht="15.6" x14ac:dyDescent="0.3">
      <c r="A1343" s="2" t="s">
        <v>28</v>
      </c>
      <c r="B1343" s="6">
        <f>((2501*Parameters!$B$3/3.6)/(Parameters!$B$4*Parameters!$B$10))*Parameters!D60</f>
        <v>0.20297814720490737</v>
      </c>
      <c r="C1343" t="s">
        <v>1051</v>
      </c>
      <c r="D1343" t="s">
        <v>29</v>
      </c>
      <c r="F1343" t="s">
        <v>20</v>
      </c>
      <c r="H1343" s="2" t="s">
        <v>30</v>
      </c>
    </row>
    <row r="1344" spans="1:8" ht="15.6" x14ac:dyDescent="0.3">
      <c r="A1344" s="2" t="s">
        <v>384</v>
      </c>
      <c r="B1344" s="6">
        <f>((2.79/1000)/(Parameters!$B$4*Parameters!$B$10))*Parameters!D60</f>
        <v>7.7262156501298391E-4</v>
      </c>
      <c r="C1344" t="s">
        <v>26</v>
      </c>
      <c r="D1344" t="s">
        <v>8</v>
      </c>
      <c r="F1344" t="s">
        <v>20</v>
      </c>
      <c r="G1344" t="s">
        <v>386</v>
      </c>
      <c r="H1344" s="2" t="s">
        <v>385</v>
      </c>
    </row>
    <row r="1345" spans="1:8" ht="15.6" x14ac:dyDescent="0.3">
      <c r="A1345" s="2" t="s">
        <v>252</v>
      </c>
      <c r="B1345" s="6">
        <f>((4.72/1000)/(Parameters!$B$4*Parameters!$B$10))*Parameters!D60</f>
        <v>1.3070873788033274E-3</v>
      </c>
      <c r="C1345" t="s">
        <v>31</v>
      </c>
      <c r="D1345" t="s">
        <v>8</v>
      </c>
      <c r="F1345" t="s">
        <v>20</v>
      </c>
      <c r="H1345" s="2" t="s">
        <v>253</v>
      </c>
    </row>
    <row r="1346" spans="1:8" ht="15.6" x14ac:dyDescent="0.3">
      <c r="A1346" s="2" t="s">
        <v>254</v>
      </c>
      <c r="B1346" s="6">
        <f>((18.1/1000)/(Parameters!$B$4*Parameters!$B$10))*Parameters!D60</f>
        <v>5.012347787360219E-3</v>
      </c>
      <c r="C1346" t="s">
        <v>255</v>
      </c>
      <c r="D1346" t="s">
        <v>8</v>
      </c>
      <c r="F1346" t="s">
        <v>20</v>
      </c>
      <c r="H1346" s="2" t="s">
        <v>256</v>
      </c>
    </row>
    <row r="1347" spans="1:8" ht="15.6" x14ac:dyDescent="0.3">
      <c r="A1347" s="2" t="s">
        <v>370</v>
      </c>
      <c r="B1347" s="6">
        <f>((10.83/1000)/(Parameters!$B$4*Parameters!$B$10))*Parameters!D60</f>
        <v>2.9991009136525505E-3</v>
      </c>
      <c r="C1347" t="s">
        <v>31</v>
      </c>
      <c r="D1347" t="s">
        <v>8</v>
      </c>
      <c r="F1347" t="s">
        <v>20</v>
      </c>
      <c r="G1347" t="s">
        <v>387</v>
      </c>
      <c r="H1347" s="2" t="s">
        <v>371</v>
      </c>
    </row>
    <row r="1348" spans="1:8" ht="15.6" x14ac:dyDescent="0.3">
      <c r="A1348" s="2" t="s">
        <v>388</v>
      </c>
      <c r="B1348" s="6">
        <f>((22.71/1000)/(Parameters!$B$4*Parameters!$B$10))*Parameters!D60</f>
        <v>6.2889733840304175E-3</v>
      </c>
      <c r="C1348" t="s">
        <v>26</v>
      </c>
      <c r="D1348" t="s">
        <v>8</v>
      </c>
      <c r="F1348" t="s">
        <v>20</v>
      </c>
      <c r="G1348" t="s">
        <v>390</v>
      </c>
      <c r="H1348" s="2" t="s">
        <v>389</v>
      </c>
    </row>
    <row r="1349" spans="1:8" x14ac:dyDescent="0.3">
      <c r="A1349" t="s">
        <v>265</v>
      </c>
      <c r="B1349" s="6">
        <f>(B1320*B1341)-Parameters!$B$13</f>
        <v>1.6930724764143996</v>
      </c>
      <c r="D1349" t="s">
        <v>8</v>
      </c>
      <c r="E1349" t="s">
        <v>37</v>
      </c>
      <c r="F1349" t="s">
        <v>36</v>
      </c>
      <c r="G1349" t="s">
        <v>428</v>
      </c>
    </row>
    <row r="1350" spans="1:8" x14ac:dyDescent="0.3">
      <c r="A1350" t="s">
        <v>306</v>
      </c>
      <c r="B1350" s="6">
        <f>1/(90000000*20)</f>
        <v>5.5555555555555553E-10</v>
      </c>
      <c r="C1350" t="s">
        <v>26</v>
      </c>
      <c r="D1350" t="s">
        <v>7</v>
      </c>
      <c r="F1350" t="s">
        <v>20</v>
      </c>
      <c r="G1350" t="s">
        <v>308</v>
      </c>
      <c r="H1350" t="s">
        <v>307</v>
      </c>
    </row>
    <row r="1351" spans="1:8" ht="15.6" x14ac:dyDescent="0.3">
      <c r="A1351" s="2"/>
      <c r="H1351" s="2"/>
    </row>
    <row r="1352" spans="1:8" ht="15.6" x14ac:dyDescent="0.3">
      <c r="A1352" s="1" t="s">
        <v>1</v>
      </c>
      <c r="B1352" s="73" t="s">
        <v>443</v>
      </c>
    </row>
    <row r="1353" spans="1:8" x14ac:dyDescent="0.3">
      <c r="A1353" t="s">
        <v>2</v>
      </c>
      <c r="B1353" s="6" t="s">
        <v>1050</v>
      </c>
    </row>
    <row r="1354" spans="1:8" x14ac:dyDescent="0.3">
      <c r="A1354" t="s">
        <v>3</v>
      </c>
      <c r="B1354" s="6">
        <v>1</v>
      </c>
    </row>
    <row r="1355" spans="1:8" ht="15.6" x14ac:dyDescent="0.3">
      <c r="A1355" t="s">
        <v>4</v>
      </c>
      <c r="B1355" s="74" t="s">
        <v>441</v>
      </c>
    </row>
    <row r="1356" spans="1:8" x14ac:dyDescent="0.3">
      <c r="A1356" t="s">
        <v>5</v>
      </c>
      <c r="B1356" s="6" t="s">
        <v>6</v>
      </c>
    </row>
    <row r="1357" spans="1:8" x14ac:dyDescent="0.3">
      <c r="A1357" t="s">
        <v>7</v>
      </c>
      <c r="B1357" s="6" t="s">
        <v>8</v>
      </c>
    </row>
    <row r="1358" spans="1:8" x14ac:dyDescent="0.3">
      <c r="A1358" t="s">
        <v>9</v>
      </c>
      <c r="B1358" s="6" t="s">
        <v>10</v>
      </c>
    </row>
    <row r="1359" spans="1:8" x14ac:dyDescent="0.3">
      <c r="A1359" t="s">
        <v>11</v>
      </c>
      <c r="B1359" s="6" t="s">
        <v>373</v>
      </c>
    </row>
    <row r="1360" spans="1:8" x14ac:dyDescent="0.3">
      <c r="A1360" t="s">
        <v>497</v>
      </c>
      <c r="B1360" s="72">
        <f>Summary!O41</f>
        <v>1.1947942065366799</v>
      </c>
    </row>
    <row r="1361" spans="1:8" ht="15.6" x14ac:dyDescent="0.3">
      <c r="A1361" s="1" t="s">
        <v>12</v>
      </c>
    </row>
    <row r="1362" spans="1:8" x14ac:dyDescent="0.3">
      <c r="A1362" t="s">
        <v>13</v>
      </c>
      <c r="B1362" s="6" t="s">
        <v>14</v>
      </c>
      <c r="C1362" t="s">
        <v>2</v>
      </c>
      <c r="D1362" t="s">
        <v>7</v>
      </c>
      <c r="E1362" t="s">
        <v>15</v>
      </c>
      <c r="F1362" t="s">
        <v>5</v>
      </c>
      <c r="G1362" t="s">
        <v>11</v>
      </c>
      <c r="H1362" t="s">
        <v>4</v>
      </c>
    </row>
    <row r="1363" spans="1:8" ht="15.6" x14ac:dyDescent="0.3">
      <c r="A1363" s="2" t="s">
        <v>443</v>
      </c>
      <c r="B1363" s="6">
        <v>1</v>
      </c>
      <c r="C1363" t="s">
        <v>1050</v>
      </c>
      <c r="D1363" t="s">
        <v>8</v>
      </c>
      <c r="F1363" t="s">
        <v>17</v>
      </c>
      <c r="G1363" t="s">
        <v>18</v>
      </c>
      <c r="H1363" s="2" t="s">
        <v>441</v>
      </c>
    </row>
    <row r="1364" spans="1:8" ht="15.6" x14ac:dyDescent="0.3">
      <c r="A1364" s="2" t="s">
        <v>85</v>
      </c>
      <c r="B1364" s="6">
        <f>(1/((Parameters!$D$55*Parameters!$B$4*Parameters!$B$10)/1000))*Parameters!D61</f>
        <v>1.8433282158587381</v>
      </c>
      <c r="C1364" t="s">
        <v>1050</v>
      </c>
      <c r="D1364" t="s">
        <v>8</v>
      </c>
      <c r="F1364" t="s">
        <v>20</v>
      </c>
      <c r="G1364" t="s">
        <v>18</v>
      </c>
      <c r="H1364" s="74" t="s">
        <v>442</v>
      </c>
    </row>
    <row r="1365" spans="1:8" ht="15.6" x14ac:dyDescent="0.3">
      <c r="A1365" s="2" t="s">
        <v>438</v>
      </c>
      <c r="B1365" s="6">
        <f>(26556*Parameters!$B$3)/(Parameters!$B$4*Parameters!$B$10)*Parameters!D61</f>
        <v>5.7136355631557425</v>
      </c>
      <c r="C1365" t="s">
        <v>31</v>
      </c>
      <c r="D1365" t="s">
        <v>19</v>
      </c>
      <c r="F1365" t="s">
        <v>20</v>
      </c>
      <c r="G1365" t="s">
        <v>437</v>
      </c>
      <c r="H1365" s="2" t="s">
        <v>439</v>
      </c>
    </row>
    <row r="1366" spans="1:8" ht="15.6" x14ac:dyDescent="0.3">
      <c r="A1366" s="2" t="s">
        <v>28</v>
      </c>
      <c r="B1366" s="6">
        <f>(2501*Parameters!$B$3/3.6)/(Parameters!$B$4*Parameters!$B$10)*Parameters!D61</f>
        <v>0.14947242037217484</v>
      </c>
      <c r="C1366" t="s">
        <v>1051</v>
      </c>
      <c r="D1366" t="s">
        <v>29</v>
      </c>
      <c r="F1366" t="s">
        <v>20</v>
      </c>
      <c r="H1366" s="2" t="s">
        <v>30</v>
      </c>
    </row>
    <row r="1367" spans="1:8" ht="15.6" x14ac:dyDescent="0.3">
      <c r="A1367" s="2" t="s">
        <v>384</v>
      </c>
      <c r="B1367" s="6">
        <f>((2.79/1000)/(Parameters!$B$4*Parameters!$B$10))*Parameters!D61</f>
        <v>5.6895590458634485E-4</v>
      </c>
      <c r="C1367" t="s">
        <v>26</v>
      </c>
      <c r="D1367" t="s">
        <v>8</v>
      </c>
      <c r="F1367" t="s">
        <v>20</v>
      </c>
      <c r="G1367" t="s">
        <v>386</v>
      </c>
      <c r="H1367" s="2" t="s">
        <v>385</v>
      </c>
    </row>
    <row r="1368" spans="1:8" ht="15.6" x14ac:dyDescent="0.3">
      <c r="A1368" s="2" t="s">
        <v>252</v>
      </c>
      <c r="B1368" s="6">
        <f>((4.72/1000)/(Parameters!$B$4*Parameters!$B$10))*Parameters!D61</f>
        <v>9.625347203037804E-4</v>
      </c>
      <c r="C1368" t="s">
        <v>31</v>
      </c>
      <c r="D1368" t="s">
        <v>8</v>
      </c>
      <c r="F1368" t="s">
        <v>20</v>
      </c>
      <c r="H1368" s="2" t="s">
        <v>253</v>
      </c>
    </row>
    <row r="1369" spans="1:8" ht="15.6" x14ac:dyDescent="0.3">
      <c r="A1369" s="2" t="s">
        <v>254</v>
      </c>
      <c r="B1369" s="6">
        <f>((18.1/1000)/(Parameters!$B$4*Parameters!$B$10))*Parameters!D61</f>
        <v>3.6910759401479728E-3</v>
      </c>
      <c r="C1369" t="s">
        <v>255</v>
      </c>
      <c r="D1369" t="s">
        <v>8</v>
      </c>
      <c r="F1369" t="s">
        <v>20</v>
      </c>
      <c r="H1369" s="2" t="s">
        <v>256</v>
      </c>
    </row>
    <row r="1370" spans="1:8" ht="15.6" x14ac:dyDescent="0.3">
      <c r="A1370" s="2" t="s">
        <v>370</v>
      </c>
      <c r="B1370" s="6">
        <f>((10.83/1000)/(Parameters!$B$4*Parameters!$B$10))*Parameters!D61</f>
        <v>2.2085277586631237E-3</v>
      </c>
      <c r="C1370" t="s">
        <v>31</v>
      </c>
      <c r="D1370" t="s">
        <v>8</v>
      </c>
      <c r="F1370" t="s">
        <v>20</v>
      </c>
      <c r="G1370" t="s">
        <v>387</v>
      </c>
      <c r="H1370" s="2" t="s">
        <v>371</v>
      </c>
    </row>
    <row r="1371" spans="1:8" ht="15.6" x14ac:dyDescent="0.3">
      <c r="A1371" s="2" t="s">
        <v>388</v>
      </c>
      <c r="B1371" s="6">
        <f>((22.71/1000)/(Parameters!$B$4*Parameters!$B$10))*Parameters!D61</f>
        <v>4.6311787072243343E-3</v>
      </c>
      <c r="C1371" t="s">
        <v>26</v>
      </c>
      <c r="D1371" t="s">
        <v>8</v>
      </c>
      <c r="F1371" t="s">
        <v>20</v>
      </c>
      <c r="G1371" t="s">
        <v>390</v>
      </c>
      <c r="H1371" s="2" t="s">
        <v>389</v>
      </c>
    </row>
    <row r="1372" spans="1:8" x14ac:dyDescent="0.3">
      <c r="A1372" t="s">
        <v>265</v>
      </c>
      <c r="B1372" s="6">
        <f>(B1320*B1364)-Parameters!$B$13</f>
        <v>0.74223595905244166</v>
      </c>
      <c r="D1372" t="s">
        <v>8</v>
      </c>
      <c r="E1372" t="s">
        <v>37</v>
      </c>
      <c r="F1372" t="s">
        <v>36</v>
      </c>
      <c r="G1372" t="s">
        <v>428</v>
      </c>
    </row>
    <row r="1373" spans="1:8" x14ac:dyDescent="0.3">
      <c r="A1373" t="s">
        <v>306</v>
      </c>
      <c r="B1373" s="6">
        <f>1/(90000000*20)</f>
        <v>5.5555555555555553E-10</v>
      </c>
      <c r="C1373" t="s">
        <v>26</v>
      </c>
      <c r="D1373" t="s">
        <v>7</v>
      </c>
      <c r="F1373" t="s">
        <v>20</v>
      </c>
      <c r="G1373" t="s">
        <v>308</v>
      </c>
      <c r="H1373" t="s">
        <v>307</v>
      </c>
    </row>
    <row r="1374" spans="1:8" ht="15.6" x14ac:dyDescent="0.3">
      <c r="A1374" s="2"/>
      <c r="H1374" s="2"/>
    </row>
    <row r="1375" spans="1:8" ht="15.6" x14ac:dyDescent="0.3">
      <c r="A1375" s="1" t="s">
        <v>1</v>
      </c>
      <c r="B1375" s="73" t="s">
        <v>520</v>
      </c>
    </row>
    <row r="1376" spans="1:8" x14ac:dyDescent="0.3">
      <c r="A1376" t="s">
        <v>2</v>
      </c>
      <c r="B1376" s="6" t="s">
        <v>1050</v>
      </c>
    </row>
    <row r="1377" spans="1:8" x14ac:dyDescent="0.3">
      <c r="A1377" t="s">
        <v>3</v>
      </c>
      <c r="B1377" s="6">
        <v>1</v>
      </c>
    </row>
    <row r="1378" spans="1:8" ht="15.6" x14ac:dyDescent="0.3">
      <c r="A1378" t="s">
        <v>4</v>
      </c>
      <c r="B1378" s="74" t="s">
        <v>441</v>
      </c>
    </row>
    <row r="1379" spans="1:8" x14ac:dyDescent="0.3">
      <c r="A1379" t="s">
        <v>5</v>
      </c>
      <c r="B1379" s="6" t="s">
        <v>6</v>
      </c>
    </row>
    <row r="1380" spans="1:8" x14ac:dyDescent="0.3">
      <c r="A1380" t="s">
        <v>7</v>
      </c>
      <c r="B1380" s="6" t="s">
        <v>8</v>
      </c>
    </row>
    <row r="1381" spans="1:8" x14ac:dyDescent="0.3">
      <c r="A1381" t="s">
        <v>9</v>
      </c>
      <c r="B1381" s="6" t="s">
        <v>10</v>
      </c>
    </row>
    <row r="1382" spans="1:8" x14ac:dyDescent="0.3">
      <c r="A1382" t="s">
        <v>11</v>
      </c>
      <c r="B1382" s="6" t="s">
        <v>504</v>
      </c>
    </row>
    <row r="1383" spans="1:8" x14ac:dyDescent="0.3">
      <c r="A1383" t="s">
        <v>497</v>
      </c>
      <c r="B1383" s="72">
        <f>Summary!O136</f>
        <v>0.72762967178083804</v>
      </c>
    </row>
    <row r="1384" spans="1:8" ht="15.6" x14ac:dyDescent="0.3">
      <c r="A1384" s="1" t="s">
        <v>12</v>
      </c>
    </row>
    <row r="1385" spans="1:8" x14ac:dyDescent="0.3">
      <c r="A1385" t="s">
        <v>13</v>
      </c>
      <c r="B1385" s="6" t="s">
        <v>14</v>
      </c>
      <c r="C1385" t="s">
        <v>2</v>
      </c>
      <c r="D1385" t="s">
        <v>7</v>
      </c>
      <c r="E1385" t="s">
        <v>15</v>
      </c>
      <c r="F1385" t="s">
        <v>5</v>
      </c>
      <c r="G1385" t="s">
        <v>11</v>
      </c>
      <c r="H1385" t="s">
        <v>4</v>
      </c>
    </row>
    <row r="1386" spans="1:8" ht="15.6" x14ac:dyDescent="0.3">
      <c r="A1386" s="2" t="s">
        <v>520</v>
      </c>
      <c r="B1386" s="6">
        <v>1</v>
      </c>
      <c r="C1386" t="s">
        <v>1050</v>
      </c>
      <c r="D1386" t="s">
        <v>8</v>
      </c>
      <c r="F1386" t="s">
        <v>17</v>
      </c>
      <c r="G1386" t="s">
        <v>18</v>
      </c>
      <c r="H1386" s="2" t="s">
        <v>441</v>
      </c>
    </row>
    <row r="1387" spans="1:8" ht="15.6" x14ac:dyDescent="0.3">
      <c r="A1387" s="2" t="s">
        <v>85</v>
      </c>
      <c r="B1387" s="6">
        <f>(1/((Parameters!$D$55*Parameters!$B$4*Parameters!$B$10)/1000))</f>
        <v>3.0268115202934944</v>
      </c>
      <c r="C1387" t="s">
        <v>1050</v>
      </c>
      <c r="D1387" t="s">
        <v>8</v>
      </c>
      <c r="F1387" t="s">
        <v>20</v>
      </c>
      <c r="G1387" t="s">
        <v>18</v>
      </c>
      <c r="H1387" s="2" t="s">
        <v>442</v>
      </c>
    </row>
    <row r="1388" spans="1:8" ht="15.6" x14ac:dyDescent="0.3">
      <c r="A1388" s="2" t="s">
        <v>438</v>
      </c>
      <c r="B1388" s="6">
        <f>(26556*Parameters!$B$3)/(Parameters!$B$4*Parameters!$B$10)</f>
        <v>9.3819959986136983</v>
      </c>
      <c r="C1388" t="s">
        <v>31</v>
      </c>
      <c r="D1388" t="s">
        <v>19</v>
      </c>
      <c r="F1388" t="s">
        <v>20</v>
      </c>
      <c r="G1388" t="s">
        <v>437</v>
      </c>
      <c r="H1388" s="2" t="s">
        <v>439</v>
      </c>
    </row>
    <row r="1389" spans="1:8" ht="15.6" x14ac:dyDescent="0.3">
      <c r="A1389" s="2" t="s">
        <v>28</v>
      </c>
      <c r="B1389" s="6">
        <f>(2501*Parameters!$B$3/3.6)/(Parameters!$B$4*Parameters!$B$10)</f>
        <v>0.24543911391161713</v>
      </c>
      <c r="C1389" t="s">
        <v>1051</v>
      </c>
      <c r="D1389" t="s">
        <v>29</v>
      </c>
      <c r="F1389" t="s">
        <v>20</v>
      </c>
      <c r="H1389" s="2" t="s">
        <v>30</v>
      </c>
    </row>
    <row r="1390" spans="1:8" ht="15.6" x14ac:dyDescent="0.3">
      <c r="A1390" s="2" t="s">
        <v>384</v>
      </c>
      <c r="B1390" s="6">
        <f>((2.79/1000)/(Parameters!$B$4*Parameters!$B$10))</f>
        <v>9.3424614874605075E-4</v>
      </c>
      <c r="C1390" t="s">
        <v>26</v>
      </c>
      <c r="D1390" t="s">
        <v>8</v>
      </c>
      <c r="F1390" t="s">
        <v>20</v>
      </c>
      <c r="G1390" t="s">
        <v>386</v>
      </c>
      <c r="H1390" s="2" t="s">
        <v>385</v>
      </c>
    </row>
    <row r="1391" spans="1:8" ht="15.6" x14ac:dyDescent="0.3">
      <c r="A1391" s="2" t="s">
        <v>252</v>
      </c>
      <c r="B1391" s="6">
        <f>((4.72/1000)/(Parameters!$B$4*Parameters!$B$10))</f>
        <v>1.5805167821080139E-3</v>
      </c>
      <c r="C1391" t="s">
        <v>31</v>
      </c>
      <c r="D1391" t="s">
        <v>8</v>
      </c>
      <c r="F1391" t="s">
        <v>20</v>
      </c>
      <c r="H1391" s="2" t="s">
        <v>253</v>
      </c>
    </row>
    <row r="1392" spans="1:8" ht="15.6" x14ac:dyDescent="0.3">
      <c r="A1392" s="2" t="s">
        <v>254</v>
      </c>
      <c r="B1392" s="6">
        <f>((18.1/1000)/(Parameters!$B$4*Parameters!$B$10))</f>
        <v>6.0608800330836992E-3</v>
      </c>
      <c r="C1392" t="s">
        <v>255</v>
      </c>
      <c r="D1392" t="s">
        <v>8</v>
      </c>
      <c r="F1392" t="s">
        <v>20</v>
      </c>
      <c r="H1392" s="2" t="s">
        <v>256</v>
      </c>
    </row>
    <row r="1393" spans="1:9" ht="15.6" x14ac:dyDescent="0.3">
      <c r="A1393" s="2" t="s">
        <v>370</v>
      </c>
      <c r="B1393" s="6">
        <f>((10.83/1000)/(Parameters!$B$4*Parameters!$B$10))</f>
        <v>3.6264823623368206E-3</v>
      </c>
      <c r="C1393" t="s">
        <v>31</v>
      </c>
      <c r="D1393" t="s">
        <v>8</v>
      </c>
      <c r="F1393" t="s">
        <v>20</v>
      </c>
      <c r="G1393" t="s">
        <v>387</v>
      </c>
      <c r="H1393" s="2" t="s">
        <v>371</v>
      </c>
    </row>
    <row r="1394" spans="1:9" ht="15.6" x14ac:dyDescent="0.3">
      <c r="A1394" s="2" t="s">
        <v>388</v>
      </c>
      <c r="B1394" s="6">
        <f>((22.71/1000)/(Parameters!$B$4*Parameters!$B$10))</f>
        <v>7.6045627376425855E-3</v>
      </c>
      <c r="C1394" t="s">
        <v>26</v>
      </c>
      <c r="D1394" t="s">
        <v>8</v>
      </c>
      <c r="F1394" t="s">
        <v>20</v>
      </c>
      <c r="G1394" t="s">
        <v>390</v>
      </c>
      <c r="H1394" s="2" t="s">
        <v>389</v>
      </c>
    </row>
    <row r="1395" spans="1:9" x14ac:dyDescent="0.3">
      <c r="A1395" t="s">
        <v>265</v>
      </c>
      <c r="B1395" s="6">
        <f>(B1320*B1387)-Parameters!$B$13</f>
        <v>2.447635400742926</v>
      </c>
      <c r="D1395" t="s">
        <v>8</v>
      </c>
      <c r="E1395" t="s">
        <v>37</v>
      </c>
      <c r="F1395" t="s">
        <v>36</v>
      </c>
      <c r="G1395" t="s">
        <v>428</v>
      </c>
    </row>
    <row r="1396" spans="1:9" x14ac:dyDescent="0.3">
      <c r="A1396" t="s">
        <v>306</v>
      </c>
      <c r="B1396" s="6">
        <f>1/(90000000*20)</f>
        <v>5.5555555555555553E-10</v>
      </c>
      <c r="C1396" t="s">
        <v>26</v>
      </c>
      <c r="D1396" t="s">
        <v>7</v>
      </c>
      <c r="F1396" t="s">
        <v>20</v>
      </c>
      <c r="G1396" t="s">
        <v>308</v>
      </c>
      <c r="H1396" t="s">
        <v>307</v>
      </c>
    </row>
    <row r="1397" spans="1:9" x14ac:dyDescent="0.3">
      <c r="A1397" s="36" t="s">
        <v>28</v>
      </c>
      <c r="B1397" s="37">
        <f>Parameters!D54/Parameters!B4*Parameters!B10*-1</f>
        <v>0</v>
      </c>
      <c r="C1397" t="s">
        <v>1051</v>
      </c>
      <c r="D1397" s="36" t="s">
        <v>29</v>
      </c>
      <c r="E1397" s="36"/>
      <c r="F1397" s="36" t="s">
        <v>20</v>
      </c>
      <c r="G1397" s="36" t="s">
        <v>505</v>
      </c>
      <c r="H1397" s="36" t="s">
        <v>30</v>
      </c>
      <c r="I1397" s="36"/>
    </row>
    <row r="1398" spans="1:9" x14ac:dyDescent="0.3">
      <c r="A1398" s="36" t="s">
        <v>525</v>
      </c>
      <c r="B1398" s="37">
        <f>Parameters!D56/Parameters!B4*Parameters!B10*-1*0.27</f>
        <v>-0.31687157199471599</v>
      </c>
      <c r="C1398" t="s">
        <v>26</v>
      </c>
      <c r="D1398" t="s">
        <v>8</v>
      </c>
      <c r="E1398" s="36"/>
      <c r="F1398" s="36" t="s">
        <v>20</v>
      </c>
      <c r="G1398" s="36" t="s">
        <v>574</v>
      </c>
      <c r="H1398" s="36" t="s">
        <v>526</v>
      </c>
      <c r="I1398" s="36"/>
    </row>
    <row r="1399" spans="1:9" ht="15.6" x14ac:dyDescent="0.3">
      <c r="A1399" s="2"/>
      <c r="H1399" s="2"/>
    </row>
    <row r="1400" spans="1:9" ht="15.6" x14ac:dyDescent="0.3">
      <c r="A1400" s="1" t="s">
        <v>1</v>
      </c>
      <c r="B1400" s="73" t="s">
        <v>444</v>
      </c>
    </row>
    <row r="1401" spans="1:9" x14ac:dyDescent="0.3">
      <c r="A1401" t="s">
        <v>2</v>
      </c>
      <c r="B1401" s="6" t="s">
        <v>1050</v>
      </c>
    </row>
    <row r="1402" spans="1:9" x14ac:dyDescent="0.3">
      <c r="A1402" t="s">
        <v>3</v>
      </c>
      <c r="B1402" s="6">
        <v>1</v>
      </c>
    </row>
    <row r="1403" spans="1:9" ht="15.6" x14ac:dyDescent="0.3">
      <c r="A1403" t="s">
        <v>4</v>
      </c>
      <c r="B1403" s="74" t="s">
        <v>337</v>
      </c>
    </row>
    <row r="1404" spans="1:9" x14ac:dyDescent="0.3">
      <c r="A1404" t="s">
        <v>5</v>
      </c>
      <c r="B1404" s="6" t="s">
        <v>6</v>
      </c>
    </row>
    <row r="1405" spans="1:9" x14ac:dyDescent="0.3">
      <c r="A1405" t="s">
        <v>7</v>
      </c>
      <c r="B1405" s="6" t="s">
        <v>8</v>
      </c>
    </row>
    <row r="1406" spans="1:9" x14ac:dyDescent="0.3">
      <c r="A1406" t="s">
        <v>9</v>
      </c>
      <c r="B1406" s="6" t="s">
        <v>393</v>
      </c>
    </row>
    <row r="1407" spans="1:9" x14ac:dyDescent="0.3">
      <c r="A1407" t="s">
        <v>11</v>
      </c>
      <c r="B1407" s="6" t="s">
        <v>362</v>
      </c>
    </row>
    <row r="1408" spans="1:9" ht="15.6" x14ac:dyDescent="0.3">
      <c r="A1408" s="1" t="s">
        <v>12</v>
      </c>
    </row>
    <row r="1409" spans="1:10" x14ac:dyDescent="0.3">
      <c r="A1409" t="s">
        <v>13</v>
      </c>
      <c r="B1409" s="6" t="s">
        <v>14</v>
      </c>
      <c r="C1409" t="s">
        <v>2</v>
      </c>
      <c r="D1409" t="s">
        <v>7</v>
      </c>
      <c r="E1409" t="s">
        <v>15</v>
      </c>
      <c r="F1409" t="s">
        <v>5</v>
      </c>
      <c r="G1409" t="s">
        <v>338</v>
      </c>
      <c r="H1409" t="s">
        <v>339</v>
      </c>
      <c r="I1409" t="s">
        <v>11</v>
      </c>
      <c r="J1409" t="s">
        <v>4</v>
      </c>
    </row>
    <row r="1410" spans="1:10" x14ac:dyDescent="0.3">
      <c r="A1410" s="36" t="s">
        <v>444</v>
      </c>
      <c r="B1410" s="37">
        <v>1</v>
      </c>
      <c r="C1410" t="s">
        <v>1050</v>
      </c>
      <c r="D1410" s="36" t="s">
        <v>8</v>
      </c>
      <c r="E1410" s="36"/>
      <c r="F1410" s="36" t="s">
        <v>17</v>
      </c>
      <c r="G1410" s="36"/>
      <c r="H1410" s="36"/>
      <c r="I1410" s="36" t="s">
        <v>18</v>
      </c>
      <c r="J1410" s="36" t="s">
        <v>337</v>
      </c>
    </row>
    <row r="1411" spans="1:10" ht="15.6" x14ac:dyDescent="0.3">
      <c r="A1411" s="2" t="s">
        <v>440</v>
      </c>
      <c r="B1411" s="6">
        <v>1.00057</v>
      </c>
      <c r="C1411" t="s">
        <v>1050</v>
      </c>
      <c r="D1411" t="s">
        <v>8</v>
      </c>
      <c r="F1411" s="36" t="s">
        <v>20</v>
      </c>
      <c r="G1411" t="s">
        <v>18</v>
      </c>
      <c r="I1411" s="36"/>
      <c r="J1411" s="2" t="s">
        <v>441</v>
      </c>
    </row>
    <row r="1412" spans="1:10" x14ac:dyDescent="0.3">
      <c r="A1412" s="36" t="s">
        <v>28</v>
      </c>
      <c r="B1412" s="37">
        <v>6.7000000000000002E-3</v>
      </c>
      <c r="C1412" t="s">
        <v>1051</v>
      </c>
      <c r="D1412" s="36" t="s">
        <v>29</v>
      </c>
      <c r="E1412" s="36"/>
      <c r="F1412" s="36" t="s">
        <v>20</v>
      </c>
      <c r="G1412" s="36"/>
      <c r="H1412" s="36"/>
      <c r="I1412" s="36"/>
      <c r="J1412" s="36" t="s">
        <v>30</v>
      </c>
    </row>
    <row r="1413" spans="1:10" x14ac:dyDescent="0.3">
      <c r="A1413" s="36" t="s">
        <v>340</v>
      </c>
      <c r="B1413" s="37">
        <v>-1.6799999999999999E-4</v>
      </c>
      <c r="C1413" s="36" t="s">
        <v>31</v>
      </c>
      <c r="D1413" s="36" t="s">
        <v>8</v>
      </c>
      <c r="E1413" s="36"/>
      <c r="F1413" s="36" t="s">
        <v>20</v>
      </c>
      <c r="G1413" s="36"/>
      <c r="H1413" s="36"/>
      <c r="I1413" s="36"/>
      <c r="J1413" s="36" t="s">
        <v>341</v>
      </c>
    </row>
    <row r="1414" spans="1:10" x14ac:dyDescent="0.3">
      <c r="A1414" s="36" t="s">
        <v>342</v>
      </c>
      <c r="B1414" s="37">
        <v>5.8399999999999999E-4</v>
      </c>
      <c r="C1414" s="36" t="s">
        <v>31</v>
      </c>
      <c r="D1414" s="36" t="s">
        <v>19</v>
      </c>
      <c r="E1414" s="36"/>
      <c r="F1414" s="36" t="s">
        <v>20</v>
      </c>
      <c r="G1414" s="36"/>
      <c r="H1414" s="36"/>
      <c r="I1414" s="36"/>
      <c r="J1414" s="36" t="s">
        <v>343</v>
      </c>
    </row>
    <row r="1415" spans="1:10" x14ac:dyDescent="0.3">
      <c r="A1415" s="36" t="s">
        <v>344</v>
      </c>
      <c r="B1415" s="37">
        <v>2.5999999999999998E-10</v>
      </c>
      <c r="C1415" s="36" t="s">
        <v>31</v>
      </c>
      <c r="D1415" s="36" t="s">
        <v>7</v>
      </c>
      <c r="E1415" s="36"/>
      <c r="F1415" s="36" t="s">
        <v>20</v>
      </c>
      <c r="G1415" s="36"/>
      <c r="H1415" s="36"/>
      <c r="I1415" s="36"/>
      <c r="J1415" s="36" t="s">
        <v>345</v>
      </c>
    </row>
    <row r="1416" spans="1:10" x14ac:dyDescent="0.3">
      <c r="A1416" s="36" t="s">
        <v>346</v>
      </c>
      <c r="B1416" s="37">
        <v>-6.2700000000000001E-6</v>
      </c>
      <c r="C1416" s="36" t="s">
        <v>31</v>
      </c>
      <c r="D1416" s="36" t="s">
        <v>8</v>
      </c>
      <c r="E1416" s="36"/>
      <c r="F1416" s="36" t="s">
        <v>20</v>
      </c>
      <c r="G1416" s="36"/>
      <c r="H1416" s="36"/>
      <c r="I1416" s="36"/>
      <c r="J1416" s="36" t="s">
        <v>347</v>
      </c>
    </row>
    <row r="1417" spans="1:10" x14ac:dyDescent="0.3">
      <c r="A1417" s="36" t="s">
        <v>348</v>
      </c>
      <c r="B1417" s="37">
        <v>-7.4999999999999993E-5</v>
      </c>
      <c r="C1417" s="36" t="s">
        <v>31</v>
      </c>
      <c r="D1417" s="36" t="s">
        <v>121</v>
      </c>
      <c r="E1417" s="36"/>
      <c r="F1417" s="36" t="s">
        <v>20</v>
      </c>
      <c r="G1417" s="36"/>
      <c r="H1417" s="36"/>
      <c r="I1417" s="36"/>
      <c r="J1417" s="36" t="s">
        <v>349</v>
      </c>
    </row>
    <row r="1418" spans="1:10" x14ac:dyDescent="0.3">
      <c r="A1418" s="36" t="s">
        <v>350</v>
      </c>
      <c r="B1418" s="37">
        <v>6.8900000000000005E-4</v>
      </c>
      <c r="C1418" s="36" t="s">
        <v>31</v>
      </c>
      <c r="D1418" s="36" t="s">
        <v>8</v>
      </c>
      <c r="E1418" s="36"/>
      <c r="F1418" s="36" t="s">
        <v>20</v>
      </c>
      <c r="G1418" s="36"/>
      <c r="H1418" s="36"/>
      <c r="I1418" s="36"/>
      <c r="J1418" s="36" t="s">
        <v>351</v>
      </c>
    </row>
    <row r="1419" spans="1:10" x14ac:dyDescent="0.3">
      <c r="A1419" s="36" t="s">
        <v>100</v>
      </c>
      <c r="B1419" s="37">
        <v>3.3599999999999998E-2</v>
      </c>
      <c r="C1419" s="36" t="s">
        <v>31</v>
      </c>
      <c r="D1419" s="36" t="s">
        <v>41</v>
      </c>
      <c r="E1419" s="36"/>
      <c r="F1419" s="36" t="s">
        <v>20</v>
      </c>
      <c r="G1419" s="36"/>
      <c r="H1419" s="36"/>
      <c r="I1419" s="36"/>
      <c r="J1419" s="36" t="s">
        <v>103</v>
      </c>
    </row>
    <row r="1420" spans="1:10" x14ac:dyDescent="0.3">
      <c r="A1420" s="36" t="s">
        <v>352</v>
      </c>
      <c r="B1420" s="37">
        <v>3.2599999999999997E-2</v>
      </c>
      <c r="C1420" s="36" t="s">
        <v>581</v>
      </c>
      <c r="D1420" s="36" t="s">
        <v>41</v>
      </c>
      <c r="E1420" s="36"/>
      <c r="F1420" s="36" t="s">
        <v>20</v>
      </c>
      <c r="G1420" s="36"/>
      <c r="H1420" s="36"/>
      <c r="I1420" s="36"/>
      <c r="J1420" s="36" t="s">
        <v>353</v>
      </c>
    </row>
    <row r="1421" spans="1:10" x14ac:dyDescent="0.3">
      <c r="A1421" s="36" t="s">
        <v>354</v>
      </c>
      <c r="B1421" s="37">
        <v>-6.8899999999999999E-7</v>
      </c>
      <c r="C1421" s="36" t="s">
        <v>31</v>
      </c>
      <c r="D1421" s="36" t="s">
        <v>121</v>
      </c>
      <c r="E1421" s="36"/>
      <c r="F1421" s="36" t="s">
        <v>20</v>
      </c>
      <c r="G1421" s="36"/>
      <c r="H1421" s="36"/>
      <c r="I1421" s="36"/>
      <c r="J1421" s="36" t="s">
        <v>355</v>
      </c>
    </row>
    <row r="1423" spans="1:10" ht="15.6" x14ac:dyDescent="0.3">
      <c r="A1423" s="1" t="s">
        <v>1</v>
      </c>
      <c r="B1423" s="73" t="s">
        <v>445</v>
      </c>
    </row>
    <row r="1424" spans="1:10" x14ac:dyDescent="0.3">
      <c r="A1424" t="s">
        <v>2</v>
      </c>
      <c r="B1424" s="6" t="s">
        <v>1050</v>
      </c>
    </row>
    <row r="1425" spans="1:10" x14ac:dyDescent="0.3">
      <c r="A1425" t="s">
        <v>3</v>
      </c>
      <c r="B1425" s="6">
        <v>1</v>
      </c>
    </row>
    <row r="1426" spans="1:10" ht="15.6" x14ac:dyDescent="0.3">
      <c r="A1426" t="s">
        <v>4</v>
      </c>
      <c r="B1426" s="74" t="s">
        <v>337</v>
      </c>
    </row>
    <row r="1427" spans="1:10" x14ac:dyDescent="0.3">
      <c r="A1427" t="s">
        <v>5</v>
      </c>
      <c r="B1427" s="6" t="s">
        <v>6</v>
      </c>
    </row>
    <row r="1428" spans="1:10" x14ac:dyDescent="0.3">
      <c r="A1428" t="s">
        <v>7</v>
      </c>
      <c r="B1428" s="6" t="s">
        <v>8</v>
      </c>
    </row>
    <row r="1429" spans="1:10" x14ac:dyDescent="0.3">
      <c r="A1429" t="s">
        <v>9</v>
      </c>
      <c r="B1429" s="6" t="s">
        <v>393</v>
      </c>
    </row>
    <row r="1430" spans="1:10" x14ac:dyDescent="0.3">
      <c r="A1430" t="s">
        <v>11</v>
      </c>
      <c r="B1430" s="6" t="s">
        <v>361</v>
      </c>
    </row>
    <row r="1431" spans="1:10" ht="15.6" x14ac:dyDescent="0.3">
      <c r="A1431" s="1" t="s">
        <v>12</v>
      </c>
    </row>
    <row r="1432" spans="1:10" x14ac:dyDescent="0.3">
      <c r="A1432" t="s">
        <v>13</v>
      </c>
      <c r="B1432" s="6" t="s">
        <v>14</v>
      </c>
      <c r="C1432" t="s">
        <v>2</v>
      </c>
      <c r="D1432" t="s">
        <v>7</v>
      </c>
      <c r="E1432" t="s">
        <v>15</v>
      </c>
      <c r="F1432" t="s">
        <v>5</v>
      </c>
      <c r="G1432" t="s">
        <v>338</v>
      </c>
      <c r="H1432" t="s">
        <v>339</v>
      </c>
      <c r="I1432" t="s">
        <v>11</v>
      </c>
      <c r="J1432" t="s">
        <v>4</v>
      </c>
    </row>
    <row r="1433" spans="1:10" x14ac:dyDescent="0.3">
      <c r="A1433" s="36" t="s">
        <v>445</v>
      </c>
      <c r="B1433" s="37">
        <v>1</v>
      </c>
      <c r="C1433" t="s">
        <v>1050</v>
      </c>
      <c r="D1433" s="36" t="s">
        <v>8</v>
      </c>
      <c r="E1433" s="36"/>
      <c r="F1433" s="36" t="s">
        <v>17</v>
      </c>
      <c r="G1433" s="36"/>
      <c r="H1433" s="36"/>
      <c r="I1433" s="36" t="s">
        <v>18</v>
      </c>
      <c r="J1433" s="36" t="s">
        <v>337</v>
      </c>
    </row>
    <row r="1434" spans="1:10" ht="15.6" x14ac:dyDescent="0.3">
      <c r="A1434" s="2" t="s">
        <v>443</v>
      </c>
      <c r="B1434" s="6">
        <v>1.00057</v>
      </c>
      <c r="C1434" t="s">
        <v>1050</v>
      </c>
      <c r="D1434" t="s">
        <v>8</v>
      </c>
      <c r="F1434" s="36" t="s">
        <v>20</v>
      </c>
      <c r="G1434" t="s">
        <v>18</v>
      </c>
      <c r="I1434" s="36"/>
      <c r="J1434" s="2" t="s">
        <v>441</v>
      </c>
    </row>
    <row r="1435" spans="1:10" x14ac:dyDescent="0.3">
      <c r="A1435" s="36" t="s">
        <v>28</v>
      </c>
      <c r="B1435" s="37">
        <v>6.7000000000000002E-3</v>
      </c>
      <c r="C1435" t="s">
        <v>1051</v>
      </c>
      <c r="D1435" s="36" t="s">
        <v>29</v>
      </c>
      <c r="E1435" s="36"/>
      <c r="F1435" s="36" t="s">
        <v>20</v>
      </c>
      <c r="G1435" s="36"/>
      <c r="H1435" s="36"/>
      <c r="I1435" s="36"/>
      <c r="J1435" s="36" t="s">
        <v>30</v>
      </c>
    </row>
    <row r="1436" spans="1:10" x14ac:dyDescent="0.3">
      <c r="A1436" s="36" t="s">
        <v>340</v>
      </c>
      <c r="B1436" s="37">
        <v>-1.6799999999999999E-4</v>
      </c>
      <c r="C1436" s="36" t="s">
        <v>31</v>
      </c>
      <c r="D1436" s="36" t="s">
        <v>8</v>
      </c>
      <c r="E1436" s="36"/>
      <c r="F1436" s="36" t="s">
        <v>20</v>
      </c>
      <c r="G1436" s="36"/>
      <c r="H1436" s="36"/>
      <c r="I1436" s="36"/>
      <c r="J1436" s="36" t="s">
        <v>341</v>
      </c>
    </row>
    <row r="1437" spans="1:10" x14ac:dyDescent="0.3">
      <c r="A1437" s="36" t="s">
        <v>342</v>
      </c>
      <c r="B1437" s="37">
        <v>5.8399999999999999E-4</v>
      </c>
      <c r="C1437" s="36" t="s">
        <v>31</v>
      </c>
      <c r="D1437" s="36" t="s">
        <v>19</v>
      </c>
      <c r="E1437" s="36"/>
      <c r="F1437" s="36" t="s">
        <v>20</v>
      </c>
      <c r="G1437" s="36"/>
      <c r="H1437" s="36"/>
      <c r="I1437" s="36"/>
      <c r="J1437" s="36" t="s">
        <v>343</v>
      </c>
    </row>
    <row r="1438" spans="1:10" x14ac:dyDescent="0.3">
      <c r="A1438" s="36" t="s">
        <v>344</v>
      </c>
      <c r="B1438" s="37">
        <v>2.5999999999999998E-10</v>
      </c>
      <c r="C1438" s="36" t="s">
        <v>31</v>
      </c>
      <c r="D1438" s="36" t="s">
        <v>7</v>
      </c>
      <c r="E1438" s="36"/>
      <c r="F1438" s="36" t="s">
        <v>20</v>
      </c>
      <c r="G1438" s="36"/>
      <c r="H1438" s="36"/>
      <c r="I1438" s="36"/>
      <c r="J1438" s="36" t="s">
        <v>345</v>
      </c>
    </row>
    <row r="1439" spans="1:10" x14ac:dyDescent="0.3">
      <c r="A1439" s="36" t="s">
        <v>346</v>
      </c>
      <c r="B1439" s="37">
        <v>-6.2700000000000001E-6</v>
      </c>
      <c r="C1439" s="36" t="s">
        <v>31</v>
      </c>
      <c r="D1439" s="36" t="s">
        <v>8</v>
      </c>
      <c r="E1439" s="36"/>
      <c r="F1439" s="36" t="s">
        <v>20</v>
      </c>
      <c r="G1439" s="36"/>
      <c r="H1439" s="36"/>
      <c r="I1439" s="36"/>
      <c r="J1439" s="36" t="s">
        <v>347</v>
      </c>
    </row>
    <row r="1440" spans="1:10" x14ac:dyDescent="0.3">
      <c r="A1440" s="36" t="s">
        <v>348</v>
      </c>
      <c r="B1440" s="37">
        <v>-7.4999999999999993E-5</v>
      </c>
      <c r="C1440" s="36" t="s">
        <v>31</v>
      </c>
      <c r="D1440" s="36" t="s">
        <v>121</v>
      </c>
      <c r="E1440" s="36"/>
      <c r="F1440" s="36" t="s">
        <v>20</v>
      </c>
      <c r="G1440" s="36"/>
      <c r="H1440" s="36"/>
      <c r="I1440" s="36"/>
      <c r="J1440" s="36" t="s">
        <v>349</v>
      </c>
    </row>
    <row r="1441" spans="1:10" x14ac:dyDescent="0.3">
      <c r="A1441" s="36" t="s">
        <v>350</v>
      </c>
      <c r="B1441" s="37">
        <v>6.8900000000000005E-4</v>
      </c>
      <c r="C1441" s="36" t="s">
        <v>31</v>
      </c>
      <c r="D1441" s="36" t="s">
        <v>8</v>
      </c>
      <c r="E1441" s="36"/>
      <c r="F1441" s="36" t="s">
        <v>20</v>
      </c>
      <c r="G1441" s="36"/>
      <c r="H1441" s="36"/>
      <c r="I1441" s="36"/>
      <c r="J1441" s="36" t="s">
        <v>351</v>
      </c>
    </row>
    <row r="1442" spans="1:10" x14ac:dyDescent="0.3">
      <c r="A1442" s="36" t="s">
        <v>100</v>
      </c>
      <c r="B1442" s="37">
        <v>3.3599999999999998E-2</v>
      </c>
      <c r="C1442" s="36" t="s">
        <v>31</v>
      </c>
      <c r="D1442" s="36" t="s">
        <v>41</v>
      </c>
      <c r="E1442" s="36"/>
      <c r="F1442" s="36" t="s">
        <v>20</v>
      </c>
      <c r="G1442" s="36"/>
      <c r="H1442" s="36"/>
      <c r="I1442" s="36"/>
      <c r="J1442" s="36" t="s">
        <v>103</v>
      </c>
    </row>
    <row r="1443" spans="1:10" x14ac:dyDescent="0.3">
      <c r="A1443" s="36" t="s">
        <v>352</v>
      </c>
      <c r="B1443" s="37">
        <v>3.2599999999999997E-2</v>
      </c>
      <c r="C1443" s="36" t="s">
        <v>581</v>
      </c>
      <c r="D1443" s="36" t="s">
        <v>41</v>
      </c>
      <c r="E1443" s="36"/>
      <c r="F1443" s="36" t="s">
        <v>20</v>
      </c>
      <c r="G1443" s="36"/>
      <c r="H1443" s="36"/>
      <c r="I1443" s="36"/>
      <c r="J1443" s="36" t="s">
        <v>353</v>
      </c>
    </row>
    <row r="1444" spans="1:10" x14ac:dyDescent="0.3">
      <c r="A1444" s="36" t="s">
        <v>354</v>
      </c>
      <c r="B1444" s="37">
        <v>-6.8899999999999999E-7</v>
      </c>
      <c r="C1444" s="36" t="s">
        <v>31</v>
      </c>
      <c r="D1444" s="36" t="s">
        <v>121</v>
      </c>
      <c r="E1444" s="36"/>
      <c r="F1444" s="36" t="s">
        <v>20</v>
      </c>
      <c r="G1444" s="36"/>
      <c r="H1444" s="36"/>
      <c r="I1444" s="36"/>
      <c r="J1444" s="36" t="s">
        <v>355</v>
      </c>
    </row>
    <row r="1446" spans="1:10" ht="15.6" x14ac:dyDescent="0.3">
      <c r="A1446" s="1" t="s">
        <v>1</v>
      </c>
      <c r="B1446" s="73" t="s">
        <v>521</v>
      </c>
    </row>
    <row r="1447" spans="1:10" x14ac:dyDescent="0.3">
      <c r="A1447" t="s">
        <v>2</v>
      </c>
      <c r="B1447" s="6" t="s">
        <v>1050</v>
      </c>
    </row>
    <row r="1448" spans="1:10" x14ac:dyDescent="0.3">
      <c r="A1448" t="s">
        <v>3</v>
      </c>
      <c r="B1448" s="6">
        <v>1</v>
      </c>
    </row>
    <row r="1449" spans="1:10" ht="15.6" x14ac:dyDescent="0.3">
      <c r="A1449" t="s">
        <v>4</v>
      </c>
      <c r="B1449" s="74" t="s">
        <v>337</v>
      </c>
    </row>
    <row r="1450" spans="1:10" x14ac:dyDescent="0.3">
      <c r="A1450" t="s">
        <v>5</v>
      </c>
      <c r="B1450" s="6" t="s">
        <v>6</v>
      </c>
    </row>
    <row r="1451" spans="1:10" x14ac:dyDescent="0.3">
      <c r="A1451" t="s">
        <v>7</v>
      </c>
      <c r="B1451" s="6" t="s">
        <v>8</v>
      </c>
    </row>
    <row r="1452" spans="1:10" x14ac:dyDescent="0.3">
      <c r="A1452" t="s">
        <v>9</v>
      </c>
      <c r="B1452" s="6" t="s">
        <v>393</v>
      </c>
    </row>
    <row r="1453" spans="1:10" x14ac:dyDescent="0.3">
      <c r="A1453" t="s">
        <v>11</v>
      </c>
      <c r="B1453" s="6" t="s">
        <v>507</v>
      </c>
    </row>
    <row r="1454" spans="1:10" ht="15.6" x14ac:dyDescent="0.3">
      <c r="A1454" s="1" t="s">
        <v>12</v>
      </c>
    </row>
    <row r="1455" spans="1:10" x14ac:dyDescent="0.3">
      <c r="A1455" t="s">
        <v>13</v>
      </c>
      <c r="B1455" s="6" t="s">
        <v>14</v>
      </c>
      <c r="C1455" t="s">
        <v>2</v>
      </c>
      <c r="D1455" t="s">
        <v>7</v>
      </c>
      <c r="E1455" t="s">
        <v>15</v>
      </c>
      <c r="F1455" t="s">
        <v>5</v>
      </c>
      <c r="G1455" t="s">
        <v>338</v>
      </c>
      <c r="H1455" t="s">
        <v>339</v>
      </c>
      <c r="I1455" t="s">
        <v>11</v>
      </c>
      <c r="J1455" t="s">
        <v>4</v>
      </c>
    </row>
    <row r="1456" spans="1:10" x14ac:dyDescent="0.3">
      <c r="A1456" s="36" t="s">
        <v>521</v>
      </c>
      <c r="B1456" s="37">
        <v>1</v>
      </c>
      <c r="C1456" t="s">
        <v>1050</v>
      </c>
      <c r="D1456" s="36" t="s">
        <v>8</v>
      </c>
      <c r="E1456" s="36"/>
      <c r="F1456" s="36" t="s">
        <v>17</v>
      </c>
      <c r="G1456" s="36"/>
      <c r="H1456" s="36"/>
      <c r="I1456" s="36" t="s">
        <v>18</v>
      </c>
      <c r="J1456" s="36" t="s">
        <v>337</v>
      </c>
    </row>
    <row r="1457" spans="1:10" ht="15.6" x14ac:dyDescent="0.3">
      <c r="A1457" s="2" t="s">
        <v>520</v>
      </c>
      <c r="B1457" s="6">
        <v>1.00057</v>
      </c>
      <c r="C1457" t="s">
        <v>1050</v>
      </c>
      <c r="D1457" t="s">
        <v>8</v>
      </c>
      <c r="F1457" s="36" t="s">
        <v>20</v>
      </c>
      <c r="G1457" t="s">
        <v>18</v>
      </c>
      <c r="I1457" s="36"/>
      <c r="J1457" s="2" t="s">
        <v>441</v>
      </c>
    </row>
    <row r="1458" spans="1:10" x14ac:dyDescent="0.3">
      <c r="A1458" s="36" t="s">
        <v>28</v>
      </c>
      <c r="B1458" s="37">
        <v>6.7000000000000002E-3</v>
      </c>
      <c r="C1458" t="s">
        <v>1051</v>
      </c>
      <c r="D1458" s="36" t="s">
        <v>29</v>
      </c>
      <c r="E1458" s="36"/>
      <c r="F1458" s="36" t="s">
        <v>20</v>
      </c>
      <c r="G1458" s="36"/>
      <c r="H1458" s="36"/>
      <c r="I1458" s="36"/>
      <c r="J1458" s="36" t="s">
        <v>30</v>
      </c>
    </row>
    <row r="1459" spans="1:10" x14ac:dyDescent="0.3">
      <c r="A1459" s="36" t="s">
        <v>340</v>
      </c>
      <c r="B1459" s="37">
        <v>-1.6799999999999999E-4</v>
      </c>
      <c r="C1459" s="36" t="s">
        <v>31</v>
      </c>
      <c r="D1459" s="36" t="s">
        <v>8</v>
      </c>
      <c r="E1459" s="36"/>
      <c r="F1459" s="36" t="s">
        <v>20</v>
      </c>
      <c r="G1459" s="36"/>
      <c r="H1459" s="36"/>
      <c r="I1459" s="36"/>
      <c r="J1459" s="36" t="s">
        <v>341</v>
      </c>
    </row>
    <row r="1460" spans="1:10" x14ac:dyDescent="0.3">
      <c r="A1460" s="36" t="s">
        <v>342</v>
      </c>
      <c r="B1460" s="37">
        <v>5.8399999999999999E-4</v>
      </c>
      <c r="C1460" s="36" t="s">
        <v>31</v>
      </c>
      <c r="D1460" s="36" t="s">
        <v>19</v>
      </c>
      <c r="E1460" s="36"/>
      <c r="F1460" s="36" t="s">
        <v>20</v>
      </c>
      <c r="G1460" s="36"/>
      <c r="H1460" s="36"/>
      <c r="I1460" s="36"/>
      <c r="J1460" s="36" t="s">
        <v>343</v>
      </c>
    </row>
    <row r="1461" spans="1:10" x14ac:dyDescent="0.3">
      <c r="A1461" s="36" t="s">
        <v>344</v>
      </c>
      <c r="B1461" s="37">
        <v>2.5999999999999998E-10</v>
      </c>
      <c r="C1461" s="36" t="s">
        <v>31</v>
      </c>
      <c r="D1461" s="36" t="s">
        <v>7</v>
      </c>
      <c r="E1461" s="36"/>
      <c r="F1461" s="36" t="s">
        <v>20</v>
      </c>
      <c r="G1461" s="36"/>
      <c r="H1461" s="36"/>
      <c r="I1461" s="36"/>
      <c r="J1461" s="36" t="s">
        <v>345</v>
      </c>
    </row>
    <row r="1462" spans="1:10" x14ac:dyDescent="0.3">
      <c r="A1462" s="36" t="s">
        <v>346</v>
      </c>
      <c r="B1462" s="37">
        <v>-6.2700000000000001E-6</v>
      </c>
      <c r="C1462" s="36" t="s">
        <v>31</v>
      </c>
      <c r="D1462" s="36" t="s">
        <v>8</v>
      </c>
      <c r="E1462" s="36"/>
      <c r="F1462" s="36" t="s">
        <v>20</v>
      </c>
      <c r="G1462" s="36"/>
      <c r="H1462" s="36"/>
      <c r="I1462" s="36"/>
      <c r="J1462" s="36" t="s">
        <v>347</v>
      </c>
    </row>
    <row r="1463" spans="1:10" x14ac:dyDescent="0.3">
      <c r="A1463" s="36" t="s">
        <v>348</v>
      </c>
      <c r="B1463" s="37">
        <v>-7.4999999999999993E-5</v>
      </c>
      <c r="C1463" s="36" t="s">
        <v>31</v>
      </c>
      <c r="D1463" s="36" t="s">
        <v>121</v>
      </c>
      <c r="E1463" s="36"/>
      <c r="F1463" s="36" t="s">
        <v>20</v>
      </c>
      <c r="G1463" s="36"/>
      <c r="H1463" s="36"/>
      <c r="I1463" s="36"/>
      <c r="J1463" s="36" t="s">
        <v>349</v>
      </c>
    </row>
    <row r="1464" spans="1:10" x14ac:dyDescent="0.3">
      <c r="A1464" s="36" t="s">
        <v>350</v>
      </c>
      <c r="B1464" s="37">
        <v>6.8900000000000005E-4</v>
      </c>
      <c r="C1464" s="36" t="s">
        <v>31</v>
      </c>
      <c r="D1464" s="36" t="s">
        <v>8</v>
      </c>
      <c r="E1464" s="36"/>
      <c r="F1464" s="36" t="s">
        <v>20</v>
      </c>
      <c r="G1464" s="36"/>
      <c r="H1464" s="36"/>
      <c r="I1464" s="36"/>
      <c r="J1464" s="36" t="s">
        <v>351</v>
      </c>
    </row>
    <row r="1465" spans="1:10" x14ac:dyDescent="0.3">
      <c r="A1465" s="36" t="s">
        <v>100</v>
      </c>
      <c r="B1465" s="37">
        <v>3.3599999999999998E-2</v>
      </c>
      <c r="C1465" s="36" t="s">
        <v>31</v>
      </c>
      <c r="D1465" s="36" t="s">
        <v>41</v>
      </c>
      <c r="E1465" s="36"/>
      <c r="F1465" s="36" t="s">
        <v>20</v>
      </c>
      <c r="G1465" s="36"/>
      <c r="H1465" s="36"/>
      <c r="I1465" s="36"/>
      <c r="J1465" s="36" t="s">
        <v>103</v>
      </c>
    </row>
    <row r="1466" spans="1:10" x14ac:dyDescent="0.3">
      <c r="A1466" s="36" t="s">
        <v>352</v>
      </c>
      <c r="B1466" s="37">
        <v>3.2599999999999997E-2</v>
      </c>
      <c r="C1466" s="36" t="s">
        <v>581</v>
      </c>
      <c r="D1466" s="36" t="s">
        <v>41</v>
      </c>
      <c r="E1466" s="36"/>
      <c r="F1466" s="36" t="s">
        <v>20</v>
      </c>
      <c r="G1466" s="36"/>
      <c r="H1466" s="36"/>
      <c r="I1466" s="36"/>
      <c r="J1466" s="36" t="s">
        <v>353</v>
      </c>
    </row>
    <row r="1467" spans="1:10" x14ac:dyDescent="0.3">
      <c r="A1467" s="36" t="s">
        <v>354</v>
      </c>
      <c r="B1467" s="37">
        <v>-6.8899999999999999E-7</v>
      </c>
      <c r="C1467" s="36" t="s">
        <v>31</v>
      </c>
      <c r="D1467" s="36" t="s">
        <v>121</v>
      </c>
      <c r="E1467" s="36"/>
      <c r="F1467" s="36" t="s">
        <v>20</v>
      </c>
      <c r="G1467" s="36"/>
      <c r="H1467" s="36"/>
      <c r="I1467" s="36"/>
      <c r="J1467" s="36" t="s">
        <v>355</v>
      </c>
    </row>
    <row r="1469" spans="1:10" ht="15.6" x14ac:dyDescent="0.3">
      <c r="A1469" s="1" t="s">
        <v>1</v>
      </c>
      <c r="B1469" s="73" t="s">
        <v>87</v>
      </c>
    </row>
    <row r="1470" spans="1:10" x14ac:dyDescent="0.3">
      <c r="A1470" t="s">
        <v>2</v>
      </c>
      <c r="B1470" s="6" t="s">
        <v>1050</v>
      </c>
    </row>
    <row r="1471" spans="1:10" x14ac:dyDescent="0.3">
      <c r="A1471" t="s">
        <v>3</v>
      </c>
      <c r="B1471" s="6">
        <v>1</v>
      </c>
    </row>
    <row r="1472" spans="1:10" ht="15.6" x14ac:dyDescent="0.3">
      <c r="A1472" t="s">
        <v>4</v>
      </c>
      <c r="B1472" s="2" t="s">
        <v>448</v>
      </c>
    </row>
    <row r="1473" spans="1:8" x14ac:dyDescent="0.3">
      <c r="A1473" t="s">
        <v>5</v>
      </c>
      <c r="B1473" s="6" t="s">
        <v>6</v>
      </c>
    </row>
    <row r="1474" spans="1:8" x14ac:dyDescent="0.3">
      <c r="A1474" t="s">
        <v>7</v>
      </c>
      <c r="B1474" s="6" t="s">
        <v>8</v>
      </c>
    </row>
    <row r="1475" spans="1:8" x14ac:dyDescent="0.3">
      <c r="A1475" t="s">
        <v>9</v>
      </c>
      <c r="B1475" s="6" t="s">
        <v>10</v>
      </c>
    </row>
    <row r="1476" spans="1:8" x14ac:dyDescent="0.3">
      <c r="A1476" t="s">
        <v>11</v>
      </c>
      <c r="B1476" s="6" t="s">
        <v>224</v>
      </c>
    </row>
    <row r="1477" spans="1:8" x14ac:dyDescent="0.3">
      <c r="A1477" t="s">
        <v>850</v>
      </c>
      <c r="B1477" s="5">
        <f>Summary!R14</f>
        <v>15.203282981971585</v>
      </c>
    </row>
    <row r="1478" spans="1:8" x14ac:dyDescent="0.3">
      <c r="A1478" t="s">
        <v>856</v>
      </c>
      <c r="B1478" s="78">
        <f>Summary!Q14</f>
        <v>0.72</v>
      </c>
    </row>
    <row r="1479" spans="1:8" ht="15.6" x14ac:dyDescent="0.3">
      <c r="A1479" s="1" t="s">
        <v>12</v>
      </c>
    </row>
    <row r="1480" spans="1:8" x14ac:dyDescent="0.3">
      <c r="A1480" t="s">
        <v>13</v>
      </c>
      <c r="B1480" s="6" t="s">
        <v>14</v>
      </c>
      <c r="C1480" t="s">
        <v>2</v>
      </c>
      <c r="D1480" t="s">
        <v>7</v>
      </c>
      <c r="E1480" t="s">
        <v>15</v>
      </c>
      <c r="F1480" t="s">
        <v>5</v>
      </c>
      <c r="G1480" t="s">
        <v>11</v>
      </c>
      <c r="H1480" t="s">
        <v>4</v>
      </c>
    </row>
    <row r="1481" spans="1:8" ht="15.6" x14ac:dyDescent="0.3">
      <c r="A1481" s="2" t="s">
        <v>87</v>
      </c>
      <c r="B1481" s="6">
        <v>1</v>
      </c>
      <c r="C1481" t="s">
        <v>1050</v>
      </c>
      <c r="D1481" t="s">
        <v>8</v>
      </c>
      <c r="F1481" t="s">
        <v>17</v>
      </c>
      <c r="G1481" t="s">
        <v>18</v>
      </c>
      <c r="H1481" s="2" t="s">
        <v>448</v>
      </c>
    </row>
    <row r="1482" spans="1:8" x14ac:dyDescent="0.3">
      <c r="A1482" t="s">
        <v>22</v>
      </c>
      <c r="B1482" s="6">
        <f>38099*Parameters!$B$3/1000</f>
        <v>4.0196574734099995E-2</v>
      </c>
      <c r="C1482" t="s">
        <v>26</v>
      </c>
      <c r="D1482" t="s">
        <v>19</v>
      </c>
      <c r="F1482" t="s">
        <v>20</v>
      </c>
      <c r="G1482" t="s">
        <v>90</v>
      </c>
      <c r="H1482" t="s">
        <v>23</v>
      </c>
    </row>
    <row r="1483" spans="1:8" x14ac:dyDescent="0.3">
      <c r="A1483" t="s">
        <v>78</v>
      </c>
      <c r="B1483" s="6">
        <f>12235*Parameters!$B$3/1000</f>
        <v>1.2908608936499999E-2</v>
      </c>
      <c r="C1483" t="s">
        <v>26</v>
      </c>
      <c r="D1483" t="s">
        <v>19</v>
      </c>
      <c r="F1483" t="s">
        <v>20</v>
      </c>
      <c r="G1483" t="s">
        <v>89</v>
      </c>
      <c r="H1483" t="s">
        <v>78</v>
      </c>
    </row>
    <row r="1484" spans="1:8" x14ac:dyDescent="0.3">
      <c r="A1484" t="s">
        <v>81</v>
      </c>
      <c r="B1484" s="6">
        <f>(21387+18701)*Parameters!$B$3/1000</f>
        <v>4.22950809192E-2</v>
      </c>
      <c r="C1484" t="s">
        <v>26</v>
      </c>
      <c r="D1484" t="s">
        <v>19</v>
      </c>
      <c r="F1484" t="s">
        <v>20</v>
      </c>
      <c r="G1484" t="s">
        <v>88</v>
      </c>
      <c r="H1484" t="s">
        <v>82</v>
      </c>
    </row>
    <row r="1485" spans="1:8" x14ac:dyDescent="0.3">
      <c r="A1485" t="s">
        <v>28</v>
      </c>
      <c r="B1485" s="6">
        <f>8953*Parameters!$B$3/1000/3.6</f>
        <v>2.6238654090833331E-3</v>
      </c>
      <c r="C1485" t="s">
        <v>1051</v>
      </c>
      <c r="D1485" t="s">
        <v>29</v>
      </c>
      <c r="F1485" t="s">
        <v>20</v>
      </c>
      <c r="H1485" t="s">
        <v>30</v>
      </c>
    </row>
    <row r="1486" spans="1:8" x14ac:dyDescent="0.3">
      <c r="A1486" t="s">
        <v>352</v>
      </c>
      <c r="B1486" s="6">
        <f>20*Parameters!$B$7/1000</f>
        <v>3.2199999999999999E-2</v>
      </c>
      <c r="C1486" t="s">
        <v>581</v>
      </c>
      <c r="D1486" t="s">
        <v>41</v>
      </c>
      <c r="F1486" t="s">
        <v>20</v>
      </c>
      <c r="G1486" t="s">
        <v>86</v>
      </c>
      <c r="H1486" t="s">
        <v>353</v>
      </c>
    </row>
    <row r="1487" spans="1:8" x14ac:dyDescent="0.3">
      <c r="A1487" t="s">
        <v>42</v>
      </c>
      <c r="B1487" s="6">
        <f>1.146/1000</f>
        <v>1.1459999999999999E-3</v>
      </c>
      <c r="C1487" t="s">
        <v>1051</v>
      </c>
      <c r="D1487" t="s">
        <v>8</v>
      </c>
      <c r="F1487" t="s">
        <v>20</v>
      </c>
      <c r="H1487" t="s">
        <v>43</v>
      </c>
    </row>
    <row r="1488" spans="1:8" x14ac:dyDescent="0.3">
      <c r="A1488" t="s">
        <v>44</v>
      </c>
      <c r="B1488" s="6">
        <f>0.513/1000</f>
        <v>5.13E-4</v>
      </c>
      <c r="C1488" t="s">
        <v>1051</v>
      </c>
      <c r="D1488" t="s">
        <v>8</v>
      </c>
      <c r="F1488" t="s">
        <v>20</v>
      </c>
      <c r="H1488" t="s">
        <v>45</v>
      </c>
    </row>
    <row r="1489" spans="1:8" x14ac:dyDescent="0.3">
      <c r="A1489" t="s">
        <v>50</v>
      </c>
      <c r="B1489" s="6">
        <f>71.91/1000/1000</f>
        <v>7.1910000000000008E-5</v>
      </c>
      <c r="C1489" t="s">
        <v>26</v>
      </c>
      <c r="D1489" t="s">
        <v>8</v>
      </c>
      <c r="F1489" t="s">
        <v>20</v>
      </c>
      <c r="G1489" t="s">
        <v>51</v>
      </c>
      <c r="H1489" t="s">
        <v>53</v>
      </c>
    </row>
    <row r="1490" spans="1:8" x14ac:dyDescent="0.3">
      <c r="A1490" t="s">
        <v>181</v>
      </c>
      <c r="B1490" s="6">
        <v>3.6830900643231697E-5</v>
      </c>
      <c r="C1490" t="s">
        <v>26</v>
      </c>
      <c r="D1490" t="s">
        <v>119</v>
      </c>
      <c r="F1490" t="s">
        <v>20</v>
      </c>
      <c r="G1490" t="s">
        <v>180</v>
      </c>
      <c r="H1490" t="s">
        <v>182</v>
      </c>
    </row>
    <row r="1491" spans="1:8" x14ac:dyDescent="0.3">
      <c r="A1491" t="s">
        <v>183</v>
      </c>
      <c r="B1491" s="6">
        <v>1.1049380686770699E-4</v>
      </c>
      <c r="C1491" t="s">
        <v>26</v>
      </c>
      <c r="D1491" t="s">
        <v>119</v>
      </c>
      <c r="F1491" t="s">
        <v>20</v>
      </c>
      <c r="G1491" t="s">
        <v>180</v>
      </c>
      <c r="H1491" t="s">
        <v>184</v>
      </c>
    </row>
    <row r="1492" spans="1:8" x14ac:dyDescent="0.3">
      <c r="A1492" t="s">
        <v>185</v>
      </c>
      <c r="B1492" s="6">
        <v>3.6830900643231697E-5</v>
      </c>
      <c r="C1492" t="s">
        <v>26</v>
      </c>
      <c r="D1492" t="s">
        <v>119</v>
      </c>
      <c r="F1492" t="s">
        <v>20</v>
      </c>
      <c r="G1492" t="s">
        <v>180</v>
      </c>
      <c r="H1492" t="s">
        <v>186</v>
      </c>
    </row>
    <row r="1493" spans="1:8" x14ac:dyDescent="0.3">
      <c r="A1493" t="s">
        <v>120</v>
      </c>
      <c r="B1493" s="6">
        <v>0.252</v>
      </c>
      <c r="C1493" t="s">
        <v>1051</v>
      </c>
      <c r="D1493" t="s">
        <v>121</v>
      </c>
      <c r="F1493" t="s">
        <v>20</v>
      </c>
      <c r="G1493" t="s">
        <v>125</v>
      </c>
      <c r="H1493" t="s">
        <v>122</v>
      </c>
    </row>
    <row r="1494" spans="1:8" x14ac:dyDescent="0.3">
      <c r="A1494" t="s">
        <v>187</v>
      </c>
      <c r="B1494" s="6">
        <v>1.1048999999999999E-4</v>
      </c>
      <c r="C1494" t="s">
        <v>26</v>
      </c>
      <c r="D1494" t="s">
        <v>119</v>
      </c>
      <c r="F1494" t="s">
        <v>20</v>
      </c>
      <c r="G1494" t="s">
        <v>180</v>
      </c>
      <c r="H1494" t="s">
        <v>188</v>
      </c>
    </row>
    <row r="1495" spans="1:8" x14ac:dyDescent="0.3">
      <c r="A1495" t="s">
        <v>325</v>
      </c>
      <c r="B1495" s="6">
        <f>(1.042)/1000</f>
        <v>1.042E-3</v>
      </c>
      <c r="D1495" t="s">
        <v>8</v>
      </c>
      <c r="E1495" t="s">
        <v>37</v>
      </c>
      <c r="F1495" t="s">
        <v>36</v>
      </c>
      <c r="G1495" t="s">
        <v>1012</v>
      </c>
    </row>
    <row r="1496" spans="1:8" x14ac:dyDescent="0.3">
      <c r="A1496" t="s">
        <v>994</v>
      </c>
      <c r="B1496" s="6">
        <f>25.65/1000000</f>
        <v>2.565E-5</v>
      </c>
      <c r="D1496" t="s">
        <v>8</v>
      </c>
      <c r="E1496" t="s">
        <v>37</v>
      </c>
      <c r="F1496" t="s">
        <v>36</v>
      </c>
      <c r="G1496" t="s">
        <v>1013</v>
      </c>
    </row>
    <row r="1497" spans="1:8" x14ac:dyDescent="0.3">
      <c r="A1497" t="s">
        <v>40</v>
      </c>
      <c r="B1497" s="6">
        <f>30.97/1000000</f>
        <v>3.0969999999999997E-5</v>
      </c>
      <c r="D1497" t="s">
        <v>8</v>
      </c>
      <c r="E1497" t="s">
        <v>37</v>
      </c>
      <c r="F1497" t="s">
        <v>36</v>
      </c>
      <c r="G1497" t="s">
        <v>1014</v>
      </c>
    </row>
    <row r="1498" spans="1:8" x14ac:dyDescent="0.3">
      <c r="A1498" t="s">
        <v>150</v>
      </c>
      <c r="B1498" s="6">
        <v>9.6866907013685906E-6</v>
      </c>
      <c r="D1498" t="s">
        <v>8</v>
      </c>
      <c r="E1498" t="s">
        <v>170</v>
      </c>
      <c r="F1498" t="s">
        <v>36</v>
      </c>
      <c r="G1498" t="s">
        <v>180</v>
      </c>
    </row>
    <row r="1499" spans="1:8" x14ac:dyDescent="0.3">
      <c r="A1499" t="s">
        <v>132</v>
      </c>
      <c r="B1499" s="6">
        <v>-9.8401857757250106E-7</v>
      </c>
      <c r="D1499" t="s">
        <v>8</v>
      </c>
      <c r="E1499" t="s">
        <v>170</v>
      </c>
      <c r="F1499" t="s">
        <v>36</v>
      </c>
      <c r="G1499" t="s">
        <v>180</v>
      </c>
    </row>
    <row r="1500" spans="1:8" x14ac:dyDescent="0.3">
      <c r="A1500" t="s">
        <v>158</v>
      </c>
      <c r="B1500" s="6">
        <v>8.8484627663318299E-7</v>
      </c>
      <c r="D1500" t="s">
        <v>8</v>
      </c>
      <c r="E1500" t="s">
        <v>170</v>
      </c>
      <c r="F1500" t="s">
        <v>36</v>
      </c>
      <c r="G1500" t="s">
        <v>180</v>
      </c>
    </row>
    <row r="1501" spans="1:8" x14ac:dyDescent="0.3">
      <c r="A1501" t="s">
        <v>164</v>
      </c>
      <c r="B1501" s="6">
        <v>1.5966811678364199E-8</v>
      </c>
      <c r="D1501" t="s">
        <v>8</v>
      </c>
      <c r="E1501" t="s">
        <v>170</v>
      </c>
      <c r="F1501" t="s">
        <v>36</v>
      </c>
      <c r="G1501" t="s">
        <v>180</v>
      </c>
    </row>
    <row r="1502" spans="1:8" x14ac:dyDescent="0.3">
      <c r="A1502" t="s">
        <v>173</v>
      </c>
      <c r="B1502" s="6">
        <v>1.07630556194952E-5</v>
      </c>
      <c r="D1502" t="s">
        <v>8</v>
      </c>
      <c r="E1502" t="s">
        <v>171</v>
      </c>
      <c r="F1502" t="s">
        <v>36</v>
      </c>
      <c r="G1502" t="s">
        <v>180</v>
      </c>
    </row>
    <row r="1503" spans="1:8" x14ac:dyDescent="0.3">
      <c r="A1503" t="s">
        <v>151</v>
      </c>
      <c r="B1503" s="6">
        <v>9.03472245050759E-7</v>
      </c>
      <c r="D1503" t="s">
        <v>8</v>
      </c>
      <c r="E1503" t="s">
        <v>170</v>
      </c>
      <c r="F1503" t="s">
        <v>36</v>
      </c>
      <c r="G1503" t="s">
        <v>180</v>
      </c>
    </row>
    <row r="1504" spans="1:8" x14ac:dyDescent="0.3">
      <c r="A1504" t="s">
        <v>172</v>
      </c>
      <c r="B1504" s="6">
        <v>1.46657242732071E-3</v>
      </c>
      <c r="D1504" t="s">
        <v>8</v>
      </c>
      <c r="E1504" t="s">
        <v>179</v>
      </c>
      <c r="F1504" t="s">
        <v>36</v>
      </c>
      <c r="G1504" t="s">
        <v>180</v>
      </c>
    </row>
    <row r="1505" spans="1:7" x14ac:dyDescent="0.3">
      <c r="A1505" t="s">
        <v>148</v>
      </c>
      <c r="B1505" s="6">
        <v>-2.17184252532495E-8</v>
      </c>
      <c r="D1505" t="s">
        <v>8</v>
      </c>
      <c r="E1505" t="s">
        <v>170</v>
      </c>
      <c r="F1505" t="s">
        <v>36</v>
      </c>
      <c r="G1505" t="s">
        <v>180</v>
      </c>
    </row>
    <row r="1506" spans="1:7" x14ac:dyDescent="0.3">
      <c r="A1506" t="s">
        <v>126</v>
      </c>
      <c r="B1506" s="6">
        <v>2.7599778575834E-3</v>
      </c>
      <c r="D1506" t="s">
        <v>121</v>
      </c>
      <c r="E1506" t="s">
        <v>171</v>
      </c>
      <c r="F1506" t="s">
        <v>36</v>
      </c>
      <c r="G1506" t="s">
        <v>180</v>
      </c>
    </row>
    <row r="1507" spans="1:7" x14ac:dyDescent="0.3">
      <c r="A1507" t="s">
        <v>176</v>
      </c>
      <c r="B1507" s="6">
        <v>1.9959108159754498E-9</v>
      </c>
      <c r="D1507" t="s">
        <v>8</v>
      </c>
      <c r="E1507" t="s">
        <v>170</v>
      </c>
      <c r="F1507" t="s">
        <v>36</v>
      </c>
      <c r="G1507" t="s">
        <v>180</v>
      </c>
    </row>
    <row r="1508" spans="1:7" x14ac:dyDescent="0.3">
      <c r="A1508" t="s">
        <v>38</v>
      </c>
      <c r="B1508" s="6">
        <v>5.1853556439508204E-6</v>
      </c>
      <c r="D1508" t="s">
        <v>8</v>
      </c>
      <c r="E1508" t="s">
        <v>169</v>
      </c>
      <c r="F1508" t="s">
        <v>36</v>
      </c>
      <c r="G1508" t="s">
        <v>180</v>
      </c>
    </row>
    <row r="1509" spans="1:7" x14ac:dyDescent="0.3">
      <c r="A1509" t="s">
        <v>140</v>
      </c>
      <c r="B1509" s="6">
        <v>3.27859780619406E-6</v>
      </c>
      <c r="D1509" t="s">
        <v>8</v>
      </c>
      <c r="E1509" t="s">
        <v>170</v>
      </c>
      <c r="F1509" t="s">
        <v>36</v>
      </c>
      <c r="G1509" t="s">
        <v>180</v>
      </c>
    </row>
    <row r="1510" spans="1:7" x14ac:dyDescent="0.3">
      <c r="A1510" t="s">
        <v>127</v>
      </c>
      <c r="B1510" s="6">
        <v>8.0724401050640405E-5</v>
      </c>
      <c r="D1510" t="s">
        <v>8</v>
      </c>
      <c r="E1510" t="s">
        <v>169</v>
      </c>
      <c r="F1510" t="s">
        <v>36</v>
      </c>
      <c r="G1510" t="s">
        <v>180</v>
      </c>
    </row>
    <row r="1511" spans="1:7" x14ac:dyDescent="0.3">
      <c r="A1511" t="s">
        <v>155</v>
      </c>
      <c r="B1511" s="6">
        <v>2.9099959455172802E-6</v>
      </c>
      <c r="D1511" t="s">
        <v>8</v>
      </c>
      <c r="E1511" t="s">
        <v>170</v>
      </c>
      <c r="F1511" t="s">
        <v>36</v>
      </c>
      <c r="G1511" t="s">
        <v>180</v>
      </c>
    </row>
    <row r="1512" spans="1:7" x14ac:dyDescent="0.3">
      <c r="A1512" t="s">
        <v>159</v>
      </c>
      <c r="B1512" s="6">
        <v>9.5802057193840904E-8</v>
      </c>
      <c r="D1512" t="s">
        <v>8</v>
      </c>
      <c r="E1512" t="s">
        <v>170</v>
      </c>
      <c r="F1512" t="s">
        <v>36</v>
      </c>
      <c r="G1512" t="s">
        <v>180</v>
      </c>
    </row>
    <row r="1513" spans="1:7" x14ac:dyDescent="0.3">
      <c r="A1513" t="s">
        <v>142</v>
      </c>
      <c r="B1513" s="6">
        <v>-1.1393893071195499E-6</v>
      </c>
      <c r="D1513" t="s">
        <v>8</v>
      </c>
      <c r="E1513" t="s">
        <v>170</v>
      </c>
      <c r="F1513" t="s">
        <v>36</v>
      </c>
      <c r="G1513" t="s">
        <v>180</v>
      </c>
    </row>
    <row r="1514" spans="1:7" x14ac:dyDescent="0.3">
      <c r="A1514" t="s">
        <v>168</v>
      </c>
      <c r="B1514" s="6">
        <v>-4.7446953841008502E-7</v>
      </c>
      <c r="D1514" t="s">
        <v>8</v>
      </c>
      <c r="E1514" t="s">
        <v>170</v>
      </c>
      <c r="F1514" t="s">
        <v>36</v>
      </c>
      <c r="G1514" t="s">
        <v>180</v>
      </c>
    </row>
    <row r="1515" spans="1:7" x14ac:dyDescent="0.3">
      <c r="A1515" t="s">
        <v>144</v>
      </c>
      <c r="B1515" s="6">
        <v>2.5015067337276698E-7</v>
      </c>
      <c r="D1515" t="s">
        <v>8</v>
      </c>
      <c r="E1515" t="s">
        <v>170</v>
      </c>
      <c r="F1515" t="s">
        <v>36</v>
      </c>
      <c r="G1515" t="s">
        <v>180</v>
      </c>
    </row>
    <row r="1516" spans="1:7" x14ac:dyDescent="0.3">
      <c r="A1516" t="s">
        <v>110</v>
      </c>
      <c r="B1516" s="6">
        <v>0.11871235448605399</v>
      </c>
      <c r="D1516" t="s">
        <v>115</v>
      </c>
      <c r="E1516" t="s">
        <v>114</v>
      </c>
      <c r="F1516" t="s">
        <v>36</v>
      </c>
      <c r="G1516" t="s">
        <v>180</v>
      </c>
    </row>
    <row r="1517" spans="1:7" x14ac:dyDescent="0.3">
      <c r="A1517" t="s">
        <v>126</v>
      </c>
      <c r="B1517" s="6">
        <v>1.3306552055476401E-2</v>
      </c>
      <c r="D1517" t="s">
        <v>121</v>
      </c>
      <c r="E1517" t="s">
        <v>37</v>
      </c>
      <c r="F1517" t="s">
        <v>36</v>
      </c>
      <c r="G1517" t="s">
        <v>180</v>
      </c>
    </row>
    <row r="1518" spans="1:7" x14ac:dyDescent="0.3">
      <c r="A1518" t="s">
        <v>1046</v>
      </c>
      <c r="B1518" s="6">
        <f>0.42*(1-0.72)*(44/12)</f>
        <v>0.43120000000000003</v>
      </c>
      <c r="D1518" t="s">
        <v>8</v>
      </c>
      <c r="E1518" t="s">
        <v>1047</v>
      </c>
      <c r="F1518" t="s">
        <v>36</v>
      </c>
      <c r="G1518" t="s">
        <v>180</v>
      </c>
    </row>
    <row r="1519" spans="1:7" x14ac:dyDescent="0.3">
      <c r="A1519" t="s">
        <v>126</v>
      </c>
      <c r="B1519" s="6">
        <v>1.10399114303107E-2</v>
      </c>
      <c r="D1519" t="s">
        <v>121</v>
      </c>
      <c r="E1519" t="s">
        <v>179</v>
      </c>
      <c r="F1519" t="s">
        <v>36</v>
      </c>
      <c r="G1519" t="s">
        <v>180</v>
      </c>
    </row>
    <row r="1520" spans="1:7" x14ac:dyDescent="0.3">
      <c r="A1520" t="s">
        <v>108</v>
      </c>
      <c r="B1520" s="6">
        <v>3.2528372252739599</v>
      </c>
      <c r="D1520" t="s">
        <v>19</v>
      </c>
      <c r="E1520" t="s">
        <v>112</v>
      </c>
      <c r="F1520" t="s">
        <v>36</v>
      </c>
      <c r="G1520" t="s">
        <v>180</v>
      </c>
    </row>
    <row r="1521" spans="1:7" x14ac:dyDescent="0.3">
      <c r="A1521" t="s">
        <v>173</v>
      </c>
      <c r="B1521" s="6">
        <v>8.3098648140061805E-7</v>
      </c>
      <c r="D1521" t="s">
        <v>8</v>
      </c>
      <c r="E1521" t="s">
        <v>179</v>
      </c>
      <c r="F1521" t="s">
        <v>36</v>
      </c>
      <c r="G1521" t="s">
        <v>180</v>
      </c>
    </row>
    <row r="1522" spans="1:7" x14ac:dyDescent="0.3">
      <c r="A1522" t="s">
        <v>177</v>
      </c>
      <c r="B1522" s="6">
        <v>0.11871235448605399</v>
      </c>
      <c r="D1522" t="s">
        <v>115</v>
      </c>
      <c r="E1522" t="s">
        <v>114</v>
      </c>
      <c r="F1522" t="s">
        <v>36</v>
      </c>
      <c r="G1522" t="s">
        <v>180</v>
      </c>
    </row>
    <row r="1523" spans="1:7" x14ac:dyDescent="0.3">
      <c r="A1523" t="s">
        <v>153</v>
      </c>
      <c r="B1523" s="6">
        <v>1.4903148982175E-7</v>
      </c>
      <c r="D1523" t="s">
        <v>8</v>
      </c>
      <c r="E1523" t="s">
        <v>170</v>
      </c>
      <c r="F1523" t="s">
        <v>36</v>
      </c>
      <c r="G1523" t="s">
        <v>180</v>
      </c>
    </row>
    <row r="1524" spans="1:7" x14ac:dyDescent="0.3">
      <c r="A1524" t="s">
        <v>178</v>
      </c>
      <c r="B1524" s="6">
        <v>6.9244916371715204E-2</v>
      </c>
      <c r="D1524" t="s">
        <v>113</v>
      </c>
      <c r="E1524" t="s">
        <v>114</v>
      </c>
      <c r="F1524" t="s">
        <v>36</v>
      </c>
      <c r="G1524" t="s">
        <v>180</v>
      </c>
    </row>
    <row r="1525" spans="1:7" x14ac:dyDescent="0.3">
      <c r="A1525" t="s">
        <v>149</v>
      </c>
      <c r="B1525" s="6">
        <v>4.3163812091146796E-6</v>
      </c>
      <c r="D1525" t="s">
        <v>8</v>
      </c>
      <c r="E1525" t="s">
        <v>170</v>
      </c>
      <c r="F1525" t="s">
        <v>36</v>
      </c>
      <c r="G1525" t="s">
        <v>180</v>
      </c>
    </row>
    <row r="1527" spans="1:7" ht="15.6" x14ac:dyDescent="0.3">
      <c r="A1527" s="1" t="s">
        <v>1</v>
      </c>
      <c r="B1527" s="73" t="s">
        <v>446</v>
      </c>
    </row>
    <row r="1528" spans="1:7" x14ac:dyDescent="0.3">
      <c r="A1528" t="s">
        <v>2</v>
      </c>
      <c r="B1528" s="6" t="s">
        <v>1050</v>
      </c>
    </row>
    <row r="1529" spans="1:7" x14ac:dyDescent="0.3">
      <c r="A1529" t="s">
        <v>3</v>
      </c>
      <c r="B1529" s="6">
        <v>1</v>
      </c>
    </row>
    <row r="1530" spans="1:7" ht="15.6" x14ac:dyDescent="0.3">
      <c r="A1530" t="s">
        <v>4</v>
      </c>
      <c r="B1530" s="74" t="s">
        <v>447</v>
      </c>
    </row>
    <row r="1531" spans="1:7" x14ac:dyDescent="0.3">
      <c r="A1531" t="s">
        <v>5</v>
      </c>
      <c r="B1531" s="6" t="s">
        <v>6</v>
      </c>
    </row>
    <row r="1532" spans="1:7" x14ac:dyDescent="0.3">
      <c r="A1532" t="s">
        <v>7</v>
      </c>
      <c r="B1532" s="6" t="s">
        <v>8</v>
      </c>
    </row>
    <row r="1533" spans="1:7" x14ac:dyDescent="0.3">
      <c r="A1533" t="s">
        <v>9</v>
      </c>
      <c r="B1533" s="6" t="s">
        <v>10</v>
      </c>
    </row>
    <row r="1534" spans="1:7" x14ac:dyDescent="0.3">
      <c r="A1534" t="s">
        <v>11</v>
      </c>
      <c r="B1534" s="6" t="s">
        <v>230</v>
      </c>
    </row>
    <row r="1535" spans="1:7" x14ac:dyDescent="0.3">
      <c r="A1535" t="s">
        <v>497</v>
      </c>
      <c r="B1535" s="72">
        <f>Summary!O99</f>
        <v>0.27770993663756155</v>
      </c>
    </row>
    <row r="1536" spans="1:7" ht="15.6" x14ac:dyDescent="0.3">
      <c r="A1536" s="1" t="s">
        <v>12</v>
      </c>
    </row>
    <row r="1537" spans="1:8" x14ac:dyDescent="0.3">
      <c r="A1537" t="s">
        <v>13</v>
      </c>
      <c r="B1537" s="6" t="s">
        <v>14</v>
      </c>
      <c r="C1537" t="s">
        <v>2</v>
      </c>
      <c r="D1537" t="s">
        <v>7</v>
      </c>
      <c r="E1537" t="s">
        <v>15</v>
      </c>
      <c r="F1537" t="s">
        <v>5</v>
      </c>
      <c r="G1537" t="s">
        <v>11</v>
      </c>
      <c r="H1537" t="s">
        <v>4</v>
      </c>
    </row>
    <row r="1538" spans="1:8" ht="15.6" x14ac:dyDescent="0.3">
      <c r="A1538" s="2" t="s">
        <v>446</v>
      </c>
      <c r="B1538" s="6">
        <v>1</v>
      </c>
      <c r="C1538" t="s">
        <v>1050</v>
      </c>
      <c r="D1538" t="s">
        <v>8</v>
      </c>
      <c r="F1538" t="s">
        <v>17</v>
      </c>
      <c r="G1538" t="s">
        <v>18</v>
      </c>
      <c r="H1538" s="2" t="s">
        <v>447</v>
      </c>
    </row>
    <row r="1539" spans="1:8" ht="15.6" x14ac:dyDescent="0.3">
      <c r="A1539" s="2" t="s">
        <v>87</v>
      </c>
      <c r="B1539" s="6">
        <f>(1/((Parameters!$E$55*Parameters!$B$4*Parameters!$B$10)/1000))*Parameters!E60</f>
        <v>25.122891308324792</v>
      </c>
      <c r="C1539" t="s">
        <v>1050</v>
      </c>
      <c r="D1539" t="s">
        <v>8</v>
      </c>
      <c r="F1539" t="s">
        <v>20</v>
      </c>
      <c r="G1539" t="s">
        <v>18</v>
      </c>
      <c r="H1539" s="2" t="s">
        <v>448</v>
      </c>
    </row>
    <row r="1540" spans="1:8" ht="15.6" x14ac:dyDescent="0.3">
      <c r="A1540" s="2" t="s">
        <v>384</v>
      </c>
      <c r="B1540" s="6">
        <f>((47.39/1000)/(Parameters!$B$4*Parameters!$B$10))*Parameters!E60</f>
        <v>1.1393791448801469E-2</v>
      </c>
      <c r="C1540" t="s">
        <v>26</v>
      </c>
      <c r="D1540" t="s">
        <v>8</v>
      </c>
      <c r="F1540" t="s">
        <v>20</v>
      </c>
      <c r="G1540" t="s">
        <v>386</v>
      </c>
      <c r="H1540" s="2" t="s">
        <v>385</v>
      </c>
    </row>
    <row r="1541" spans="1:8" x14ac:dyDescent="0.3">
      <c r="A1541" t="s">
        <v>265</v>
      </c>
      <c r="B1541" s="6">
        <f>(B1518*B1539)-Parameters!$B$13</f>
        <v>8.918990732149652</v>
      </c>
      <c r="D1541" t="s">
        <v>8</v>
      </c>
      <c r="E1541" t="s">
        <v>37</v>
      </c>
      <c r="F1541" t="s">
        <v>36</v>
      </c>
      <c r="G1541" t="s">
        <v>428</v>
      </c>
    </row>
    <row r="1542" spans="1:8" x14ac:dyDescent="0.3">
      <c r="A1542" t="s">
        <v>306</v>
      </c>
      <c r="B1542" s="6">
        <f>1/(90000000*20)</f>
        <v>5.5555555555555553E-10</v>
      </c>
      <c r="C1542" t="s">
        <v>26</v>
      </c>
      <c r="D1542" t="s">
        <v>7</v>
      </c>
      <c r="F1542" t="s">
        <v>20</v>
      </c>
      <c r="G1542" t="s">
        <v>308</v>
      </c>
      <c r="H1542" t="s">
        <v>307</v>
      </c>
    </row>
    <row r="1543" spans="1:8" ht="15.6" x14ac:dyDescent="0.3">
      <c r="A1543" s="2"/>
      <c r="H1543" s="2"/>
    </row>
    <row r="1544" spans="1:8" ht="15.6" x14ac:dyDescent="0.3">
      <c r="A1544" s="1" t="s">
        <v>1</v>
      </c>
      <c r="B1544" s="73" t="s">
        <v>449</v>
      </c>
    </row>
    <row r="1545" spans="1:8" x14ac:dyDescent="0.3">
      <c r="A1545" t="s">
        <v>2</v>
      </c>
      <c r="B1545" s="6" t="s">
        <v>1050</v>
      </c>
    </row>
    <row r="1546" spans="1:8" x14ac:dyDescent="0.3">
      <c r="A1546" t="s">
        <v>3</v>
      </c>
      <c r="B1546" s="6">
        <v>1</v>
      </c>
    </row>
    <row r="1547" spans="1:8" ht="15.6" x14ac:dyDescent="0.3">
      <c r="A1547" t="s">
        <v>4</v>
      </c>
      <c r="B1547" s="74" t="s">
        <v>447</v>
      </c>
    </row>
    <row r="1548" spans="1:8" x14ac:dyDescent="0.3">
      <c r="A1548" t="s">
        <v>5</v>
      </c>
      <c r="B1548" s="6" t="s">
        <v>6</v>
      </c>
    </row>
    <row r="1549" spans="1:8" x14ac:dyDescent="0.3">
      <c r="A1549" t="s">
        <v>7</v>
      </c>
      <c r="B1549" s="6" t="s">
        <v>8</v>
      </c>
    </row>
    <row r="1550" spans="1:8" x14ac:dyDescent="0.3">
      <c r="A1550" t="s">
        <v>9</v>
      </c>
      <c r="B1550" s="6" t="s">
        <v>10</v>
      </c>
    </row>
    <row r="1551" spans="1:8" x14ac:dyDescent="0.3">
      <c r="A1551" t="s">
        <v>11</v>
      </c>
      <c r="B1551" s="6" t="s">
        <v>373</v>
      </c>
    </row>
    <row r="1552" spans="1:8" x14ac:dyDescent="0.3">
      <c r="A1552" t="s">
        <v>497</v>
      </c>
      <c r="B1552" s="72">
        <f>Summary!O42</f>
        <v>0.32264681958862329</v>
      </c>
    </row>
    <row r="1553" spans="1:8" ht="15.6" x14ac:dyDescent="0.3">
      <c r="A1553" s="1" t="s">
        <v>12</v>
      </c>
    </row>
    <row r="1554" spans="1:8" x14ac:dyDescent="0.3">
      <c r="A1554" t="s">
        <v>13</v>
      </c>
      <c r="B1554" s="6" t="s">
        <v>14</v>
      </c>
      <c r="C1554" t="s">
        <v>2</v>
      </c>
      <c r="D1554" t="s">
        <v>7</v>
      </c>
      <c r="E1554" t="s">
        <v>15</v>
      </c>
      <c r="F1554" t="s">
        <v>5</v>
      </c>
      <c r="G1554" t="s">
        <v>11</v>
      </c>
      <c r="H1554" t="s">
        <v>4</v>
      </c>
    </row>
    <row r="1555" spans="1:8" ht="15.6" x14ac:dyDescent="0.3">
      <c r="A1555" s="2" t="s">
        <v>449</v>
      </c>
      <c r="B1555" s="6">
        <v>1</v>
      </c>
      <c r="C1555" t="s">
        <v>1050</v>
      </c>
      <c r="D1555" t="s">
        <v>8</v>
      </c>
      <c r="F1555" t="s">
        <v>17</v>
      </c>
      <c r="G1555" t="s">
        <v>18</v>
      </c>
      <c r="H1555" s="2" t="s">
        <v>447</v>
      </c>
    </row>
    <row r="1556" spans="1:8" ht="15.6" x14ac:dyDescent="0.3">
      <c r="A1556" s="2" t="s">
        <v>87</v>
      </c>
      <c r="B1556" s="6">
        <f>(1/((Parameters!$E$55*Parameters!$B$4*Parameters!$B$10)/1000))*Parameters!E61</f>
        <v>21.623881376803233</v>
      </c>
      <c r="C1556" t="s">
        <v>1050</v>
      </c>
      <c r="D1556" t="s">
        <v>8</v>
      </c>
      <c r="F1556" t="s">
        <v>20</v>
      </c>
      <c r="G1556" t="s">
        <v>18</v>
      </c>
      <c r="H1556" s="2" t="s">
        <v>448</v>
      </c>
    </row>
    <row r="1557" spans="1:8" ht="15.6" x14ac:dyDescent="0.3">
      <c r="A1557" s="2" t="s">
        <v>384</v>
      </c>
      <c r="B1557" s="6">
        <f>((47.39/1000)/(Parameters!$B$4*Parameters!$B$10))*Parameters!E61</f>
        <v>9.8069124169349684E-3</v>
      </c>
      <c r="C1557" t="s">
        <v>26</v>
      </c>
      <c r="D1557" t="s">
        <v>8</v>
      </c>
      <c r="F1557" t="s">
        <v>20</v>
      </c>
      <c r="G1557" t="s">
        <v>386</v>
      </c>
      <c r="H1557" s="2" t="s">
        <v>385</v>
      </c>
    </row>
    <row r="1558" spans="1:8" x14ac:dyDescent="0.3">
      <c r="A1558" t="s">
        <v>265</v>
      </c>
      <c r="B1558" s="6">
        <f>(B1518*B1556)-Parameters!$B$13</f>
        <v>7.4102176496775556</v>
      </c>
      <c r="D1558" t="s">
        <v>8</v>
      </c>
      <c r="E1558" t="s">
        <v>37</v>
      </c>
      <c r="F1558" t="s">
        <v>36</v>
      </c>
      <c r="G1558" t="s">
        <v>428</v>
      </c>
    </row>
    <row r="1559" spans="1:8" x14ac:dyDescent="0.3">
      <c r="A1559" t="s">
        <v>306</v>
      </c>
      <c r="B1559" s="6">
        <f>1/(90000000*20)</f>
        <v>5.5555555555555553E-10</v>
      </c>
      <c r="C1559" t="s">
        <v>26</v>
      </c>
      <c r="D1559" t="s">
        <v>7</v>
      </c>
      <c r="F1559" t="s">
        <v>20</v>
      </c>
      <c r="G1559" t="s">
        <v>308</v>
      </c>
      <c r="H1559" t="s">
        <v>307</v>
      </c>
    </row>
    <row r="1560" spans="1:8" ht="15.6" x14ac:dyDescent="0.3">
      <c r="A1560" s="2"/>
      <c r="H1560" s="2"/>
    </row>
    <row r="1561" spans="1:8" ht="15.6" x14ac:dyDescent="0.3">
      <c r="A1561" s="1" t="s">
        <v>1</v>
      </c>
      <c r="B1561" s="73" t="s">
        <v>522</v>
      </c>
    </row>
    <row r="1562" spans="1:8" x14ac:dyDescent="0.3">
      <c r="A1562" t="s">
        <v>2</v>
      </c>
      <c r="B1562" s="6" t="s">
        <v>1050</v>
      </c>
    </row>
    <row r="1563" spans="1:8" x14ac:dyDescent="0.3">
      <c r="A1563" t="s">
        <v>3</v>
      </c>
      <c r="B1563" s="6">
        <v>1</v>
      </c>
    </row>
    <row r="1564" spans="1:8" ht="15.6" x14ac:dyDescent="0.3">
      <c r="A1564" t="s">
        <v>4</v>
      </c>
      <c r="B1564" s="74" t="s">
        <v>447</v>
      </c>
    </row>
    <row r="1565" spans="1:8" x14ac:dyDescent="0.3">
      <c r="A1565" t="s">
        <v>5</v>
      </c>
      <c r="B1565" s="6" t="s">
        <v>6</v>
      </c>
    </row>
    <row r="1566" spans="1:8" x14ac:dyDescent="0.3">
      <c r="A1566" t="s">
        <v>7</v>
      </c>
      <c r="B1566" s="6" t="s">
        <v>8</v>
      </c>
    </row>
    <row r="1567" spans="1:8" x14ac:dyDescent="0.3">
      <c r="A1567" t="s">
        <v>9</v>
      </c>
      <c r="B1567" s="6" t="s">
        <v>10</v>
      </c>
    </row>
    <row r="1568" spans="1:8" x14ac:dyDescent="0.3">
      <c r="A1568" t="s">
        <v>11</v>
      </c>
      <c r="B1568" s="6" t="s">
        <v>504</v>
      </c>
    </row>
    <row r="1569" spans="1:9" x14ac:dyDescent="0.3">
      <c r="A1569" t="s">
        <v>497</v>
      </c>
      <c r="B1569" s="72">
        <f>Summary!O137</f>
        <v>0.1993957345057692</v>
      </c>
    </row>
    <row r="1570" spans="1:9" ht="15.6" x14ac:dyDescent="0.3">
      <c r="A1570" s="1" t="s">
        <v>12</v>
      </c>
    </row>
    <row r="1571" spans="1:9" x14ac:dyDescent="0.3">
      <c r="A1571" t="s">
        <v>13</v>
      </c>
      <c r="B1571" s="6" t="s">
        <v>14</v>
      </c>
      <c r="C1571" t="s">
        <v>2</v>
      </c>
      <c r="D1571" t="s">
        <v>7</v>
      </c>
      <c r="E1571" t="s">
        <v>15</v>
      </c>
      <c r="F1571" t="s">
        <v>5</v>
      </c>
      <c r="G1571" t="s">
        <v>11</v>
      </c>
      <c r="H1571" t="s">
        <v>4</v>
      </c>
    </row>
    <row r="1572" spans="1:9" ht="15.6" x14ac:dyDescent="0.3">
      <c r="A1572" s="2" t="s">
        <v>522</v>
      </c>
      <c r="B1572" s="6">
        <v>1</v>
      </c>
      <c r="C1572" t="s">
        <v>1050</v>
      </c>
      <c r="D1572" t="s">
        <v>8</v>
      </c>
      <c r="F1572" t="s">
        <v>17</v>
      </c>
      <c r="G1572" t="s">
        <v>18</v>
      </c>
      <c r="H1572" s="2" t="s">
        <v>447</v>
      </c>
    </row>
    <row r="1573" spans="1:9" ht="15.6" x14ac:dyDescent="0.3">
      <c r="A1573" s="2" t="s">
        <v>87</v>
      </c>
      <c r="B1573" s="6">
        <f>(1/((Parameters!$E$55*Parameters!$B$4*Parameters!$B$10)/1000))</f>
        <v>34.990099315215588</v>
      </c>
      <c r="C1573" t="s">
        <v>1050</v>
      </c>
      <c r="D1573" t="s">
        <v>8</v>
      </c>
      <c r="F1573" t="s">
        <v>20</v>
      </c>
      <c r="G1573" t="s">
        <v>18</v>
      </c>
      <c r="H1573" s="2" t="s">
        <v>448</v>
      </c>
    </row>
    <row r="1574" spans="1:9" ht="15.6" x14ac:dyDescent="0.3">
      <c r="A1574" s="2" t="s">
        <v>384</v>
      </c>
      <c r="B1574" s="6">
        <f>((47.39/1000)/(Parameters!$B$4*Parameters!$B$10))</f>
        <v>1.5868790318664998E-2</v>
      </c>
      <c r="C1574" t="s">
        <v>26</v>
      </c>
      <c r="D1574" t="s">
        <v>8</v>
      </c>
      <c r="F1574" t="s">
        <v>20</v>
      </c>
      <c r="G1574" t="s">
        <v>386</v>
      </c>
      <c r="H1574" s="2" t="s">
        <v>385</v>
      </c>
    </row>
    <row r="1575" spans="1:9" x14ac:dyDescent="0.3">
      <c r="A1575" t="s">
        <v>265</v>
      </c>
      <c r="B1575" s="6">
        <f>(B1518*B1573)-Parameters!$B$13</f>
        <v>13.173730824720963</v>
      </c>
      <c r="D1575" t="s">
        <v>8</v>
      </c>
      <c r="E1575" t="s">
        <v>37</v>
      </c>
      <c r="F1575" t="s">
        <v>36</v>
      </c>
      <c r="G1575" t="s">
        <v>428</v>
      </c>
    </row>
    <row r="1576" spans="1:9" x14ac:dyDescent="0.3">
      <c r="A1576" t="s">
        <v>306</v>
      </c>
      <c r="B1576" s="6">
        <f>1/(90000000*20)</f>
        <v>5.5555555555555553E-10</v>
      </c>
      <c r="C1576" t="s">
        <v>26</v>
      </c>
      <c r="D1576" t="s">
        <v>7</v>
      </c>
      <c r="F1576" t="s">
        <v>20</v>
      </c>
      <c r="G1576" t="s">
        <v>308</v>
      </c>
      <c r="H1576" t="s">
        <v>307</v>
      </c>
    </row>
    <row r="1577" spans="1:9" x14ac:dyDescent="0.3">
      <c r="A1577" s="36" t="s">
        <v>28</v>
      </c>
      <c r="B1577" s="37">
        <f>Parameters!E54/Parameters!B4*Parameters!B10*-1</f>
        <v>-2.8829247027741083</v>
      </c>
      <c r="C1577" t="s">
        <v>1051</v>
      </c>
      <c r="D1577" s="36" t="s">
        <v>29</v>
      </c>
      <c r="E1577" s="36"/>
      <c r="F1577" s="36" t="s">
        <v>20</v>
      </c>
      <c r="G1577" s="36" t="s">
        <v>505</v>
      </c>
      <c r="H1577" s="36" t="s">
        <v>30</v>
      </c>
      <c r="I1577" s="36"/>
    </row>
    <row r="1578" spans="1:9" x14ac:dyDescent="0.3">
      <c r="A1578" t="s">
        <v>42</v>
      </c>
      <c r="B1578" s="6">
        <f>Parameters!C64/1000*Parameters!$E$57/Parameters!$B$4*Parameters!$B$10*-1</f>
        <v>-1.0295355614266841E-2</v>
      </c>
      <c r="C1578" t="s">
        <v>1051</v>
      </c>
      <c r="D1578" t="s">
        <v>8</v>
      </c>
      <c r="F1578" t="s">
        <v>20</v>
      </c>
      <c r="G1578" s="36" t="s">
        <v>531</v>
      </c>
      <c r="H1578" t="s">
        <v>43</v>
      </c>
    </row>
    <row r="1579" spans="1:9" x14ac:dyDescent="0.3">
      <c r="A1579" t="s">
        <v>44</v>
      </c>
      <c r="B1579" s="6">
        <f>Parameters!D64/1000*Parameters!$E$57/Parameters!$B$4*Parameters!$B$10*-1</f>
        <v>-2.5585487714663145E-2</v>
      </c>
      <c r="C1579" t="s">
        <v>1051</v>
      </c>
      <c r="D1579" t="s">
        <v>8</v>
      </c>
      <c r="F1579" t="s">
        <v>20</v>
      </c>
      <c r="G1579" s="36" t="s">
        <v>531</v>
      </c>
      <c r="H1579" t="s">
        <v>45</v>
      </c>
    </row>
    <row r="1580" spans="1:9" x14ac:dyDescent="0.3">
      <c r="A1580" t="s">
        <v>46</v>
      </c>
      <c r="B1580" s="6">
        <f>Parameters!E64/1000*Parameters!$E$57/Parameters!$B$4*Parameters!$B$10*-1</f>
        <v>0</v>
      </c>
      <c r="C1580" t="s">
        <v>1051</v>
      </c>
      <c r="D1580" t="s">
        <v>8</v>
      </c>
      <c r="F1580" t="s">
        <v>20</v>
      </c>
      <c r="G1580" s="36" t="s">
        <v>531</v>
      </c>
      <c r="H1580" t="s">
        <v>47</v>
      </c>
    </row>
    <row r="1581" spans="1:9" ht="15.6" x14ac:dyDescent="0.3">
      <c r="A1581" s="2"/>
      <c r="H1581" s="2"/>
    </row>
    <row r="1582" spans="1:9" ht="15.6" x14ac:dyDescent="0.3">
      <c r="A1582" s="1" t="s">
        <v>1</v>
      </c>
      <c r="B1582" s="73" t="s">
        <v>450</v>
      </c>
    </row>
    <row r="1583" spans="1:9" x14ac:dyDescent="0.3">
      <c r="A1583" t="s">
        <v>2</v>
      </c>
      <c r="B1583" s="6" t="s">
        <v>1050</v>
      </c>
    </row>
    <row r="1584" spans="1:9" x14ac:dyDescent="0.3">
      <c r="A1584" t="s">
        <v>3</v>
      </c>
      <c r="B1584" s="6">
        <v>1</v>
      </c>
    </row>
    <row r="1585" spans="1:10" ht="15.6" x14ac:dyDescent="0.3">
      <c r="A1585" t="s">
        <v>4</v>
      </c>
      <c r="B1585" s="74" t="s">
        <v>337</v>
      </c>
    </row>
    <row r="1586" spans="1:10" x14ac:dyDescent="0.3">
      <c r="A1586" t="s">
        <v>5</v>
      </c>
      <c r="B1586" s="6" t="s">
        <v>6</v>
      </c>
    </row>
    <row r="1587" spans="1:10" x14ac:dyDescent="0.3">
      <c r="A1587" t="s">
        <v>7</v>
      </c>
      <c r="B1587" s="6" t="s">
        <v>8</v>
      </c>
    </row>
    <row r="1588" spans="1:10" x14ac:dyDescent="0.3">
      <c r="A1588" t="s">
        <v>9</v>
      </c>
      <c r="B1588" s="6" t="s">
        <v>393</v>
      </c>
    </row>
    <row r="1589" spans="1:10" x14ac:dyDescent="0.3">
      <c r="A1589" t="s">
        <v>11</v>
      </c>
      <c r="B1589" s="6" t="s">
        <v>362</v>
      </c>
    </row>
    <row r="1590" spans="1:10" ht="15.6" x14ac:dyDescent="0.3">
      <c r="A1590" s="1" t="s">
        <v>12</v>
      </c>
    </row>
    <row r="1591" spans="1:10" x14ac:dyDescent="0.3">
      <c r="A1591" t="s">
        <v>13</v>
      </c>
      <c r="B1591" s="6" t="s">
        <v>14</v>
      </c>
      <c r="C1591" t="s">
        <v>2</v>
      </c>
      <c r="D1591" t="s">
        <v>7</v>
      </c>
      <c r="E1591" t="s">
        <v>15</v>
      </c>
      <c r="F1591" t="s">
        <v>5</v>
      </c>
      <c r="G1591" t="s">
        <v>338</v>
      </c>
      <c r="H1591" t="s">
        <v>339</v>
      </c>
      <c r="I1591" t="s">
        <v>11</v>
      </c>
      <c r="J1591" t="s">
        <v>4</v>
      </c>
    </row>
    <row r="1592" spans="1:10" x14ac:dyDescent="0.3">
      <c r="A1592" s="36" t="s">
        <v>450</v>
      </c>
      <c r="B1592" s="37">
        <v>1</v>
      </c>
      <c r="C1592" t="s">
        <v>1050</v>
      </c>
      <c r="D1592" s="36" t="s">
        <v>8</v>
      </c>
      <c r="E1592" s="36"/>
      <c r="F1592" s="36" t="s">
        <v>17</v>
      </c>
      <c r="G1592" s="36"/>
      <c r="H1592" s="36"/>
      <c r="I1592" s="36" t="s">
        <v>18</v>
      </c>
      <c r="J1592" s="36" t="s">
        <v>337</v>
      </c>
    </row>
    <row r="1593" spans="1:10" ht="15.6" x14ac:dyDescent="0.3">
      <c r="A1593" s="2" t="s">
        <v>446</v>
      </c>
      <c r="B1593" s="6">
        <v>1.00057</v>
      </c>
      <c r="C1593" t="s">
        <v>1050</v>
      </c>
      <c r="D1593" t="s">
        <v>8</v>
      </c>
      <c r="F1593" s="36" t="s">
        <v>20</v>
      </c>
      <c r="G1593" t="s">
        <v>18</v>
      </c>
      <c r="I1593" s="36"/>
      <c r="J1593" s="2" t="s">
        <v>447</v>
      </c>
    </row>
    <row r="1594" spans="1:10" x14ac:dyDescent="0.3">
      <c r="A1594" s="36" t="s">
        <v>28</v>
      </c>
      <c r="B1594" s="37">
        <v>6.7000000000000002E-3</v>
      </c>
      <c r="C1594" t="s">
        <v>1051</v>
      </c>
      <c r="D1594" s="36" t="s">
        <v>29</v>
      </c>
      <c r="E1594" s="36"/>
      <c r="F1594" s="36" t="s">
        <v>20</v>
      </c>
      <c r="G1594" s="36"/>
      <c r="H1594" s="36"/>
      <c r="I1594" s="36"/>
      <c r="J1594" s="36" t="s">
        <v>30</v>
      </c>
    </row>
    <row r="1595" spans="1:10" x14ac:dyDescent="0.3">
      <c r="A1595" s="36" t="s">
        <v>340</v>
      </c>
      <c r="B1595" s="37">
        <v>-1.6799999999999999E-4</v>
      </c>
      <c r="C1595" s="36" t="s">
        <v>31</v>
      </c>
      <c r="D1595" s="36" t="s">
        <v>8</v>
      </c>
      <c r="E1595" s="36"/>
      <c r="F1595" s="36" t="s">
        <v>20</v>
      </c>
      <c r="G1595" s="36"/>
      <c r="H1595" s="36"/>
      <c r="I1595" s="36"/>
      <c r="J1595" s="36" t="s">
        <v>341</v>
      </c>
    </row>
    <row r="1596" spans="1:10" x14ac:dyDescent="0.3">
      <c r="A1596" s="36" t="s">
        <v>342</v>
      </c>
      <c r="B1596" s="37">
        <v>5.8399999999999999E-4</v>
      </c>
      <c r="C1596" s="36" t="s">
        <v>31</v>
      </c>
      <c r="D1596" s="36" t="s">
        <v>19</v>
      </c>
      <c r="E1596" s="36"/>
      <c r="F1596" s="36" t="s">
        <v>20</v>
      </c>
      <c r="G1596" s="36"/>
      <c r="H1596" s="36"/>
      <c r="I1596" s="36"/>
      <c r="J1596" s="36" t="s">
        <v>343</v>
      </c>
    </row>
    <row r="1597" spans="1:10" x14ac:dyDescent="0.3">
      <c r="A1597" s="36" t="s">
        <v>344</v>
      </c>
      <c r="B1597" s="37">
        <v>2.5999999999999998E-10</v>
      </c>
      <c r="C1597" s="36" t="s">
        <v>31</v>
      </c>
      <c r="D1597" s="36" t="s">
        <v>7</v>
      </c>
      <c r="E1597" s="36"/>
      <c r="F1597" s="36" t="s">
        <v>20</v>
      </c>
      <c r="G1597" s="36"/>
      <c r="H1597" s="36"/>
      <c r="I1597" s="36"/>
      <c r="J1597" s="36" t="s">
        <v>345</v>
      </c>
    </row>
    <row r="1598" spans="1:10" x14ac:dyDescent="0.3">
      <c r="A1598" s="36" t="s">
        <v>346</v>
      </c>
      <c r="B1598" s="37">
        <v>-6.2700000000000001E-6</v>
      </c>
      <c r="C1598" s="36" t="s">
        <v>31</v>
      </c>
      <c r="D1598" s="36" t="s">
        <v>8</v>
      </c>
      <c r="E1598" s="36"/>
      <c r="F1598" s="36" t="s">
        <v>20</v>
      </c>
      <c r="G1598" s="36"/>
      <c r="H1598" s="36"/>
      <c r="I1598" s="36"/>
      <c r="J1598" s="36" t="s">
        <v>347</v>
      </c>
    </row>
    <row r="1599" spans="1:10" x14ac:dyDescent="0.3">
      <c r="A1599" s="36" t="s">
        <v>348</v>
      </c>
      <c r="B1599" s="37">
        <v>-7.4999999999999993E-5</v>
      </c>
      <c r="C1599" s="36" t="s">
        <v>31</v>
      </c>
      <c r="D1599" s="36" t="s">
        <v>121</v>
      </c>
      <c r="E1599" s="36"/>
      <c r="F1599" s="36" t="s">
        <v>20</v>
      </c>
      <c r="G1599" s="36"/>
      <c r="H1599" s="36"/>
      <c r="I1599" s="36"/>
      <c r="J1599" s="36" t="s">
        <v>349</v>
      </c>
    </row>
    <row r="1600" spans="1:10" x14ac:dyDescent="0.3">
      <c r="A1600" s="36" t="s">
        <v>350</v>
      </c>
      <c r="B1600" s="37">
        <v>6.8900000000000005E-4</v>
      </c>
      <c r="C1600" s="36" t="s">
        <v>31</v>
      </c>
      <c r="D1600" s="36" t="s">
        <v>8</v>
      </c>
      <c r="E1600" s="36"/>
      <c r="F1600" s="36" t="s">
        <v>20</v>
      </c>
      <c r="G1600" s="36"/>
      <c r="H1600" s="36"/>
      <c r="I1600" s="36"/>
      <c r="J1600" s="36" t="s">
        <v>351</v>
      </c>
    </row>
    <row r="1601" spans="1:10" x14ac:dyDescent="0.3">
      <c r="A1601" s="36" t="s">
        <v>100</v>
      </c>
      <c r="B1601" s="37">
        <v>3.3599999999999998E-2</v>
      </c>
      <c r="C1601" s="36" t="s">
        <v>31</v>
      </c>
      <c r="D1601" s="36" t="s">
        <v>41</v>
      </c>
      <c r="E1601" s="36"/>
      <c r="F1601" s="36" t="s">
        <v>20</v>
      </c>
      <c r="G1601" s="36"/>
      <c r="H1601" s="36"/>
      <c r="I1601" s="36"/>
      <c r="J1601" s="36" t="s">
        <v>103</v>
      </c>
    </row>
    <row r="1602" spans="1:10" x14ac:dyDescent="0.3">
      <c r="A1602" s="36" t="s">
        <v>352</v>
      </c>
      <c r="B1602" s="37">
        <v>3.2599999999999997E-2</v>
      </c>
      <c r="C1602" s="36" t="s">
        <v>581</v>
      </c>
      <c r="D1602" s="36" t="s">
        <v>41</v>
      </c>
      <c r="E1602" s="36"/>
      <c r="F1602" s="36" t="s">
        <v>20</v>
      </c>
      <c r="G1602" s="36"/>
      <c r="H1602" s="36"/>
      <c r="I1602" s="36"/>
      <c r="J1602" s="36" t="s">
        <v>353</v>
      </c>
    </row>
    <row r="1603" spans="1:10" x14ac:dyDescent="0.3">
      <c r="A1603" s="36" t="s">
        <v>354</v>
      </c>
      <c r="B1603" s="37">
        <v>-6.8899999999999999E-7</v>
      </c>
      <c r="C1603" s="36" t="s">
        <v>31</v>
      </c>
      <c r="D1603" s="36" t="s">
        <v>121</v>
      </c>
      <c r="E1603" s="36"/>
      <c r="F1603" s="36" t="s">
        <v>20</v>
      </c>
      <c r="G1603" s="36"/>
      <c r="H1603" s="36"/>
      <c r="I1603" s="36"/>
      <c r="J1603" s="36" t="s">
        <v>355</v>
      </c>
    </row>
    <row r="1605" spans="1:10" ht="15.6" x14ac:dyDescent="0.3">
      <c r="A1605" s="1" t="s">
        <v>1</v>
      </c>
      <c r="B1605" s="73" t="s">
        <v>451</v>
      </c>
    </row>
    <row r="1606" spans="1:10" x14ac:dyDescent="0.3">
      <c r="A1606" t="s">
        <v>2</v>
      </c>
      <c r="B1606" s="6" t="s">
        <v>1050</v>
      </c>
    </row>
    <row r="1607" spans="1:10" x14ac:dyDescent="0.3">
      <c r="A1607" t="s">
        <v>3</v>
      </c>
      <c r="B1607" s="6">
        <v>1</v>
      </c>
    </row>
    <row r="1608" spans="1:10" ht="15.6" x14ac:dyDescent="0.3">
      <c r="A1608" t="s">
        <v>4</v>
      </c>
      <c r="B1608" s="74" t="s">
        <v>337</v>
      </c>
    </row>
    <row r="1609" spans="1:10" x14ac:dyDescent="0.3">
      <c r="A1609" t="s">
        <v>5</v>
      </c>
      <c r="B1609" s="6" t="s">
        <v>6</v>
      </c>
    </row>
    <row r="1610" spans="1:10" x14ac:dyDescent="0.3">
      <c r="A1610" t="s">
        <v>7</v>
      </c>
      <c r="B1610" s="6" t="s">
        <v>8</v>
      </c>
    </row>
    <row r="1611" spans="1:10" x14ac:dyDescent="0.3">
      <c r="A1611" t="s">
        <v>9</v>
      </c>
      <c r="B1611" s="6" t="s">
        <v>393</v>
      </c>
    </row>
    <row r="1612" spans="1:10" x14ac:dyDescent="0.3">
      <c r="A1612" t="s">
        <v>11</v>
      </c>
      <c r="B1612" s="6" t="s">
        <v>361</v>
      </c>
    </row>
    <row r="1613" spans="1:10" ht="15.6" x14ac:dyDescent="0.3">
      <c r="A1613" s="1" t="s">
        <v>12</v>
      </c>
    </row>
    <row r="1614" spans="1:10" x14ac:dyDescent="0.3">
      <c r="A1614" t="s">
        <v>13</v>
      </c>
      <c r="B1614" s="6" t="s">
        <v>14</v>
      </c>
      <c r="C1614" t="s">
        <v>2</v>
      </c>
      <c r="D1614" t="s">
        <v>7</v>
      </c>
      <c r="E1614" t="s">
        <v>15</v>
      </c>
      <c r="F1614" t="s">
        <v>5</v>
      </c>
      <c r="G1614" t="s">
        <v>338</v>
      </c>
      <c r="H1614" t="s">
        <v>339</v>
      </c>
      <c r="I1614" t="s">
        <v>11</v>
      </c>
      <c r="J1614" t="s">
        <v>4</v>
      </c>
    </row>
    <row r="1615" spans="1:10" x14ac:dyDescent="0.3">
      <c r="A1615" s="36" t="s">
        <v>451</v>
      </c>
      <c r="B1615" s="37">
        <v>1</v>
      </c>
      <c r="C1615" t="s">
        <v>1050</v>
      </c>
      <c r="D1615" s="36" t="s">
        <v>8</v>
      </c>
      <c r="E1615" s="36"/>
      <c r="F1615" s="36" t="s">
        <v>17</v>
      </c>
      <c r="G1615" s="36"/>
      <c r="H1615" s="36"/>
      <c r="I1615" s="36" t="s">
        <v>18</v>
      </c>
      <c r="J1615" s="36" t="s">
        <v>337</v>
      </c>
    </row>
    <row r="1616" spans="1:10" ht="15.6" x14ac:dyDescent="0.3">
      <c r="A1616" s="2" t="s">
        <v>449</v>
      </c>
      <c r="B1616" s="6">
        <v>1.00057</v>
      </c>
      <c r="C1616" t="s">
        <v>1050</v>
      </c>
      <c r="D1616" t="s">
        <v>8</v>
      </c>
      <c r="F1616" s="36" t="s">
        <v>20</v>
      </c>
      <c r="G1616" t="s">
        <v>18</v>
      </c>
      <c r="I1616" s="36"/>
      <c r="J1616" s="2" t="s">
        <v>447</v>
      </c>
    </row>
    <row r="1617" spans="1:10" x14ac:dyDescent="0.3">
      <c r="A1617" s="36" t="s">
        <v>28</v>
      </c>
      <c r="B1617" s="37">
        <v>6.7000000000000002E-3</v>
      </c>
      <c r="C1617" t="s">
        <v>1051</v>
      </c>
      <c r="D1617" s="36" t="s">
        <v>29</v>
      </c>
      <c r="E1617" s="36"/>
      <c r="F1617" s="36" t="s">
        <v>20</v>
      </c>
      <c r="G1617" s="36"/>
      <c r="H1617" s="36"/>
      <c r="I1617" s="36"/>
      <c r="J1617" s="36" t="s">
        <v>30</v>
      </c>
    </row>
    <row r="1618" spans="1:10" x14ac:dyDescent="0.3">
      <c r="A1618" s="36" t="s">
        <v>340</v>
      </c>
      <c r="B1618" s="37">
        <v>-1.6799999999999999E-4</v>
      </c>
      <c r="C1618" s="36" t="s">
        <v>31</v>
      </c>
      <c r="D1618" s="36" t="s">
        <v>8</v>
      </c>
      <c r="E1618" s="36"/>
      <c r="F1618" s="36" t="s">
        <v>20</v>
      </c>
      <c r="G1618" s="36"/>
      <c r="H1618" s="36"/>
      <c r="I1618" s="36"/>
      <c r="J1618" s="36" t="s">
        <v>341</v>
      </c>
    </row>
    <row r="1619" spans="1:10" x14ac:dyDescent="0.3">
      <c r="A1619" s="36" t="s">
        <v>342</v>
      </c>
      <c r="B1619" s="37">
        <v>5.8399999999999999E-4</v>
      </c>
      <c r="C1619" s="36" t="s">
        <v>31</v>
      </c>
      <c r="D1619" s="36" t="s">
        <v>19</v>
      </c>
      <c r="E1619" s="36"/>
      <c r="F1619" s="36" t="s">
        <v>20</v>
      </c>
      <c r="G1619" s="36"/>
      <c r="H1619" s="36"/>
      <c r="I1619" s="36"/>
      <c r="J1619" s="36" t="s">
        <v>343</v>
      </c>
    </row>
    <row r="1620" spans="1:10" x14ac:dyDescent="0.3">
      <c r="A1620" s="36" t="s">
        <v>344</v>
      </c>
      <c r="B1620" s="37">
        <v>2.5999999999999998E-10</v>
      </c>
      <c r="C1620" s="36" t="s">
        <v>31</v>
      </c>
      <c r="D1620" s="36" t="s">
        <v>7</v>
      </c>
      <c r="E1620" s="36"/>
      <c r="F1620" s="36" t="s">
        <v>20</v>
      </c>
      <c r="G1620" s="36"/>
      <c r="H1620" s="36"/>
      <c r="I1620" s="36"/>
      <c r="J1620" s="36" t="s">
        <v>345</v>
      </c>
    </row>
    <row r="1621" spans="1:10" x14ac:dyDescent="0.3">
      <c r="A1621" s="36" t="s">
        <v>346</v>
      </c>
      <c r="B1621" s="37">
        <v>-6.2700000000000001E-6</v>
      </c>
      <c r="C1621" s="36" t="s">
        <v>31</v>
      </c>
      <c r="D1621" s="36" t="s">
        <v>8</v>
      </c>
      <c r="E1621" s="36"/>
      <c r="F1621" s="36" t="s">
        <v>20</v>
      </c>
      <c r="G1621" s="36"/>
      <c r="H1621" s="36"/>
      <c r="I1621" s="36"/>
      <c r="J1621" s="36" t="s">
        <v>347</v>
      </c>
    </row>
    <row r="1622" spans="1:10" x14ac:dyDescent="0.3">
      <c r="A1622" s="36" t="s">
        <v>348</v>
      </c>
      <c r="B1622" s="37">
        <v>-7.4999999999999993E-5</v>
      </c>
      <c r="C1622" s="36" t="s">
        <v>31</v>
      </c>
      <c r="D1622" s="36" t="s">
        <v>121</v>
      </c>
      <c r="E1622" s="36"/>
      <c r="F1622" s="36" t="s">
        <v>20</v>
      </c>
      <c r="G1622" s="36"/>
      <c r="H1622" s="36"/>
      <c r="I1622" s="36"/>
      <c r="J1622" s="36" t="s">
        <v>349</v>
      </c>
    </row>
    <row r="1623" spans="1:10" x14ac:dyDescent="0.3">
      <c r="A1623" s="36" t="s">
        <v>350</v>
      </c>
      <c r="B1623" s="37">
        <v>6.8900000000000005E-4</v>
      </c>
      <c r="C1623" s="36" t="s">
        <v>31</v>
      </c>
      <c r="D1623" s="36" t="s">
        <v>8</v>
      </c>
      <c r="E1623" s="36"/>
      <c r="F1623" s="36" t="s">
        <v>20</v>
      </c>
      <c r="G1623" s="36"/>
      <c r="H1623" s="36"/>
      <c r="I1623" s="36"/>
      <c r="J1623" s="36" t="s">
        <v>351</v>
      </c>
    </row>
    <row r="1624" spans="1:10" x14ac:dyDescent="0.3">
      <c r="A1624" s="36" t="s">
        <v>100</v>
      </c>
      <c r="B1624" s="37">
        <v>3.3599999999999998E-2</v>
      </c>
      <c r="C1624" s="36" t="s">
        <v>31</v>
      </c>
      <c r="D1624" s="36" t="s">
        <v>41</v>
      </c>
      <c r="E1624" s="36"/>
      <c r="F1624" s="36" t="s">
        <v>20</v>
      </c>
      <c r="G1624" s="36"/>
      <c r="H1624" s="36"/>
      <c r="I1624" s="36"/>
      <c r="J1624" s="36" t="s">
        <v>103</v>
      </c>
    </row>
    <row r="1625" spans="1:10" x14ac:dyDescent="0.3">
      <c r="A1625" s="36" t="s">
        <v>352</v>
      </c>
      <c r="B1625" s="37">
        <v>3.2599999999999997E-2</v>
      </c>
      <c r="C1625" s="36" t="s">
        <v>581</v>
      </c>
      <c r="D1625" s="36" t="s">
        <v>41</v>
      </c>
      <c r="E1625" s="36"/>
      <c r="F1625" s="36" t="s">
        <v>20</v>
      </c>
      <c r="G1625" s="36"/>
      <c r="H1625" s="36"/>
      <c r="I1625" s="36"/>
      <c r="J1625" s="36" t="s">
        <v>353</v>
      </c>
    </row>
    <row r="1626" spans="1:10" x14ac:dyDescent="0.3">
      <c r="A1626" s="36" t="s">
        <v>354</v>
      </c>
      <c r="B1626" s="37">
        <v>-6.8899999999999999E-7</v>
      </c>
      <c r="C1626" s="36" t="s">
        <v>31</v>
      </c>
      <c r="D1626" s="36" t="s">
        <v>121</v>
      </c>
      <c r="E1626" s="36"/>
      <c r="F1626" s="36" t="s">
        <v>20</v>
      </c>
      <c r="G1626" s="36"/>
      <c r="H1626" s="36"/>
      <c r="I1626" s="36"/>
      <c r="J1626" s="36" t="s">
        <v>355</v>
      </c>
    </row>
    <row r="1627" spans="1:10" x14ac:dyDescent="0.3">
      <c r="A1627" s="36"/>
      <c r="B1627" s="37"/>
      <c r="C1627" s="36"/>
      <c r="D1627" s="36"/>
      <c r="E1627" s="36"/>
      <c r="F1627" s="36"/>
      <c r="G1627" s="36"/>
      <c r="H1627" s="36"/>
      <c r="I1627" s="36"/>
      <c r="J1627" s="36"/>
    </row>
    <row r="1628" spans="1:10" ht="15.6" x14ac:dyDescent="0.3">
      <c r="A1628" s="1" t="s">
        <v>1</v>
      </c>
      <c r="B1628" s="73" t="s">
        <v>91</v>
      </c>
    </row>
    <row r="1629" spans="1:10" x14ac:dyDescent="0.3">
      <c r="A1629" t="s">
        <v>2</v>
      </c>
      <c r="B1629" s="6" t="s">
        <v>1050</v>
      </c>
    </row>
    <row r="1630" spans="1:10" x14ac:dyDescent="0.3">
      <c r="A1630" t="s">
        <v>3</v>
      </c>
      <c r="B1630" s="6">
        <v>1</v>
      </c>
    </row>
    <row r="1631" spans="1:10" ht="15.6" x14ac:dyDescent="0.3">
      <c r="A1631" t="s">
        <v>4</v>
      </c>
      <c r="B1631" s="2" t="s">
        <v>454</v>
      </c>
    </row>
    <row r="1632" spans="1:10" x14ac:dyDescent="0.3">
      <c r="A1632" t="s">
        <v>5</v>
      </c>
      <c r="B1632" s="6" t="s">
        <v>6</v>
      </c>
    </row>
    <row r="1633" spans="1:8" x14ac:dyDescent="0.3">
      <c r="A1633" t="s">
        <v>7</v>
      </c>
      <c r="B1633" s="6" t="s">
        <v>8</v>
      </c>
    </row>
    <row r="1634" spans="1:8" x14ac:dyDescent="0.3">
      <c r="A1634" t="s">
        <v>9</v>
      </c>
      <c r="B1634" s="6" t="s">
        <v>10</v>
      </c>
    </row>
    <row r="1635" spans="1:8" x14ac:dyDescent="0.3">
      <c r="A1635" t="s">
        <v>11</v>
      </c>
      <c r="B1635" s="6" t="s">
        <v>223</v>
      </c>
    </row>
    <row r="1636" spans="1:8" x14ac:dyDescent="0.3">
      <c r="A1636" t="s">
        <v>850</v>
      </c>
      <c r="B1636" s="5">
        <f>Summary!R15</f>
        <v>15.203282981971585</v>
      </c>
    </row>
    <row r="1637" spans="1:8" x14ac:dyDescent="0.3">
      <c r="A1637" t="s">
        <v>856</v>
      </c>
      <c r="B1637" s="78">
        <f>Summary!Q15</f>
        <v>0.73</v>
      </c>
    </row>
    <row r="1638" spans="1:8" ht="15.6" x14ac:dyDescent="0.3">
      <c r="A1638" s="1" t="s">
        <v>12</v>
      </c>
    </row>
    <row r="1639" spans="1:8" x14ac:dyDescent="0.3">
      <c r="A1639" t="s">
        <v>13</v>
      </c>
      <c r="B1639" s="6" t="s">
        <v>14</v>
      </c>
      <c r="C1639" t="s">
        <v>2</v>
      </c>
      <c r="D1639" t="s">
        <v>7</v>
      </c>
      <c r="E1639" t="s">
        <v>15</v>
      </c>
      <c r="F1639" t="s">
        <v>5</v>
      </c>
      <c r="G1639" t="s">
        <v>11</v>
      </c>
      <c r="H1639" t="s">
        <v>4</v>
      </c>
    </row>
    <row r="1640" spans="1:8" ht="15.6" x14ac:dyDescent="0.3">
      <c r="A1640" s="2" t="s">
        <v>91</v>
      </c>
      <c r="B1640" s="6">
        <v>1</v>
      </c>
      <c r="C1640" t="s">
        <v>1050</v>
      </c>
      <c r="D1640" t="s">
        <v>8</v>
      </c>
      <c r="F1640" t="s">
        <v>17</v>
      </c>
      <c r="G1640" t="s">
        <v>18</v>
      </c>
      <c r="H1640" s="2" t="s">
        <v>454</v>
      </c>
    </row>
    <row r="1641" spans="1:8" x14ac:dyDescent="0.3">
      <c r="A1641" t="s">
        <v>22</v>
      </c>
      <c r="B1641" s="6">
        <f>24068*Parameters!$B$3/1000</f>
        <v>2.5393085401199996E-2</v>
      </c>
      <c r="C1641" t="s">
        <v>26</v>
      </c>
      <c r="D1641" t="s">
        <v>19</v>
      </c>
      <c r="F1641" t="s">
        <v>20</v>
      </c>
      <c r="G1641" t="s">
        <v>92</v>
      </c>
      <c r="H1641" t="s">
        <v>23</v>
      </c>
    </row>
    <row r="1642" spans="1:8" x14ac:dyDescent="0.3">
      <c r="A1642" t="s">
        <v>78</v>
      </c>
      <c r="B1642" s="6">
        <f>7729*Parameters!$B$3/1000</f>
        <v>8.1545270510999992E-3</v>
      </c>
      <c r="C1642" t="s">
        <v>26</v>
      </c>
      <c r="D1642" t="s">
        <v>19</v>
      </c>
      <c r="F1642" t="s">
        <v>20</v>
      </c>
      <c r="G1642" t="s">
        <v>93</v>
      </c>
      <c r="H1642" t="s">
        <v>78</v>
      </c>
    </row>
    <row r="1643" spans="1:8" x14ac:dyDescent="0.3">
      <c r="A1643" t="s">
        <v>81</v>
      </c>
      <c r="B1643" s="6">
        <f>(13511+11814)*Parameters!$B$3/1000</f>
        <v>2.6719290667499996E-2</v>
      </c>
      <c r="C1643" t="s">
        <v>26</v>
      </c>
      <c r="D1643" t="s">
        <v>19</v>
      </c>
      <c r="F1643" t="s">
        <v>20</v>
      </c>
      <c r="G1643" t="s">
        <v>94</v>
      </c>
      <c r="H1643" t="s">
        <v>82</v>
      </c>
    </row>
    <row r="1644" spans="1:8" x14ac:dyDescent="0.3">
      <c r="A1644" t="s">
        <v>28</v>
      </c>
      <c r="B1644" s="6">
        <f>5656*Parameters!$B$3/1000/3.6</f>
        <v>1.6576100473333331E-3</v>
      </c>
      <c r="C1644" t="s">
        <v>1051</v>
      </c>
      <c r="D1644" t="s">
        <v>29</v>
      </c>
      <c r="F1644" t="s">
        <v>20</v>
      </c>
      <c r="H1644" t="s">
        <v>30</v>
      </c>
    </row>
    <row r="1645" spans="1:8" x14ac:dyDescent="0.3">
      <c r="A1645" t="s">
        <v>352</v>
      </c>
      <c r="B1645" s="6">
        <f>20*Parameters!$B$7/1000</f>
        <v>3.2199999999999999E-2</v>
      </c>
      <c r="C1645" t="s">
        <v>581</v>
      </c>
      <c r="D1645" t="s">
        <v>41</v>
      </c>
      <c r="F1645" t="s">
        <v>20</v>
      </c>
      <c r="G1645" t="s">
        <v>86</v>
      </c>
      <c r="H1645" t="s">
        <v>353</v>
      </c>
    </row>
    <row r="1646" spans="1:8" x14ac:dyDescent="0.3">
      <c r="A1646" t="s">
        <v>42</v>
      </c>
      <c r="B1646" s="6">
        <f>1.521/1000</f>
        <v>1.521E-3</v>
      </c>
      <c r="C1646" t="s">
        <v>1051</v>
      </c>
      <c r="D1646" t="s">
        <v>8</v>
      </c>
      <c r="F1646" t="s">
        <v>20</v>
      </c>
      <c r="H1646" t="s">
        <v>43</v>
      </c>
    </row>
    <row r="1647" spans="1:8" x14ac:dyDescent="0.3">
      <c r="A1647" t="s">
        <v>44</v>
      </c>
      <c r="B1647" s="6">
        <f>0.608/1000</f>
        <v>6.0800000000000003E-4</v>
      </c>
      <c r="C1647" t="s">
        <v>1051</v>
      </c>
      <c r="D1647" t="s">
        <v>8</v>
      </c>
      <c r="F1647" t="s">
        <v>20</v>
      </c>
      <c r="H1647" t="s">
        <v>45</v>
      </c>
    </row>
    <row r="1648" spans="1:8" x14ac:dyDescent="0.3">
      <c r="A1648" t="s">
        <v>46</v>
      </c>
      <c r="B1648" s="6">
        <f>0.8/1000</f>
        <v>8.0000000000000004E-4</v>
      </c>
      <c r="C1648" t="s">
        <v>1051</v>
      </c>
      <c r="D1648" t="s">
        <v>8</v>
      </c>
      <c r="F1648" t="s">
        <v>20</v>
      </c>
      <c r="H1648" t="s">
        <v>47</v>
      </c>
    </row>
    <row r="1649" spans="1:8" x14ac:dyDescent="0.3">
      <c r="A1649" s="7" t="s">
        <v>48</v>
      </c>
      <c r="B1649" s="6">
        <f>13.342/1000</f>
        <v>1.3342E-2</v>
      </c>
      <c r="C1649" t="s">
        <v>26</v>
      </c>
      <c r="D1649" t="s">
        <v>8</v>
      </c>
      <c r="F1649" t="s">
        <v>20</v>
      </c>
      <c r="H1649" s="7" t="s">
        <v>49</v>
      </c>
    </row>
    <row r="1650" spans="1:8" x14ac:dyDescent="0.3">
      <c r="A1650" t="s">
        <v>50</v>
      </c>
      <c r="B1650" s="6">
        <f>23.96/1000/1000</f>
        <v>2.3960000000000001E-5</v>
      </c>
      <c r="C1650" t="s">
        <v>26</v>
      </c>
      <c r="D1650" t="s">
        <v>8</v>
      </c>
      <c r="F1650" t="s">
        <v>20</v>
      </c>
      <c r="G1650" t="s">
        <v>51</v>
      </c>
      <c r="H1650" t="s">
        <v>53</v>
      </c>
    </row>
    <row r="1651" spans="1:8" x14ac:dyDescent="0.3">
      <c r="A1651" t="s">
        <v>181</v>
      </c>
      <c r="B1651" s="6">
        <v>3.6830900643231697E-5</v>
      </c>
      <c r="C1651" t="s">
        <v>26</v>
      </c>
      <c r="D1651" t="s">
        <v>119</v>
      </c>
      <c r="F1651" t="s">
        <v>20</v>
      </c>
      <c r="G1651" t="s">
        <v>180</v>
      </c>
      <c r="H1651" t="s">
        <v>182</v>
      </c>
    </row>
    <row r="1652" spans="1:8" x14ac:dyDescent="0.3">
      <c r="A1652" t="s">
        <v>183</v>
      </c>
      <c r="B1652" s="6">
        <v>1.1049380686770699E-4</v>
      </c>
      <c r="C1652" t="s">
        <v>26</v>
      </c>
      <c r="D1652" t="s">
        <v>119</v>
      </c>
      <c r="F1652" t="s">
        <v>20</v>
      </c>
      <c r="G1652" t="s">
        <v>180</v>
      </c>
      <c r="H1652" t="s">
        <v>184</v>
      </c>
    </row>
    <row r="1653" spans="1:8" x14ac:dyDescent="0.3">
      <c r="A1653" t="s">
        <v>185</v>
      </c>
      <c r="B1653" s="6">
        <v>3.6830900643231697E-5</v>
      </c>
      <c r="C1653" t="s">
        <v>26</v>
      </c>
      <c r="D1653" t="s">
        <v>119</v>
      </c>
      <c r="F1653" t="s">
        <v>20</v>
      </c>
      <c r="G1653" t="s">
        <v>180</v>
      </c>
      <c r="H1653" t="s">
        <v>186</v>
      </c>
    </row>
    <row r="1654" spans="1:8" x14ac:dyDescent="0.3">
      <c r="A1654" t="s">
        <v>120</v>
      </c>
      <c r="B1654" s="6">
        <v>0.252</v>
      </c>
      <c r="C1654" t="s">
        <v>1051</v>
      </c>
      <c r="D1654" t="s">
        <v>121</v>
      </c>
      <c r="F1654" t="s">
        <v>20</v>
      </c>
      <c r="G1654" t="s">
        <v>125</v>
      </c>
      <c r="H1654" t="s">
        <v>122</v>
      </c>
    </row>
    <row r="1655" spans="1:8" x14ac:dyDescent="0.3">
      <c r="A1655" t="s">
        <v>187</v>
      </c>
      <c r="B1655" s="6">
        <v>1.1048999999999999E-4</v>
      </c>
      <c r="C1655" t="s">
        <v>26</v>
      </c>
      <c r="D1655" t="s">
        <v>119</v>
      </c>
      <c r="F1655" t="s">
        <v>20</v>
      </c>
      <c r="G1655" t="s">
        <v>180</v>
      </c>
      <c r="H1655" t="s">
        <v>188</v>
      </c>
    </row>
    <row r="1656" spans="1:8" x14ac:dyDescent="0.3">
      <c r="A1656" t="s">
        <v>325</v>
      </c>
      <c r="B1656" s="6">
        <f>(1.384)/1000</f>
        <v>1.3839999999999998E-3</v>
      </c>
      <c r="D1656" t="s">
        <v>8</v>
      </c>
      <c r="E1656" t="s">
        <v>37</v>
      </c>
      <c r="F1656" t="s">
        <v>36</v>
      </c>
      <c r="G1656" t="s">
        <v>1015</v>
      </c>
    </row>
    <row r="1657" spans="1:8" x14ac:dyDescent="0.3">
      <c r="A1657" t="s">
        <v>994</v>
      </c>
      <c r="B1657" s="6">
        <f>25.75/1000000</f>
        <v>2.5749999999999999E-5</v>
      </c>
      <c r="D1657" t="s">
        <v>8</v>
      </c>
      <c r="E1657" t="s">
        <v>37</v>
      </c>
      <c r="F1657" t="s">
        <v>36</v>
      </c>
      <c r="G1657" t="s">
        <v>1016</v>
      </c>
    </row>
    <row r="1658" spans="1:8" x14ac:dyDescent="0.3">
      <c r="A1658" t="s">
        <v>40</v>
      </c>
      <c r="B1658" s="6">
        <f>31.68/1000000</f>
        <v>3.1680000000000002E-5</v>
      </c>
      <c r="D1658" t="s">
        <v>8</v>
      </c>
      <c r="E1658" t="s">
        <v>37</v>
      </c>
      <c r="F1658" t="s">
        <v>36</v>
      </c>
      <c r="G1658" t="s">
        <v>1017</v>
      </c>
    </row>
    <row r="1659" spans="1:8" x14ac:dyDescent="0.3">
      <c r="A1659" t="s">
        <v>150</v>
      </c>
      <c r="B1659" s="6">
        <v>9.6866907013685906E-6</v>
      </c>
      <c r="D1659" t="s">
        <v>8</v>
      </c>
      <c r="E1659" t="s">
        <v>170</v>
      </c>
      <c r="F1659" t="s">
        <v>36</v>
      </c>
      <c r="G1659" t="s">
        <v>180</v>
      </c>
    </row>
    <row r="1660" spans="1:8" x14ac:dyDescent="0.3">
      <c r="A1660" t="s">
        <v>132</v>
      </c>
      <c r="B1660" s="6">
        <v>-9.8401857757250106E-7</v>
      </c>
      <c r="D1660" t="s">
        <v>8</v>
      </c>
      <c r="E1660" t="s">
        <v>170</v>
      </c>
      <c r="F1660" t="s">
        <v>36</v>
      </c>
      <c r="G1660" t="s">
        <v>180</v>
      </c>
    </row>
    <row r="1661" spans="1:8" x14ac:dyDescent="0.3">
      <c r="A1661" t="s">
        <v>158</v>
      </c>
      <c r="B1661" s="6">
        <v>8.8484627663318299E-7</v>
      </c>
      <c r="D1661" t="s">
        <v>8</v>
      </c>
      <c r="E1661" t="s">
        <v>170</v>
      </c>
      <c r="F1661" t="s">
        <v>36</v>
      </c>
      <c r="G1661" t="s">
        <v>180</v>
      </c>
    </row>
    <row r="1662" spans="1:8" x14ac:dyDescent="0.3">
      <c r="A1662" t="s">
        <v>164</v>
      </c>
      <c r="B1662" s="6">
        <v>1.5966811678364199E-8</v>
      </c>
      <c r="D1662" t="s">
        <v>8</v>
      </c>
      <c r="E1662" t="s">
        <v>170</v>
      </c>
      <c r="F1662" t="s">
        <v>36</v>
      </c>
      <c r="G1662" t="s">
        <v>180</v>
      </c>
    </row>
    <row r="1663" spans="1:8" x14ac:dyDescent="0.3">
      <c r="A1663" t="s">
        <v>173</v>
      </c>
      <c r="B1663" s="6">
        <v>1.07630556194952E-5</v>
      </c>
      <c r="D1663" t="s">
        <v>8</v>
      </c>
      <c r="E1663" t="s">
        <v>171</v>
      </c>
      <c r="F1663" t="s">
        <v>36</v>
      </c>
      <c r="G1663" t="s">
        <v>180</v>
      </c>
    </row>
    <row r="1664" spans="1:8" x14ac:dyDescent="0.3">
      <c r="A1664" t="s">
        <v>151</v>
      </c>
      <c r="B1664" s="6">
        <v>9.03472245050759E-7</v>
      </c>
      <c r="D1664" t="s">
        <v>8</v>
      </c>
      <c r="E1664" t="s">
        <v>170</v>
      </c>
      <c r="F1664" t="s">
        <v>36</v>
      </c>
      <c r="G1664" t="s">
        <v>180</v>
      </c>
    </row>
    <row r="1665" spans="1:7" x14ac:dyDescent="0.3">
      <c r="A1665" t="s">
        <v>172</v>
      </c>
      <c r="B1665" s="6">
        <v>1.46657242732071E-3</v>
      </c>
      <c r="D1665" t="s">
        <v>8</v>
      </c>
      <c r="E1665" t="s">
        <v>179</v>
      </c>
      <c r="F1665" t="s">
        <v>36</v>
      </c>
      <c r="G1665" t="s">
        <v>180</v>
      </c>
    </row>
    <row r="1666" spans="1:7" x14ac:dyDescent="0.3">
      <c r="A1666" t="s">
        <v>148</v>
      </c>
      <c r="B1666" s="6">
        <v>-2.17184252532495E-8</v>
      </c>
      <c r="D1666" t="s">
        <v>8</v>
      </c>
      <c r="E1666" t="s">
        <v>170</v>
      </c>
      <c r="F1666" t="s">
        <v>36</v>
      </c>
      <c r="G1666" t="s">
        <v>180</v>
      </c>
    </row>
    <row r="1667" spans="1:7" x14ac:dyDescent="0.3">
      <c r="A1667" t="s">
        <v>126</v>
      </c>
      <c r="B1667" s="6">
        <v>2.7599778575834E-3</v>
      </c>
      <c r="D1667" t="s">
        <v>121</v>
      </c>
      <c r="E1667" t="s">
        <v>171</v>
      </c>
      <c r="F1667" t="s">
        <v>36</v>
      </c>
      <c r="G1667" t="s">
        <v>180</v>
      </c>
    </row>
    <row r="1668" spans="1:7" x14ac:dyDescent="0.3">
      <c r="A1668" t="s">
        <v>176</v>
      </c>
      <c r="B1668" s="6">
        <v>1.9959108159754498E-9</v>
      </c>
      <c r="D1668" t="s">
        <v>8</v>
      </c>
      <c r="E1668" t="s">
        <v>170</v>
      </c>
      <c r="F1668" t="s">
        <v>36</v>
      </c>
      <c r="G1668" t="s">
        <v>180</v>
      </c>
    </row>
    <row r="1669" spans="1:7" x14ac:dyDescent="0.3">
      <c r="A1669" t="s">
        <v>38</v>
      </c>
      <c r="B1669" s="6">
        <v>5.1853556439508204E-6</v>
      </c>
      <c r="D1669" t="s">
        <v>8</v>
      </c>
      <c r="E1669" t="s">
        <v>169</v>
      </c>
      <c r="F1669" t="s">
        <v>36</v>
      </c>
      <c r="G1669" t="s">
        <v>180</v>
      </c>
    </row>
    <row r="1670" spans="1:7" x14ac:dyDescent="0.3">
      <c r="A1670" t="s">
        <v>140</v>
      </c>
      <c r="B1670" s="6">
        <v>3.27859780619406E-6</v>
      </c>
      <c r="D1670" t="s">
        <v>8</v>
      </c>
      <c r="E1670" t="s">
        <v>170</v>
      </c>
      <c r="F1670" t="s">
        <v>36</v>
      </c>
      <c r="G1670" t="s">
        <v>180</v>
      </c>
    </row>
    <row r="1671" spans="1:7" x14ac:dyDescent="0.3">
      <c r="A1671" t="s">
        <v>127</v>
      </c>
      <c r="B1671" s="6">
        <v>8.0724401050640405E-5</v>
      </c>
      <c r="D1671" t="s">
        <v>8</v>
      </c>
      <c r="E1671" t="s">
        <v>169</v>
      </c>
      <c r="F1671" t="s">
        <v>36</v>
      </c>
      <c r="G1671" t="s">
        <v>180</v>
      </c>
    </row>
    <row r="1672" spans="1:7" x14ac:dyDescent="0.3">
      <c r="A1672" t="s">
        <v>155</v>
      </c>
      <c r="B1672" s="6">
        <v>2.9099959455172802E-6</v>
      </c>
      <c r="D1672" t="s">
        <v>8</v>
      </c>
      <c r="E1672" t="s">
        <v>170</v>
      </c>
      <c r="F1672" t="s">
        <v>36</v>
      </c>
      <c r="G1672" t="s">
        <v>180</v>
      </c>
    </row>
    <row r="1673" spans="1:7" x14ac:dyDescent="0.3">
      <c r="A1673" t="s">
        <v>159</v>
      </c>
      <c r="B1673" s="6">
        <v>9.5802057193840904E-8</v>
      </c>
      <c r="D1673" t="s">
        <v>8</v>
      </c>
      <c r="E1673" t="s">
        <v>170</v>
      </c>
      <c r="F1673" t="s">
        <v>36</v>
      </c>
      <c r="G1673" t="s">
        <v>180</v>
      </c>
    </row>
    <row r="1674" spans="1:7" x14ac:dyDescent="0.3">
      <c r="A1674" t="s">
        <v>142</v>
      </c>
      <c r="B1674" s="6">
        <v>-1.1393893071195499E-6</v>
      </c>
      <c r="D1674" t="s">
        <v>8</v>
      </c>
      <c r="E1674" t="s">
        <v>170</v>
      </c>
      <c r="F1674" t="s">
        <v>36</v>
      </c>
      <c r="G1674" t="s">
        <v>180</v>
      </c>
    </row>
    <row r="1675" spans="1:7" x14ac:dyDescent="0.3">
      <c r="A1675" t="s">
        <v>168</v>
      </c>
      <c r="B1675" s="6">
        <v>-4.7446953841008502E-7</v>
      </c>
      <c r="D1675" t="s">
        <v>8</v>
      </c>
      <c r="E1675" t="s">
        <v>170</v>
      </c>
      <c r="F1675" t="s">
        <v>36</v>
      </c>
      <c r="G1675" t="s">
        <v>180</v>
      </c>
    </row>
    <row r="1676" spans="1:7" x14ac:dyDescent="0.3">
      <c r="A1676" t="s">
        <v>144</v>
      </c>
      <c r="B1676" s="6">
        <v>2.5015067337276698E-7</v>
      </c>
      <c r="D1676" t="s">
        <v>8</v>
      </c>
      <c r="E1676" t="s">
        <v>170</v>
      </c>
      <c r="F1676" t="s">
        <v>36</v>
      </c>
      <c r="G1676" t="s">
        <v>180</v>
      </c>
    </row>
    <row r="1677" spans="1:7" x14ac:dyDescent="0.3">
      <c r="A1677" t="s">
        <v>110</v>
      </c>
      <c r="B1677" s="6">
        <v>0.11871235448605399</v>
      </c>
      <c r="D1677" t="s">
        <v>115</v>
      </c>
      <c r="E1677" t="s">
        <v>114</v>
      </c>
      <c r="F1677" t="s">
        <v>36</v>
      </c>
      <c r="G1677" t="s">
        <v>180</v>
      </c>
    </row>
    <row r="1678" spans="1:7" x14ac:dyDescent="0.3">
      <c r="A1678" t="s">
        <v>126</v>
      </c>
      <c r="B1678" s="6">
        <v>1.3306552055476401E-2</v>
      </c>
      <c r="D1678" t="s">
        <v>121</v>
      </c>
      <c r="E1678" t="s">
        <v>37</v>
      </c>
      <c r="F1678" t="s">
        <v>36</v>
      </c>
      <c r="G1678" t="s">
        <v>180</v>
      </c>
    </row>
    <row r="1679" spans="1:7" x14ac:dyDescent="0.3">
      <c r="A1679" t="s">
        <v>1046</v>
      </c>
      <c r="B1679" s="6">
        <f>0.42*(1-0.73)*(44/12)</f>
        <v>0.4158</v>
      </c>
      <c r="D1679" t="s">
        <v>8</v>
      </c>
      <c r="E1679" t="s">
        <v>1047</v>
      </c>
      <c r="F1679" t="s">
        <v>36</v>
      </c>
      <c r="G1679" t="s">
        <v>180</v>
      </c>
    </row>
    <row r="1680" spans="1:7" x14ac:dyDescent="0.3">
      <c r="A1680" t="s">
        <v>126</v>
      </c>
      <c r="B1680" s="6">
        <v>1.10399114303107E-2</v>
      </c>
      <c r="D1680" t="s">
        <v>121</v>
      </c>
      <c r="E1680" t="s">
        <v>179</v>
      </c>
      <c r="F1680" t="s">
        <v>36</v>
      </c>
      <c r="G1680" t="s">
        <v>180</v>
      </c>
    </row>
    <row r="1681" spans="1:7" x14ac:dyDescent="0.3">
      <c r="A1681" t="s">
        <v>108</v>
      </c>
      <c r="B1681" s="6">
        <v>3.2528372252739599</v>
      </c>
      <c r="D1681" t="s">
        <v>19</v>
      </c>
      <c r="E1681" t="s">
        <v>112</v>
      </c>
      <c r="F1681" t="s">
        <v>36</v>
      </c>
      <c r="G1681" t="s">
        <v>180</v>
      </c>
    </row>
    <row r="1682" spans="1:7" x14ac:dyDescent="0.3">
      <c r="A1682" t="s">
        <v>173</v>
      </c>
      <c r="B1682" s="6">
        <v>8.3098648140061805E-7</v>
      </c>
      <c r="D1682" t="s">
        <v>8</v>
      </c>
      <c r="E1682" t="s">
        <v>179</v>
      </c>
      <c r="F1682" t="s">
        <v>36</v>
      </c>
      <c r="G1682" t="s">
        <v>180</v>
      </c>
    </row>
    <row r="1683" spans="1:7" x14ac:dyDescent="0.3">
      <c r="A1683" t="s">
        <v>177</v>
      </c>
      <c r="B1683" s="6">
        <v>0.11871235448605399</v>
      </c>
      <c r="D1683" t="s">
        <v>115</v>
      </c>
      <c r="E1683" t="s">
        <v>114</v>
      </c>
      <c r="F1683" t="s">
        <v>36</v>
      </c>
      <c r="G1683" t="s">
        <v>180</v>
      </c>
    </row>
    <row r="1684" spans="1:7" x14ac:dyDescent="0.3">
      <c r="A1684" t="s">
        <v>153</v>
      </c>
      <c r="B1684" s="6">
        <v>1.4903148982175E-7</v>
      </c>
      <c r="D1684" t="s">
        <v>8</v>
      </c>
      <c r="E1684" t="s">
        <v>170</v>
      </c>
      <c r="F1684" t="s">
        <v>36</v>
      </c>
      <c r="G1684" t="s">
        <v>180</v>
      </c>
    </row>
    <row r="1685" spans="1:7" x14ac:dyDescent="0.3">
      <c r="A1685" t="s">
        <v>178</v>
      </c>
      <c r="B1685" s="6">
        <v>6.9244916371715204E-2</v>
      </c>
      <c r="D1685" t="s">
        <v>113</v>
      </c>
      <c r="E1685" t="s">
        <v>114</v>
      </c>
      <c r="F1685" t="s">
        <v>36</v>
      </c>
      <c r="G1685" t="s">
        <v>180</v>
      </c>
    </row>
    <row r="1686" spans="1:7" x14ac:dyDescent="0.3">
      <c r="A1686" t="s">
        <v>149</v>
      </c>
      <c r="B1686" s="6">
        <v>4.3163812091146796E-6</v>
      </c>
      <c r="D1686" t="s">
        <v>8</v>
      </c>
      <c r="E1686" t="s">
        <v>170</v>
      </c>
      <c r="F1686" t="s">
        <v>36</v>
      </c>
      <c r="G1686" t="s">
        <v>180</v>
      </c>
    </row>
    <row r="1688" spans="1:7" ht="15.6" x14ac:dyDescent="0.3">
      <c r="A1688" s="1" t="s">
        <v>1</v>
      </c>
      <c r="B1688" s="73" t="s">
        <v>452</v>
      </c>
    </row>
    <row r="1689" spans="1:7" x14ac:dyDescent="0.3">
      <c r="A1689" t="s">
        <v>2</v>
      </c>
      <c r="B1689" s="6" t="s">
        <v>1050</v>
      </c>
    </row>
    <row r="1690" spans="1:7" x14ac:dyDescent="0.3">
      <c r="A1690" t="s">
        <v>3</v>
      </c>
      <c r="B1690" s="6">
        <v>1</v>
      </c>
    </row>
    <row r="1691" spans="1:7" ht="15.6" x14ac:dyDescent="0.3">
      <c r="A1691" t="s">
        <v>4</v>
      </c>
      <c r="B1691" s="74" t="s">
        <v>453</v>
      </c>
    </row>
    <row r="1692" spans="1:7" x14ac:dyDescent="0.3">
      <c r="A1692" t="s">
        <v>5</v>
      </c>
      <c r="B1692" s="6" t="s">
        <v>6</v>
      </c>
    </row>
    <row r="1693" spans="1:7" x14ac:dyDescent="0.3">
      <c r="A1693" t="s">
        <v>7</v>
      </c>
      <c r="B1693" s="6" t="s">
        <v>8</v>
      </c>
    </row>
    <row r="1694" spans="1:7" x14ac:dyDescent="0.3">
      <c r="A1694" t="s">
        <v>9</v>
      </c>
      <c r="B1694" s="6" t="s">
        <v>10</v>
      </c>
    </row>
    <row r="1695" spans="1:7" x14ac:dyDescent="0.3">
      <c r="A1695" t="s">
        <v>11</v>
      </c>
      <c r="B1695" s="6" t="s">
        <v>230</v>
      </c>
    </row>
    <row r="1696" spans="1:7" x14ac:dyDescent="0.3">
      <c r="A1696" t="s">
        <v>497</v>
      </c>
      <c r="B1696" s="72">
        <f>Summary!O100</f>
        <v>0.41290125235440672</v>
      </c>
    </row>
    <row r="1697" spans="1:8" ht="15.6" x14ac:dyDescent="0.3">
      <c r="A1697" s="1" t="s">
        <v>12</v>
      </c>
    </row>
    <row r="1698" spans="1:8" x14ac:dyDescent="0.3">
      <c r="A1698" t="s">
        <v>13</v>
      </c>
      <c r="B1698" s="6" t="s">
        <v>14</v>
      </c>
      <c r="C1698" t="s">
        <v>2</v>
      </c>
      <c r="D1698" t="s">
        <v>7</v>
      </c>
      <c r="E1698" t="s">
        <v>15</v>
      </c>
      <c r="F1698" t="s">
        <v>5</v>
      </c>
      <c r="G1698" t="s">
        <v>11</v>
      </c>
      <c r="H1698" t="s">
        <v>4</v>
      </c>
    </row>
    <row r="1699" spans="1:8" ht="15.6" x14ac:dyDescent="0.3">
      <c r="A1699" s="2" t="s">
        <v>452</v>
      </c>
      <c r="B1699" s="6">
        <v>1</v>
      </c>
      <c r="C1699" t="s">
        <v>1050</v>
      </c>
      <c r="D1699" t="s">
        <v>8</v>
      </c>
      <c r="F1699" t="s">
        <v>17</v>
      </c>
      <c r="G1699" t="s">
        <v>18</v>
      </c>
      <c r="H1699" s="2" t="s">
        <v>453</v>
      </c>
    </row>
    <row r="1700" spans="1:8" ht="15.6" x14ac:dyDescent="0.3">
      <c r="A1700" s="2" t="s">
        <v>91</v>
      </c>
      <c r="B1700" s="6">
        <f>(1/((Parameters!$F$55*Parameters!$B$4*Parameters!$B$10)/1000))*Parameters!F60</f>
        <v>17.52302602000244</v>
      </c>
      <c r="C1700" t="s">
        <v>1050</v>
      </c>
      <c r="D1700" t="s">
        <v>8</v>
      </c>
      <c r="F1700" t="s">
        <v>20</v>
      </c>
      <c r="G1700" t="s">
        <v>18</v>
      </c>
      <c r="H1700" s="2" t="s">
        <v>454</v>
      </c>
    </row>
    <row r="1701" spans="1:8" ht="15.6" x14ac:dyDescent="0.3">
      <c r="A1701" s="2" t="s">
        <v>315</v>
      </c>
      <c r="B1701" s="6">
        <f>(106.73*Parameters!$B$3)/(Parameters!$B$4*Parameters!$B$10)*Parameters!F60</f>
        <v>3.514269029570196E-2</v>
      </c>
      <c r="C1701" t="s">
        <v>31</v>
      </c>
      <c r="D1701" t="s">
        <v>8</v>
      </c>
      <c r="F1701" t="s">
        <v>20</v>
      </c>
      <c r="G1701" t="s">
        <v>458</v>
      </c>
      <c r="H1701" s="2" t="s">
        <v>316</v>
      </c>
    </row>
    <row r="1702" spans="1:8" ht="15.6" x14ac:dyDescent="0.3">
      <c r="A1702" s="2" t="s">
        <v>384</v>
      </c>
      <c r="B1702" s="6">
        <f>((26.58/1000)/(Parameters!$B$4*Parameters!$B$10))*Parameters!F60</f>
        <v>8.2952217830037523E-3</v>
      </c>
      <c r="C1702" t="s">
        <v>26</v>
      </c>
      <c r="D1702" t="s">
        <v>8</v>
      </c>
      <c r="F1702" t="s">
        <v>20</v>
      </c>
      <c r="G1702" t="s">
        <v>386</v>
      </c>
      <c r="H1702" s="2" t="s">
        <v>385</v>
      </c>
    </row>
    <row r="1703" spans="1:8" ht="15.6" x14ac:dyDescent="0.3">
      <c r="A1703" s="2" t="s">
        <v>252</v>
      </c>
      <c r="B1703" s="6">
        <f>((346.23/1000)/(Parameters!$B$4*Parameters!$B$10))*Parameters!F60</f>
        <v>0.108053221893506</v>
      </c>
      <c r="C1703" t="s">
        <v>31</v>
      </c>
      <c r="D1703" t="s">
        <v>8</v>
      </c>
      <c r="F1703" t="s">
        <v>20</v>
      </c>
      <c r="H1703" s="2" t="s">
        <v>253</v>
      </c>
    </row>
    <row r="1704" spans="1:8" ht="15.6" x14ac:dyDescent="0.3">
      <c r="A1704" s="2" t="s">
        <v>254</v>
      </c>
      <c r="B1704" s="6">
        <f>((41.55/1000)/(Parameters!$B$4*Parameters!$B$10))*Parameters!F60</f>
        <v>1.2967135631444917E-2</v>
      </c>
      <c r="C1704" t="s">
        <v>255</v>
      </c>
      <c r="D1704" t="s">
        <v>8</v>
      </c>
      <c r="F1704" t="s">
        <v>20</v>
      </c>
      <c r="H1704" s="2" t="s">
        <v>256</v>
      </c>
    </row>
    <row r="1705" spans="1:8" x14ac:dyDescent="0.3">
      <c r="A1705" t="s">
        <v>265</v>
      </c>
      <c r="B1705" s="6">
        <f>(B1679*B1700)-Parameters!$B$13</f>
        <v>5.3720742191170148</v>
      </c>
      <c r="D1705" t="s">
        <v>8</v>
      </c>
      <c r="E1705" t="s">
        <v>37</v>
      </c>
      <c r="F1705" t="s">
        <v>36</v>
      </c>
      <c r="G1705" t="s">
        <v>428</v>
      </c>
    </row>
    <row r="1706" spans="1:8" x14ac:dyDescent="0.3">
      <c r="A1706" t="s">
        <v>306</v>
      </c>
      <c r="B1706" s="6">
        <f>1/(90000000*20)</f>
        <v>5.5555555555555553E-10</v>
      </c>
      <c r="C1706" t="s">
        <v>26</v>
      </c>
      <c r="D1706" t="s">
        <v>7</v>
      </c>
      <c r="F1706" t="s">
        <v>20</v>
      </c>
      <c r="G1706" t="s">
        <v>308</v>
      </c>
      <c r="H1706" t="s">
        <v>307</v>
      </c>
    </row>
    <row r="1707" spans="1:8" ht="15.6" x14ac:dyDescent="0.3">
      <c r="A1707" s="2"/>
      <c r="H1707" s="2"/>
    </row>
    <row r="1708" spans="1:8" ht="15.6" x14ac:dyDescent="0.3">
      <c r="A1708" s="1" t="s">
        <v>1</v>
      </c>
      <c r="B1708" s="73" t="s">
        <v>455</v>
      </c>
    </row>
    <row r="1709" spans="1:8" x14ac:dyDescent="0.3">
      <c r="A1709" t="s">
        <v>2</v>
      </c>
      <c r="B1709" s="6" t="s">
        <v>1050</v>
      </c>
    </row>
    <row r="1710" spans="1:8" x14ac:dyDescent="0.3">
      <c r="A1710" t="s">
        <v>3</v>
      </c>
      <c r="B1710" s="6">
        <v>1</v>
      </c>
    </row>
    <row r="1711" spans="1:8" ht="15.6" x14ac:dyDescent="0.3">
      <c r="A1711" t="s">
        <v>4</v>
      </c>
      <c r="B1711" s="74" t="s">
        <v>453</v>
      </c>
    </row>
    <row r="1712" spans="1:8" x14ac:dyDescent="0.3">
      <c r="A1712" t="s">
        <v>5</v>
      </c>
      <c r="B1712" s="6" t="s">
        <v>6</v>
      </c>
    </row>
    <row r="1713" spans="1:8" x14ac:dyDescent="0.3">
      <c r="A1713" t="s">
        <v>7</v>
      </c>
      <c r="B1713" s="6" t="s">
        <v>8</v>
      </c>
    </row>
    <row r="1714" spans="1:8" x14ac:dyDescent="0.3">
      <c r="A1714" t="s">
        <v>9</v>
      </c>
      <c r="B1714" s="6" t="s">
        <v>10</v>
      </c>
    </row>
    <row r="1715" spans="1:8" x14ac:dyDescent="0.3">
      <c r="A1715" t="s">
        <v>11</v>
      </c>
      <c r="B1715" s="6" t="s">
        <v>373</v>
      </c>
    </row>
    <row r="1716" spans="1:8" x14ac:dyDescent="0.3">
      <c r="A1716" t="s">
        <v>497</v>
      </c>
      <c r="B1716" s="72">
        <f>Summary!O43</f>
        <v>0.42949103481507478</v>
      </c>
    </row>
    <row r="1717" spans="1:8" ht="15.6" x14ac:dyDescent="0.3">
      <c r="A1717" s="1" t="s">
        <v>12</v>
      </c>
    </row>
    <row r="1718" spans="1:8" x14ac:dyDescent="0.3">
      <c r="A1718" t="s">
        <v>13</v>
      </c>
      <c r="B1718" s="6" t="s">
        <v>14</v>
      </c>
      <c r="C1718" t="s">
        <v>2</v>
      </c>
      <c r="D1718" t="s">
        <v>7</v>
      </c>
      <c r="E1718" t="s">
        <v>15</v>
      </c>
      <c r="F1718" t="s">
        <v>5</v>
      </c>
      <c r="G1718" t="s">
        <v>11</v>
      </c>
      <c r="H1718" t="s">
        <v>4</v>
      </c>
    </row>
    <row r="1719" spans="1:8" ht="15.6" x14ac:dyDescent="0.3">
      <c r="A1719" s="2" t="s">
        <v>455</v>
      </c>
      <c r="B1719" s="6">
        <v>1</v>
      </c>
      <c r="C1719" t="s">
        <v>1050</v>
      </c>
      <c r="D1719" t="s">
        <v>8</v>
      </c>
      <c r="F1719" t="s">
        <v>17</v>
      </c>
      <c r="G1719" t="s">
        <v>18</v>
      </c>
      <c r="H1719" s="2" t="s">
        <v>453</v>
      </c>
    </row>
    <row r="1720" spans="1:8" ht="15.6" x14ac:dyDescent="0.3">
      <c r="A1720" s="2" t="s">
        <v>91</v>
      </c>
      <c r="B1720" s="6">
        <f>(1/((Parameters!$F$55*Parameters!$B$4*Parameters!$B$10)/1000))*Parameters!F61</f>
        <v>16.84617093768475</v>
      </c>
      <c r="C1720" t="s">
        <v>1050</v>
      </c>
      <c r="D1720" t="s">
        <v>8</v>
      </c>
      <c r="F1720" t="s">
        <v>20</v>
      </c>
      <c r="G1720" t="s">
        <v>18</v>
      </c>
      <c r="H1720" s="2" t="s">
        <v>454</v>
      </c>
    </row>
    <row r="1721" spans="1:8" ht="15.6" x14ac:dyDescent="0.3">
      <c r="A1721" s="2" t="s">
        <v>315</v>
      </c>
      <c r="B1721" s="6">
        <f>(106.73*Parameters!$B$3)/(Parameters!$B$4*Parameters!$B$10)*Parameters!F61</f>
        <v>3.3785247322906602E-2</v>
      </c>
      <c r="C1721" t="s">
        <v>31</v>
      </c>
      <c r="D1721" t="s">
        <v>8</v>
      </c>
      <c r="F1721" t="s">
        <v>20</v>
      </c>
      <c r="G1721" t="s">
        <v>458</v>
      </c>
      <c r="H1721" s="2" t="s">
        <v>316</v>
      </c>
    </row>
    <row r="1722" spans="1:8" ht="15.6" x14ac:dyDescent="0.3">
      <c r="A1722" s="2" t="s">
        <v>384</v>
      </c>
      <c r="B1722" s="6">
        <f>((26.58/1000)/(Parameters!$B$4*Parameters!$B$10))*Parameters!F61</f>
        <v>7.9748054909563968E-3</v>
      </c>
      <c r="C1722" t="s">
        <v>26</v>
      </c>
      <c r="D1722" t="s">
        <v>8</v>
      </c>
      <c r="F1722" t="s">
        <v>20</v>
      </c>
      <c r="G1722" t="s">
        <v>386</v>
      </c>
      <c r="H1722" s="2" t="s">
        <v>385</v>
      </c>
    </row>
    <row r="1723" spans="1:8" ht="15.6" x14ac:dyDescent="0.3">
      <c r="A1723" s="2" t="s">
        <v>252</v>
      </c>
      <c r="B1723" s="6">
        <f>((346.23/1000)/(Parameters!$B$4*Parameters!$B$10))*Parameters!F61</f>
        <v>0.10387949229246927</v>
      </c>
      <c r="C1723" t="s">
        <v>31</v>
      </c>
      <c r="D1723" t="s">
        <v>8</v>
      </c>
      <c r="F1723" t="s">
        <v>20</v>
      </c>
      <c r="H1723" s="2" t="s">
        <v>253</v>
      </c>
    </row>
    <row r="1724" spans="1:8" ht="15.6" x14ac:dyDescent="0.3">
      <c r="A1724" s="2" t="s">
        <v>254</v>
      </c>
      <c r="B1724" s="6">
        <f>((41.55/1000)/(Parameters!$B$4*Parameters!$B$10))*Parameters!F61</f>
        <v>1.2466259147826871E-2</v>
      </c>
      <c r="C1724" t="s">
        <v>255</v>
      </c>
      <c r="D1724" t="s">
        <v>8</v>
      </c>
      <c r="F1724" t="s">
        <v>20</v>
      </c>
      <c r="H1724" s="2" t="s">
        <v>256</v>
      </c>
    </row>
    <row r="1725" spans="1:8" x14ac:dyDescent="0.3">
      <c r="A1725" t="s">
        <v>265</v>
      </c>
      <c r="B1725" s="6">
        <f>(B1679*B1720)-Parameters!$B$13</f>
        <v>5.0906378758893194</v>
      </c>
      <c r="D1725" t="s">
        <v>8</v>
      </c>
      <c r="E1725" t="s">
        <v>37</v>
      </c>
      <c r="F1725" t="s">
        <v>36</v>
      </c>
      <c r="G1725" t="s">
        <v>428</v>
      </c>
    </row>
    <row r="1726" spans="1:8" x14ac:dyDescent="0.3">
      <c r="A1726" t="s">
        <v>306</v>
      </c>
      <c r="B1726" s="6">
        <f>1/(90000000*20)</f>
        <v>5.5555555555555553E-10</v>
      </c>
      <c r="C1726" t="s">
        <v>26</v>
      </c>
      <c r="D1726" t="s">
        <v>7</v>
      </c>
      <c r="F1726" t="s">
        <v>20</v>
      </c>
      <c r="G1726" t="s">
        <v>308</v>
      </c>
      <c r="H1726" t="s">
        <v>307</v>
      </c>
    </row>
    <row r="1727" spans="1:8" ht="15.6" x14ac:dyDescent="0.3">
      <c r="A1727" s="2"/>
      <c r="H1727" s="2"/>
    </row>
    <row r="1728" spans="1:8" ht="15.6" x14ac:dyDescent="0.3">
      <c r="A1728" s="1" t="s">
        <v>1</v>
      </c>
      <c r="B1728" s="73" t="s">
        <v>532</v>
      </c>
    </row>
    <row r="1729" spans="1:8" x14ac:dyDescent="0.3">
      <c r="A1729" t="s">
        <v>2</v>
      </c>
      <c r="B1729" s="6" t="s">
        <v>1050</v>
      </c>
    </row>
    <row r="1730" spans="1:8" x14ac:dyDescent="0.3">
      <c r="A1730" t="s">
        <v>3</v>
      </c>
      <c r="B1730" s="6">
        <v>1</v>
      </c>
    </row>
    <row r="1731" spans="1:8" ht="15.6" x14ac:dyDescent="0.3">
      <c r="A1731" t="s">
        <v>4</v>
      </c>
      <c r="B1731" s="74" t="s">
        <v>453</v>
      </c>
    </row>
    <row r="1732" spans="1:8" x14ac:dyDescent="0.3">
      <c r="A1732" t="s">
        <v>5</v>
      </c>
      <c r="B1732" s="6" t="s">
        <v>6</v>
      </c>
    </row>
    <row r="1733" spans="1:8" x14ac:dyDescent="0.3">
      <c r="A1733" t="s">
        <v>7</v>
      </c>
      <c r="B1733" s="6" t="s">
        <v>8</v>
      </c>
    </row>
    <row r="1734" spans="1:8" x14ac:dyDescent="0.3">
      <c r="A1734" t="s">
        <v>9</v>
      </c>
      <c r="B1734" s="6" t="s">
        <v>10</v>
      </c>
    </row>
    <row r="1735" spans="1:8" x14ac:dyDescent="0.3">
      <c r="A1735" t="s">
        <v>11</v>
      </c>
      <c r="B1735" s="6" t="s">
        <v>504</v>
      </c>
    </row>
    <row r="1736" spans="1:8" x14ac:dyDescent="0.3">
      <c r="A1736" t="s">
        <v>497</v>
      </c>
      <c r="B1736" s="72">
        <f>Summary!O138</f>
        <v>0.38482396719430706</v>
      </c>
    </row>
    <row r="1737" spans="1:8" ht="15.6" x14ac:dyDescent="0.3">
      <c r="A1737" s="1" t="s">
        <v>12</v>
      </c>
    </row>
    <row r="1738" spans="1:8" x14ac:dyDescent="0.3">
      <c r="A1738" t="s">
        <v>13</v>
      </c>
      <c r="B1738" s="6" t="s">
        <v>14</v>
      </c>
      <c r="C1738" t="s">
        <v>2</v>
      </c>
      <c r="D1738" t="s">
        <v>7</v>
      </c>
      <c r="E1738" t="s">
        <v>15</v>
      </c>
      <c r="F1738" t="s">
        <v>5</v>
      </c>
      <c r="G1738" t="s">
        <v>11</v>
      </c>
      <c r="H1738" t="s">
        <v>4</v>
      </c>
    </row>
    <row r="1739" spans="1:8" ht="15.6" x14ac:dyDescent="0.3">
      <c r="A1739" s="2" t="s">
        <v>532</v>
      </c>
      <c r="B1739" s="6">
        <v>1</v>
      </c>
      <c r="C1739" t="s">
        <v>1050</v>
      </c>
      <c r="D1739" t="s">
        <v>8</v>
      </c>
      <c r="F1739" t="s">
        <v>17</v>
      </c>
      <c r="G1739" t="s">
        <v>18</v>
      </c>
      <c r="H1739" s="2" t="s">
        <v>453</v>
      </c>
    </row>
    <row r="1740" spans="1:8" ht="15.6" x14ac:dyDescent="0.3">
      <c r="A1740" s="2" t="s">
        <v>91</v>
      </c>
      <c r="B1740" s="6">
        <f>(1/((Parameters!$F$55*Parameters!$B$4*Parameters!$B$10)/1000))</f>
        <v>18.801530064380302</v>
      </c>
      <c r="C1740" t="s">
        <v>1050</v>
      </c>
      <c r="D1740" t="s">
        <v>8</v>
      </c>
      <c r="F1740" t="s">
        <v>20</v>
      </c>
      <c r="G1740" t="s">
        <v>18</v>
      </c>
      <c r="H1740" s="2" t="s">
        <v>454</v>
      </c>
    </row>
    <row r="1741" spans="1:8" ht="15.6" x14ac:dyDescent="0.3">
      <c r="A1741" s="2" t="s">
        <v>315</v>
      </c>
      <c r="B1741" s="6">
        <f>(106.73*Parameters!$B$3)/(Parameters!$B$4*Parameters!$B$10)</f>
        <v>3.7706749244315406E-2</v>
      </c>
      <c r="C1741" t="s">
        <v>31</v>
      </c>
      <c r="D1741" t="s">
        <v>8</v>
      </c>
      <c r="F1741" t="s">
        <v>20</v>
      </c>
      <c r="G1741" t="s">
        <v>458</v>
      </c>
      <c r="H1741" s="2" t="s">
        <v>316</v>
      </c>
    </row>
    <row r="1742" spans="1:8" ht="15.6" x14ac:dyDescent="0.3">
      <c r="A1742" s="2" t="s">
        <v>384</v>
      </c>
      <c r="B1742" s="6">
        <f>((26.58/1000)/(Parameters!$B$4*Parameters!$B$10))</f>
        <v>8.9004525568709778E-3</v>
      </c>
      <c r="C1742" t="s">
        <v>26</v>
      </c>
      <c r="D1742" t="s">
        <v>8</v>
      </c>
      <c r="F1742" t="s">
        <v>20</v>
      </c>
      <c r="G1742" t="s">
        <v>386</v>
      </c>
      <c r="H1742" s="2" t="s">
        <v>385</v>
      </c>
    </row>
    <row r="1743" spans="1:8" ht="15.6" x14ac:dyDescent="0.3">
      <c r="A1743" s="2" t="s">
        <v>252</v>
      </c>
      <c r="B1743" s="6">
        <f>((346.23/1000)/(Parameters!$B$4*Parameters!$B$10))</f>
        <v>0.11593693336213089</v>
      </c>
      <c r="C1743" t="s">
        <v>31</v>
      </c>
      <c r="D1743" t="s">
        <v>8</v>
      </c>
      <c r="F1743" t="s">
        <v>20</v>
      </c>
      <c r="H1743" s="2" t="s">
        <v>253</v>
      </c>
    </row>
    <row r="1744" spans="1:8" ht="15.6" x14ac:dyDescent="0.3">
      <c r="A1744" s="2" t="s">
        <v>254</v>
      </c>
      <c r="B1744" s="6">
        <f>((41.55/1000)/(Parameters!$B$4*Parameters!$B$10))</f>
        <v>1.3913235656056776E-2</v>
      </c>
      <c r="C1744" t="s">
        <v>255</v>
      </c>
      <c r="D1744" t="s">
        <v>8</v>
      </c>
      <c r="F1744" t="s">
        <v>20</v>
      </c>
      <c r="H1744" s="2" t="s">
        <v>256</v>
      </c>
    </row>
    <row r="1745" spans="1:10" x14ac:dyDescent="0.3">
      <c r="A1745" t="s">
        <v>265</v>
      </c>
      <c r="B1745" s="6">
        <f>(B1679*B1740)-Parameters!$B$13</f>
        <v>5.90367620076933</v>
      </c>
      <c r="D1745" t="s">
        <v>8</v>
      </c>
      <c r="E1745" t="s">
        <v>37</v>
      </c>
      <c r="F1745" t="s">
        <v>36</v>
      </c>
      <c r="G1745" t="s">
        <v>428</v>
      </c>
    </row>
    <row r="1746" spans="1:10" x14ac:dyDescent="0.3">
      <c r="A1746" t="s">
        <v>306</v>
      </c>
      <c r="B1746" s="6">
        <f>1/(90000000*20)</f>
        <v>5.5555555555555553E-10</v>
      </c>
      <c r="C1746" t="s">
        <v>26</v>
      </c>
      <c r="D1746" t="s">
        <v>7</v>
      </c>
      <c r="F1746" t="s">
        <v>20</v>
      </c>
      <c r="G1746" t="s">
        <v>308</v>
      </c>
      <c r="H1746" t="s">
        <v>307</v>
      </c>
    </row>
    <row r="1747" spans="1:10" x14ac:dyDescent="0.3">
      <c r="A1747" s="36" t="s">
        <v>28</v>
      </c>
      <c r="B1747" s="37">
        <f>Parameters!F54/Parameters!B4*Parameters!B10*-1</f>
        <v>-0.53989696169088508</v>
      </c>
      <c r="C1747" t="s">
        <v>1051</v>
      </c>
      <c r="D1747" s="36" t="s">
        <v>29</v>
      </c>
      <c r="E1747" s="36"/>
      <c r="F1747" s="36" t="s">
        <v>20</v>
      </c>
      <c r="G1747" s="36" t="s">
        <v>505</v>
      </c>
      <c r="H1747" s="36" t="s">
        <v>30</v>
      </c>
      <c r="I1747" s="36"/>
    </row>
    <row r="1748" spans="1:10" ht="15.6" x14ac:dyDescent="0.3">
      <c r="A1748" s="2"/>
      <c r="H1748" s="2"/>
    </row>
    <row r="1749" spans="1:10" ht="15.6" x14ac:dyDescent="0.3">
      <c r="A1749" s="1" t="s">
        <v>1</v>
      </c>
      <c r="B1749" s="73" t="s">
        <v>456</v>
      </c>
    </row>
    <row r="1750" spans="1:10" x14ac:dyDescent="0.3">
      <c r="A1750" t="s">
        <v>2</v>
      </c>
      <c r="B1750" s="6" t="s">
        <v>1050</v>
      </c>
    </row>
    <row r="1751" spans="1:10" x14ac:dyDescent="0.3">
      <c r="A1751" t="s">
        <v>3</v>
      </c>
      <c r="B1751" s="6">
        <v>1</v>
      </c>
    </row>
    <row r="1752" spans="1:10" ht="15.6" x14ac:dyDescent="0.3">
      <c r="A1752" t="s">
        <v>4</v>
      </c>
      <c r="B1752" s="74" t="s">
        <v>337</v>
      </c>
    </row>
    <row r="1753" spans="1:10" x14ac:dyDescent="0.3">
      <c r="A1753" t="s">
        <v>5</v>
      </c>
      <c r="B1753" s="6" t="s">
        <v>6</v>
      </c>
    </row>
    <row r="1754" spans="1:10" x14ac:dyDescent="0.3">
      <c r="A1754" t="s">
        <v>7</v>
      </c>
      <c r="B1754" s="6" t="s">
        <v>8</v>
      </c>
    </row>
    <row r="1755" spans="1:10" x14ac:dyDescent="0.3">
      <c r="A1755" t="s">
        <v>9</v>
      </c>
      <c r="B1755" s="6" t="s">
        <v>393</v>
      </c>
    </row>
    <row r="1756" spans="1:10" x14ac:dyDescent="0.3">
      <c r="A1756" t="s">
        <v>11</v>
      </c>
      <c r="B1756" s="6" t="s">
        <v>362</v>
      </c>
    </row>
    <row r="1757" spans="1:10" ht="15.6" x14ac:dyDescent="0.3">
      <c r="A1757" s="1" t="s">
        <v>12</v>
      </c>
    </row>
    <row r="1758" spans="1:10" x14ac:dyDescent="0.3">
      <c r="A1758" t="s">
        <v>13</v>
      </c>
      <c r="B1758" s="6" t="s">
        <v>14</v>
      </c>
      <c r="C1758" t="s">
        <v>2</v>
      </c>
      <c r="D1758" t="s">
        <v>7</v>
      </c>
      <c r="E1758" t="s">
        <v>15</v>
      </c>
      <c r="F1758" t="s">
        <v>5</v>
      </c>
      <c r="G1758" t="s">
        <v>338</v>
      </c>
      <c r="H1758" t="s">
        <v>339</v>
      </c>
      <c r="I1758" t="s">
        <v>11</v>
      </c>
      <c r="J1758" t="s">
        <v>4</v>
      </c>
    </row>
    <row r="1759" spans="1:10" x14ac:dyDescent="0.3">
      <c r="A1759" s="36" t="s">
        <v>456</v>
      </c>
      <c r="B1759" s="37">
        <v>1</v>
      </c>
      <c r="C1759" t="s">
        <v>1050</v>
      </c>
      <c r="D1759" s="36" t="s">
        <v>8</v>
      </c>
      <c r="E1759" s="36"/>
      <c r="F1759" s="36" t="s">
        <v>17</v>
      </c>
      <c r="G1759" s="36"/>
      <c r="H1759" s="36"/>
      <c r="I1759" s="36" t="s">
        <v>18</v>
      </c>
      <c r="J1759" s="36" t="s">
        <v>337</v>
      </c>
    </row>
    <row r="1760" spans="1:10" ht="15.6" x14ac:dyDescent="0.3">
      <c r="A1760" s="2" t="s">
        <v>452</v>
      </c>
      <c r="B1760" s="6">
        <v>1.00057</v>
      </c>
      <c r="C1760" t="s">
        <v>1050</v>
      </c>
      <c r="D1760" t="s">
        <v>8</v>
      </c>
      <c r="F1760" s="36" t="s">
        <v>20</v>
      </c>
      <c r="G1760" t="s">
        <v>18</v>
      </c>
      <c r="I1760" s="36"/>
      <c r="J1760" s="2" t="s">
        <v>453</v>
      </c>
    </row>
    <row r="1761" spans="1:10" x14ac:dyDescent="0.3">
      <c r="A1761" s="36" t="s">
        <v>28</v>
      </c>
      <c r="B1761" s="37">
        <v>6.7000000000000002E-3</v>
      </c>
      <c r="C1761" t="s">
        <v>1051</v>
      </c>
      <c r="D1761" s="36" t="s">
        <v>29</v>
      </c>
      <c r="E1761" s="36"/>
      <c r="F1761" s="36" t="s">
        <v>20</v>
      </c>
      <c r="G1761" s="36"/>
      <c r="H1761" s="36"/>
      <c r="I1761" s="36"/>
      <c r="J1761" s="36" t="s">
        <v>30</v>
      </c>
    </row>
    <row r="1762" spans="1:10" x14ac:dyDescent="0.3">
      <c r="A1762" s="36" t="s">
        <v>340</v>
      </c>
      <c r="B1762" s="37">
        <v>-1.6799999999999999E-4</v>
      </c>
      <c r="C1762" s="36" t="s">
        <v>31</v>
      </c>
      <c r="D1762" s="36" t="s">
        <v>8</v>
      </c>
      <c r="E1762" s="36"/>
      <c r="F1762" s="36" t="s">
        <v>20</v>
      </c>
      <c r="G1762" s="36"/>
      <c r="H1762" s="36"/>
      <c r="I1762" s="36"/>
      <c r="J1762" s="36" t="s">
        <v>341</v>
      </c>
    </row>
    <row r="1763" spans="1:10" x14ac:dyDescent="0.3">
      <c r="A1763" s="36" t="s">
        <v>342</v>
      </c>
      <c r="B1763" s="37">
        <v>5.8399999999999999E-4</v>
      </c>
      <c r="C1763" s="36" t="s">
        <v>31</v>
      </c>
      <c r="D1763" s="36" t="s">
        <v>19</v>
      </c>
      <c r="E1763" s="36"/>
      <c r="F1763" s="36" t="s">
        <v>20</v>
      </c>
      <c r="G1763" s="36"/>
      <c r="H1763" s="36"/>
      <c r="I1763" s="36"/>
      <c r="J1763" s="36" t="s">
        <v>343</v>
      </c>
    </row>
    <row r="1764" spans="1:10" x14ac:dyDescent="0.3">
      <c r="A1764" s="36" t="s">
        <v>344</v>
      </c>
      <c r="B1764" s="37">
        <v>2.5999999999999998E-10</v>
      </c>
      <c r="C1764" s="36" t="s">
        <v>31</v>
      </c>
      <c r="D1764" s="36" t="s">
        <v>7</v>
      </c>
      <c r="E1764" s="36"/>
      <c r="F1764" s="36" t="s">
        <v>20</v>
      </c>
      <c r="G1764" s="36"/>
      <c r="H1764" s="36"/>
      <c r="I1764" s="36"/>
      <c r="J1764" s="36" t="s">
        <v>345</v>
      </c>
    </row>
    <row r="1765" spans="1:10" x14ac:dyDescent="0.3">
      <c r="A1765" s="36" t="s">
        <v>346</v>
      </c>
      <c r="B1765" s="37">
        <v>-6.2700000000000001E-6</v>
      </c>
      <c r="C1765" s="36" t="s">
        <v>31</v>
      </c>
      <c r="D1765" s="36" t="s">
        <v>8</v>
      </c>
      <c r="E1765" s="36"/>
      <c r="F1765" s="36" t="s">
        <v>20</v>
      </c>
      <c r="G1765" s="36"/>
      <c r="H1765" s="36"/>
      <c r="I1765" s="36"/>
      <c r="J1765" s="36" t="s">
        <v>347</v>
      </c>
    </row>
    <row r="1766" spans="1:10" x14ac:dyDescent="0.3">
      <c r="A1766" s="36" t="s">
        <v>348</v>
      </c>
      <c r="B1766" s="37">
        <v>-7.4999999999999993E-5</v>
      </c>
      <c r="C1766" s="36" t="s">
        <v>31</v>
      </c>
      <c r="D1766" s="36" t="s">
        <v>121</v>
      </c>
      <c r="E1766" s="36"/>
      <c r="F1766" s="36" t="s">
        <v>20</v>
      </c>
      <c r="G1766" s="36"/>
      <c r="H1766" s="36"/>
      <c r="I1766" s="36"/>
      <c r="J1766" s="36" t="s">
        <v>349</v>
      </c>
    </row>
    <row r="1767" spans="1:10" x14ac:dyDescent="0.3">
      <c r="A1767" s="36" t="s">
        <v>350</v>
      </c>
      <c r="B1767" s="37">
        <v>6.8900000000000005E-4</v>
      </c>
      <c r="C1767" s="36" t="s">
        <v>31</v>
      </c>
      <c r="D1767" s="36" t="s">
        <v>8</v>
      </c>
      <c r="E1767" s="36"/>
      <c r="F1767" s="36" t="s">
        <v>20</v>
      </c>
      <c r="G1767" s="36"/>
      <c r="H1767" s="36"/>
      <c r="I1767" s="36"/>
      <c r="J1767" s="36" t="s">
        <v>351</v>
      </c>
    </row>
    <row r="1768" spans="1:10" x14ac:dyDescent="0.3">
      <c r="A1768" s="36" t="s">
        <v>100</v>
      </c>
      <c r="B1768" s="37">
        <v>3.3599999999999998E-2</v>
      </c>
      <c r="C1768" s="36" t="s">
        <v>31</v>
      </c>
      <c r="D1768" s="36" t="s">
        <v>41</v>
      </c>
      <c r="E1768" s="36"/>
      <c r="F1768" s="36" t="s">
        <v>20</v>
      </c>
      <c r="G1768" s="36"/>
      <c r="H1768" s="36"/>
      <c r="I1768" s="36"/>
      <c r="J1768" s="36" t="s">
        <v>103</v>
      </c>
    </row>
    <row r="1769" spans="1:10" x14ac:dyDescent="0.3">
      <c r="A1769" s="36" t="s">
        <v>352</v>
      </c>
      <c r="B1769" s="37">
        <v>3.2599999999999997E-2</v>
      </c>
      <c r="C1769" s="36" t="s">
        <v>581</v>
      </c>
      <c r="D1769" s="36" t="s">
        <v>41</v>
      </c>
      <c r="E1769" s="36"/>
      <c r="F1769" s="36" t="s">
        <v>20</v>
      </c>
      <c r="G1769" s="36"/>
      <c r="H1769" s="36"/>
      <c r="I1769" s="36"/>
      <c r="J1769" s="36" t="s">
        <v>353</v>
      </c>
    </row>
    <row r="1770" spans="1:10" x14ac:dyDescent="0.3">
      <c r="A1770" s="36" t="s">
        <v>354</v>
      </c>
      <c r="B1770" s="37">
        <v>-6.8899999999999999E-7</v>
      </c>
      <c r="C1770" s="36" t="s">
        <v>31</v>
      </c>
      <c r="D1770" s="36" t="s">
        <v>121</v>
      </c>
      <c r="E1770" s="36"/>
      <c r="F1770" s="36" t="s">
        <v>20</v>
      </c>
      <c r="G1770" s="36"/>
      <c r="H1770" s="36"/>
      <c r="I1770" s="36"/>
      <c r="J1770" s="36" t="s">
        <v>355</v>
      </c>
    </row>
    <row r="1772" spans="1:10" ht="15.6" x14ac:dyDescent="0.3">
      <c r="A1772" s="1" t="s">
        <v>1</v>
      </c>
      <c r="B1772" s="73" t="s">
        <v>457</v>
      </c>
    </row>
    <row r="1773" spans="1:10" x14ac:dyDescent="0.3">
      <c r="A1773" t="s">
        <v>2</v>
      </c>
      <c r="B1773" s="6" t="s">
        <v>1050</v>
      </c>
    </row>
    <row r="1774" spans="1:10" x14ac:dyDescent="0.3">
      <c r="A1774" t="s">
        <v>3</v>
      </c>
      <c r="B1774" s="6">
        <v>1</v>
      </c>
    </row>
    <row r="1775" spans="1:10" ht="15.6" x14ac:dyDescent="0.3">
      <c r="A1775" t="s">
        <v>4</v>
      </c>
      <c r="B1775" s="74" t="s">
        <v>337</v>
      </c>
    </row>
    <row r="1776" spans="1:10" x14ac:dyDescent="0.3">
      <c r="A1776" t="s">
        <v>5</v>
      </c>
      <c r="B1776" s="6" t="s">
        <v>6</v>
      </c>
    </row>
    <row r="1777" spans="1:10" x14ac:dyDescent="0.3">
      <c r="A1777" t="s">
        <v>7</v>
      </c>
      <c r="B1777" s="6" t="s">
        <v>8</v>
      </c>
    </row>
    <row r="1778" spans="1:10" x14ac:dyDescent="0.3">
      <c r="A1778" t="s">
        <v>9</v>
      </c>
      <c r="B1778" s="6" t="s">
        <v>393</v>
      </c>
    </row>
    <row r="1779" spans="1:10" x14ac:dyDescent="0.3">
      <c r="A1779" t="s">
        <v>11</v>
      </c>
      <c r="B1779" s="6" t="s">
        <v>361</v>
      </c>
    </row>
    <row r="1780" spans="1:10" ht="15.6" x14ac:dyDescent="0.3">
      <c r="A1780" s="1" t="s">
        <v>12</v>
      </c>
    </row>
    <row r="1781" spans="1:10" x14ac:dyDescent="0.3">
      <c r="A1781" t="s">
        <v>13</v>
      </c>
      <c r="B1781" s="6" t="s">
        <v>14</v>
      </c>
      <c r="C1781" t="s">
        <v>2</v>
      </c>
      <c r="D1781" t="s">
        <v>7</v>
      </c>
      <c r="E1781" t="s">
        <v>15</v>
      </c>
      <c r="F1781" t="s">
        <v>5</v>
      </c>
      <c r="G1781" t="s">
        <v>338</v>
      </c>
      <c r="H1781" t="s">
        <v>339</v>
      </c>
      <c r="I1781" t="s">
        <v>11</v>
      </c>
      <c r="J1781" t="s">
        <v>4</v>
      </c>
    </row>
    <row r="1782" spans="1:10" x14ac:dyDescent="0.3">
      <c r="A1782" s="36" t="s">
        <v>457</v>
      </c>
      <c r="B1782" s="37">
        <v>1</v>
      </c>
      <c r="C1782" t="s">
        <v>1050</v>
      </c>
      <c r="D1782" s="36" t="s">
        <v>8</v>
      </c>
      <c r="E1782" s="36"/>
      <c r="F1782" s="36" t="s">
        <v>17</v>
      </c>
      <c r="G1782" s="36"/>
      <c r="H1782" s="36"/>
      <c r="I1782" s="36" t="s">
        <v>18</v>
      </c>
      <c r="J1782" s="36" t="s">
        <v>337</v>
      </c>
    </row>
    <row r="1783" spans="1:10" ht="15.6" x14ac:dyDescent="0.3">
      <c r="A1783" s="2" t="s">
        <v>455</v>
      </c>
      <c r="B1783" s="6">
        <v>1.00057</v>
      </c>
      <c r="C1783" t="s">
        <v>1050</v>
      </c>
      <c r="D1783" t="s">
        <v>8</v>
      </c>
      <c r="F1783" s="36" t="s">
        <v>20</v>
      </c>
      <c r="G1783" t="s">
        <v>18</v>
      </c>
      <c r="I1783" s="36"/>
      <c r="J1783" s="2" t="s">
        <v>453</v>
      </c>
    </row>
    <row r="1784" spans="1:10" x14ac:dyDescent="0.3">
      <c r="A1784" s="36" t="s">
        <v>28</v>
      </c>
      <c r="B1784" s="37">
        <v>6.7000000000000002E-3</v>
      </c>
      <c r="C1784" t="s">
        <v>1051</v>
      </c>
      <c r="D1784" s="36" t="s">
        <v>29</v>
      </c>
      <c r="E1784" s="36"/>
      <c r="F1784" s="36" t="s">
        <v>20</v>
      </c>
      <c r="G1784" s="36"/>
      <c r="H1784" s="36"/>
      <c r="I1784" s="36"/>
      <c r="J1784" s="36" t="s">
        <v>30</v>
      </c>
    </row>
    <row r="1785" spans="1:10" x14ac:dyDescent="0.3">
      <c r="A1785" s="36" t="s">
        <v>340</v>
      </c>
      <c r="B1785" s="37">
        <v>-1.6799999999999999E-4</v>
      </c>
      <c r="C1785" s="36" t="s">
        <v>31</v>
      </c>
      <c r="D1785" s="36" t="s">
        <v>8</v>
      </c>
      <c r="E1785" s="36"/>
      <c r="F1785" s="36" t="s">
        <v>20</v>
      </c>
      <c r="G1785" s="36"/>
      <c r="H1785" s="36"/>
      <c r="I1785" s="36"/>
      <c r="J1785" s="36" t="s">
        <v>341</v>
      </c>
    </row>
    <row r="1786" spans="1:10" x14ac:dyDescent="0.3">
      <c r="A1786" s="36" t="s">
        <v>342</v>
      </c>
      <c r="B1786" s="37">
        <v>5.8399999999999999E-4</v>
      </c>
      <c r="C1786" s="36" t="s">
        <v>31</v>
      </c>
      <c r="D1786" s="36" t="s">
        <v>19</v>
      </c>
      <c r="E1786" s="36"/>
      <c r="F1786" s="36" t="s">
        <v>20</v>
      </c>
      <c r="G1786" s="36"/>
      <c r="H1786" s="36"/>
      <c r="I1786" s="36"/>
      <c r="J1786" s="36" t="s">
        <v>343</v>
      </c>
    </row>
    <row r="1787" spans="1:10" x14ac:dyDescent="0.3">
      <c r="A1787" s="36" t="s">
        <v>344</v>
      </c>
      <c r="B1787" s="37">
        <v>2.5999999999999998E-10</v>
      </c>
      <c r="C1787" s="36" t="s">
        <v>31</v>
      </c>
      <c r="D1787" s="36" t="s">
        <v>7</v>
      </c>
      <c r="E1787" s="36"/>
      <c r="F1787" s="36" t="s">
        <v>20</v>
      </c>
      <c r="G1787" s="36"/>
      <c r="H1787" s="36"/>
      <c r="I1787" s="36"/>
      <c r="J1787" s="36" t="s">
        <v>345</v>
      </c>
    </row>
    <row r="1788" spans="1:10" x14ac:dyDescent="0.3">
      <c r="A1788" s="36" t="s">
        <v>346</v>
      </c>
      <c r="B1788" s="37">
        <v>-6.2700000000000001E-6</v>
      </c>
      <c r="C1788" s="36" t="s">
        <v>31</v>
      </c>
      <c r="D1788" s="36" t="s">
        <v>8</v>
      </c>
      <c r="E1788" s="36"/>
      <c r="F1788" s="36" t="s">
        <v>20</v>
      </c>
      <c r="G1788" s="36"/>
      <c r="H1788" s="36"/>
      <c r="I1788" s="36"/>
      <c r="J1788" s="36" t="s">
        <v>347</v>
      </c>
    </row>
    <row r="1789" spans="1:10" x14ac:dyDescent="0.3">
      <c r="A1789" s="36" t="s">
        <v>348</v>
      </c>
      <c r="B1789" s="37">
        <v>-7.4999999999999993E-5</v>
      </c>
      <c r="C1789" s="36" t="s">
        <v>31</v>
      </c>
      <c r="D1789" s="36" t="s">
        <v>121</v>
      </c>
      <c r="E1789" s="36"/>
      <c r="F1789" s="36" t="s">
        <v>20</v>
      </c>
      <c r="G1789" s="36"/>
      <c r="H1789" s="36"/>
      <c r="I1789" s="36"/>
      <c r="J1789" s="36" t="s">
        <v>349</v>
      </c>
    </row>
    <row r="1790" spans="1:10" x14ac:dyDescent="0.3">
      <c r="A1790" s="36" t="s">
        <v>350</v>
      </c>
      <c r="B1790" s="37">
        <v>6.8900000000000005E-4</v>
      </c>
      <c r="C1790" s="36" t="s">
        <v>31</v>
      </c>
      <c r="D1790" s="36" t="s">
        <v>8</v>
      </c>
      <c r="E1790" s="36"/>
      <c r="F1790" s="36" t="s">
        <v>20</v>
      </c>
      <c r="G1790" s="36"/>
      <c r="H1790" s="36"/>
      <c r="I1790" s="36"/>
      <c r="J1790" s="36" t="s">
        <v>351</v>
      </c>
    </row>
    <row r="1791" spans="1:10" x14ac:dyDescent="0.3">
      <c r="A1791" s="36" t="s">
        <v>100</v>
      </c>
      <c r="B1791" s="37">
        <v>3.3599999999999998E-2</v>
      </c>
      <c r="C1791" s="36" t="s">
        <v>31</v>
      </c>
      <c r="D1791" s="36" t="s">
        <v>41</v>
      </c>
      <c r="E1791" s="36"/>
      <c r="F1791" s="36" t="s">
        <v>20</v>
      </c>
      <c r="G1791" s="36"/>
      <c r="H1791" s="36"/>
      <c r="I1791" s="36"/>
      <c r="J1791" s="36" t="s">
        <v>103</v>
      </c>
    </row>
    <row r="1792" spans="1:10" x14ac:dyDescent="0.3">
      <c r="A1792" s="36" t="s">
        <v>352</v>
      </c>
      <c r="B1792" s="37">
        <v>3.2599999999999997E-2</v>
      </c>
      <c r="C1792" s="36" t="s">
        <v>581</v>
      </c>
      <c r="D1792" s="36" t="s">
        <v>41</v>
      </c>
      <c r="E1792" s="36"/>
      <c r="F1792" s="36" t="s">
        <v>20</v>
      </c>
      <c r="G1792" s="36"/>
      <c r="H1792" s="36"/>
      <c r="I1792" s="36"/>
      <c r="J1792" s="36" t="s">
        <v>353</v>
      </c>
    </row>
    <row r="1793" spans="1:10" x14ac:dyDescent="0.3">
      <c r="A1793" s="36" t="s">
        <v>354</v>
      </c>
      <c r="B1793" s="37">
        <v>-6.8899999999999999E-7</v>
      </c>
      <c r="C1793" s="36" t="s">
        <v>31</v>
      </c>
      <c r="D1793" s="36" t="s">
        <v>121</v>
      </c>
      <c r="E1793" s="36"/>
      <c r="F1793" s="36" t="s">
        <v>20</v>
      </c>
      <c r="G1793" s="36"/>
      <c r="H1793" s="36"/>
      <c r="I1793" s="36"/>
      <c r="J1793" s="36" t="s">
        <v>355</v>
      </c>
    </row>
    <row r="1794" spans="1:10" x14ac:dyDescent="0.3">
      <c r="A1794" s="36"/>
      <c r="B1794" s="37"/>
      <c r="C1794" s="36"/>
      <c r="D1794" s="36"/>
      <c r="E1794" s="36"/>
      <c r="F1794" s="36"/>
      <c r="G1794" s="36"/>
      <c r="H1794" s="36"/>
      <c r="I1794" s="36"/>
      <c r="J1794" s="36"/>
    </row>
    <row r="1795" spans="1:10" ht="15.6" x14ac:dyDescent="0.3">
      <c r="A1795" s="1" t="s">
        <v>1</v>
      </c>
      <c r="B1795" s="73" t="s">
        <v>533</v>
      </c>
    </row>
    <row r="1796" spans="1:10" x14ac:dyDescent="0.3">
      <c r="A1796" t="s">
        <v>2</v>
      </c>
      <c r="B1796" s="6" t="s">
        <v>1050</v>
      </c>
    </row>
    <row r="1797" spans="1:10" x14ac:dyDescent="0.3">
      <c r="A1797" t="s">
        <v>3</v>
      </c>
      <c r="B1797" s="6">
        <v>1</v>
      </c>
    </row>
    <row r="1798" spans="1:10" ht="15.6" x14ac:dyDescent="0.3">
      <c r="A1798" t="s">
        <v>4</v>
      </c>
      <c r="B1798" s="74" t="s">
        <v>337</v>
      </c>
    </row>
    <row r="1799" spans="1:10" x14ac:dyDescent="0.3">
      <c r="A1799" t="s">
        <v>5</v>
      </c>
      <c r="B1799" s="6" t="s">
        <v>6</v>
      </c>
    </row>
    <row r="1800" spans="1:10" x14ac:dyDescent="0.3">
      <c r="A1800" t="s">
        <v>7</v>
      </c>
      <c r="B1800" s="6" t="s">
        <v>8</v>
      </c>
    </row>
    <row r="1801" spans="1:10" x14ac:dyDescent="0.3">
      <c r="A1801" t="s">
        <v>9</v>
      </c>
      <c r="B1801" s="6" t="s">
        <v>393</v>
      </c>
    </row>
    <row r="1802" spans="1:10" x14ac:dyDescent="0.3">
      <c r="A1802" t="s">
        <v>11</v>
      </c>
      <c r="B1802" s="6" t="s">
        <v>507</v>
      </c>
    </row>
    <row r="1803" spans="1:10" ht="15.6" x14ac:dyDescent="0.3">
      <c r="A1803" s="1" t="s">
        <v>12</v>
      </c>
    </row>
    <row r="1804" spans="1:10" x14ac:dyDescent="0.3">
      <c r="A1804" t="s">
        <v>13</v>
      </c>
      <c r="B1804" s="6" t="s">
        <v>14</v>
      </c>
      <c r="C1804" t="s">
        <v>2</v>
      </c>
      <c r="D1804" t="s">
        <v>7</v>
      </c>
      <c r="E1804" t="s">
        <v>15</v>
      </c>
      <c r="F1804" t="s">
        <v>5</v>
      </c>
      <c r="G1804" t="s">
        <v>338</v>
      </c>
      <c r="H1804" t="s">
        <v>339</v>
      </c>
      <c r="I1804" t="s">
        <v>11</v>
      </c>
      <c r="J1804" t="s">
        <v>4</v>
      </c>
    </row>
    <row r="1805" spans="1:10" x14ac:dyDescent="0.3">
      <c r="A1805" s="36" t="s">
        <v>533</v>
      </c>
      <c r="B1805" s="37">
        <v>1</v>
      </c>
      <c r="C1805" t="s">
        <v>1050</v>
      </c>
      <c r="D1805" s="36" t="s">
        <v>8</v>
      </c>
      <c r="E1805" s="36"/>
      <c r="F1805" s="36" t="s">
        <v>17</v>
      </c>
      <c r="G1805" s="36"/>
      <c r="H1805" s="36"/>
      <c r="I1805" s="36" t="s">
        <v>18</v>
      </c>
      <c r="J1805" s="36" t="s">
        <v>337</v>
      </c>
    </row>
    <row r="1806" spans="1:10" ht="15.6" x14ac:dyDescent="0.3">
      <c r="A1806" s="2" t="s">
        <v>532</v>
      </c>
      <c r="B1806" s="6">
        <v>1.00057</v>
      </c>
      <c r="C1806" t="s">
        <v>1050</v>
      </c>
      <c r="D1806" t="s">
        <v>8</v>
      </c>
      <c r="F1806" s="36" t="s">
        <v>20</v>
      </c>
      <c r="G1806" t="s">
        <v>18</v>
      </c>
      <c r="I1806" s="36"/>
      <c r="J1806" s="2" t="s">
        <v>453</v>
      </c>
    </row>
    <row r="1807" spans="1:10" x14ac:dyDescent="0.3">
      <c r="A1807" s="36" t="s">
        <v>28</v>
      </c>
      <c r="B1807" s="37">
        <v>6.7000000000000002E-3</v>
      </c>
      <c r="C1807" t="s">
        <v>1051</v>
      </c>
      <c r="D1807" s="36" t="s">
        <v>29</v>
      </c>
      <c r="E1807" s="36"/>
      <c r="F1807" s="36" t="s">
        <v>20</v>
      </c>
      <c r="G1807" s="36"/>
      <c r="H1807" s="36"/>
      <c r="I1807" s="36"/>
      <c r="J1807" s="36" t="s">
        <v>30</v>
      </c>
    </row>
    <row r="1808" spans="1:10" x14ac:dyDescent="0.3">
      <c r="A1808" s="36" t="s">
        <v>340</v>
      </c>
      <c r="B1808" s="37">
        <v>-1.6799999999999999E-4</v>
      </c>
      <c r="C1808" s="36" t="s">
        <v>31</v>
      </c>
      <c r="D1808" s="36" t="s">
        <v>8</v>
      </c>
      <c r="E1808" s="36"/>
      <c r="F1808" s="36" t="s">
        <v>20</v>
      </c>
      <c r="G1808" s="36"/>
      <c r="H1808" s="36"/>
      <c r="I1808" s="36"/>
      <c r="J1808" s="36" t="s">
        <v>341</v>
      </c>
    </row>
    <row r="1809" spans="1:10" x14ac:dyDescent="0.3">
      <c r="A1809" s="36" t="s">
        <v>342</v>
      </c>
      <c r="B1809" s="37">
        <v>5.8399999999999999E-4</v>
      </c>
      <c r="C1809" s="36" t="s">
        <v>31</v>
      </c>
      <c r="D1809" s="36" t="s">
        <v>19</v>
      </c>
      <c r="E1809" s="36"/>
      <c r="F1809" s="36" t="s">
        <v>20</v>
      </c>
      <c r="G1809" s="36"/>
      <c r="H1809" s="36"/>
      <c r="I1809" s="36"/>
      <c r="J1809" s="36" t="s">
        <v>343</v>
      </c>
    </row>
    <row r="1810" spans="1:10" x14ac:dyDescent="0.3">
      <c r="A1810" s="36" t="s">
        <v>344</v>
      </c>
      <c r="B1810" s="37">
        <v>2.5999999999999998E-10</v>
      </c>
      <c r="C1810" s="36" t="s">
        <v>31</v>
      </c>
      <c r="D1810" s="36" t="s">
        <v>7</v>
      </c>
      <c r="E1810" s="36"/>
      <c r="F1810" s="36" t="s">
        <v>20</v>
      </c>
      <c r="G1810" s="36"/>
      <c r="H1810" s="36"/>
      <c r="I1810" s="36"/>
      <c r="J1810" s="36" t="s">
        <v>345</v>
      </c>
    </row>
    <row r="1811" spans="1:10" x14ac:dyDescent="0.3">
      <c r="A1811" s="36" t="s">
        <v>346</v>
      </c>
      <c r="B1811" s="37">
        <v>-6.2700000000000001E-6</v>
      </c>
      <c r="C1811" s="36" t="s">
        <v>31</v>
      </c>
      <c r="D1811" s="36" t="s">
        <v>8</v>
      </c>
      <c r="E1811" s="36"/>
      <c r="F1811" s="36" t="s">
        <v>20</v>
      </c>
      <c r="G1811" s="36"/>
      <c r="H1811" s="36"/>
      <c r="I1811" s="36"/>
      <c r="J1811" s="36" t="s">
        <v>347</v>
      </c>
    </row>
    <row r="1812" spans="1:10" x14ac:dyDescent="0.3">
      <c r="A1812" s="36" t="s">
        <v>348</v>
      </c>
      <c r="B1812" s="37">
        <v>-7.4999999999999993E-5</v>
      </c>
      <c r="C1812" s="36" t="s">
        <v>31</v>
      </c>
      <c r="D1812" s="36" t="s">
        <v>121</v>
      </c>
      <c r="E1812" s="36"/>
      <c r="F1812" s="36" t="s">
        <v>20</v>
      </c>
      <c r="G1812" s="36"/>
      <c r="H1812" s="36"/>
      <c r="I1812" s="36"/>
      <c r="J1812" s="36" t="s">
        <v>349</v>
      </c>
    </row>
    <row r="1813" spans="1:10" x14ac:dyDescent="0.3">
      <c r="A1813" s="36" t="s">
        <v>350</v>
      </c>
      <c r="B1813" s="37">
        <v>6.8900000000000005E-4</v>
      </c>
      <c r="C1813" s="36" t="s">
        <v>31</v>
      </c>
      <c r="D1813" s="36" t="s">
        <v>8</v>
      </c>
      <c r="E1813" s="36"/>
      <c r="F1813" s="36" t="s">
        <v>20</v>
      </c>
      <c r="G1813" s="36"/>
      <c r="H1813" s="36"/>
      <c r="I1813" s="36"/>
      <c r="J1813" s="36" t="s">
        <v>351</v>
      </c>
    </row>
    <row r="1814" spans="1:10" x14ac:dyDescent="0.3">
      <c r="A1814" s="36" t="s">
        <v>100</v>
      </c>
      <c r="B1814" s="37">
        <v>3.3599999999999998E-2</v>
      </c>
      <c r="C1814" s="36" t="s">
        <v>31</v>
      </c>
      <c r="D1814" s="36" t="s">
        <v>41</v>
      </c>
      <c r="E1814" s="36"/>
      <c r="F1814" s="36" t="s">
        <v>20</v>
      </c>
      <c r="G1814" s="36"/>
      <c r="H1814" s="36"/>
      <c r="I1814" s="36"/>
      <c r="J1814" s="36" t="s">
        <v>103</v>
      </c>
    </row>
    <row r="1815" spans="1:10" x14ac:dyDescent="0.3">
      <c r="A1815" s="36" t="s">
        <v>352</v>
      </c>
      <c r="B1815" s="37">
        <v>3.2599999999999997E-2</v>
      </c>
      <c r="C1815" s="36" t="s">
        <v>581</v>
      </c>
      <c r="D1815" s="36" t="s">
        <v>41</v>
      </c>
      <c r="E1815" s="36"/>
      <c r="F1815" s="36" t="s">
        <v>20</v>
      </c>
      <c r="G1815" s="36"/>
      <c r="H1815" s="36"/>
      <c r="I1815" s="36"/>
      <c r="J1815" s="36" t="s">
        <v>353</v>
      </c>
    </row>
    <row r="1816" spans="1:10" x14ac:dyDescent="0.3">
      <c r="A1816" s="36" t="s">
        <v>354</v>
      </c>
      <c r="B1816" s="37">
        <v>-6.8899999999999999E-7</v>
      </c>
      <c r="C1816" s="36" t="s">
        <v>31</v>
      </c>
      <c r="D1816" s="36" t="s">
        <v>121</v>
      </c>
      <c r="E1816" s="36"/>
      <c r="F1816" s="36" t="s">
        <v>20</v>
      </c>
      <c r="G1816" s="36"/>
      <c r="H1816" s="36"/>
      <c r="I1816" s="36"/>
      <c r="J1816" s="36" t="s">
        <v>355</v>
      </c>
    </row>
    <row r="1817" spans="1:10" x14ac:dyDescent="0.3">
      <c r="A1817" s="36"/>
      <c r="B1817" s="37"/>
      <c r="C1817" s="36"/>
      <c r="D1817" s="36"/>
      <c r="E1817" s="36"/>
      <c r="F1817" s="36"/>
      <c r="G1817" s="36"/>
      <c r="H1817" s="36"/>
      <c r="I1817" s="36"/>
      <c r="J1817" s="36"/>
    </row>
    <row r="1818" spans="1:10" ht="15.6" x14ac:dyDescent="0.3">
      <c r="A1818" s="1" t="s">
        <v>1</v>
      </c>
      <c r="B1818" s="73" t="s">
        <v>96</v>
      </c>
    </row>
    <row r="1819" spans="1:10" x14ac:dyDescent="0.3">
      <c r="A1819" t="s">
        <v>2</v>
      </c>
      <c r="B1819" s="6" t="s">
        <v>1050</v>
      </c>
    </row>
    <row r="1820" spans="1:10" x14ac:dyDescent="0.3">
      <c r="A1820" t="s">
        <v>3</v>
      </c>
      <c r="B1820" s="6">
        <v>1</v>
      </c>
    </row>
    <row r="1821" spans="1:10" ht="15.6" x14ac:dyDescent="0.3">
      <c r="A1821" t="s">
        <v>4</v>
      </c>
      <c r="B1821" s="2" t="s">
        <v>431</v>
      </c>
    </row>
    <row r="1822" spans="1:10" x14ac:dyDescent="0.3">
      <c r="A1822" t="s">
        <v>5</v>
      </c>
      <c r="B1822" s="6" t="s">
        <v>6</v>
      </c>
    </row>
    <row r="1823" spans="1:10" x14ac:dyDescent="0.3">
      <c r="A1823" t="s">
        <v>7</v>
      </c>
      <c r="B1823" s="6" t="s">
        <v>8</v>
      </c>
    </row>
    <row r="1824" spans="1:10" x14ac:dyDescent="0.3">
      <c r="A1824" t="s">
        <v>9</v>
      </c>
      <c r="B1824" s="6" t="s">
        <v>10</v>
      </c>
    </row>
    <row r="1825" spans="1:8" x14ac:dyDescent="0.3">
      <c r="A1825" t="s">
        <v>11</v>
      </c>
      <c r="B1825" s="6" t="s">
        <v>175</v>
      </c>
    </row>
    <row r="1826" spans="1:8" x14ac:dyDescent="0.3">
      <c r="A1826" t="s">
        <v>850</v>
      </c>
      <c r="B1826" s="5">
        <f>Summary!R16</f>
        <v>15.839794265873016</v>
      </c>
    </row>
    <row r="1827" spans="1:8" x14ac:dyDescent="0.3">
      <c r="A1827" t="s">
        <v>856</v>
      </c>
      <c r="B1827" s="78">
        <f>Summary!Q16</f>
        <v>0.14000000000000001</v>
      </c>
    </row>
    <row r="1828" spans="1:8" ht="15.6" x14ac:dyDescent="0.3">
      <c r="A1828" s="1" t="s">
        <v>12</v>
      </c>
    </row>
    <row r="1829" spans="1:8" x14ac:dyDescent="0.3">
      <c r="A1829" t="s">
        <v>13</v>
      </c>
      <c r="B1829" s="6" t="s">
        <v>14</v>
      </c>
      <c r="C1829" t="s">
        <v>2</v>
      </c>
      <c r="D1829" t="s">
        <v>7</v>
      </c>
      <c r="E1829" t="s">
        <v>15</v>
      </c>
      <c r="F1829" t="s">
        <v>5</v>
      </c>
      <c r="G1829" t="s">
        <v>11</v>
      </c>
      <c r="H1829" t="s">
        <v>4</v>
      </c>
    </row>
    <row r="1830" spans="1:8" ht="15.6" x14ac:dyDescent="0.3">
      <c r="A1830" s="2" t="s">
        <v>96</v>
      </c>
      <c r="B1830" s="6">
        <v>1</v>
      </c>
      <c r="C1830" t="s">
        <v>1050</v>
      </c>
      <c r="D1830" t="s">
        <v>8</v>
      </c>
      <c r="F1830" t="s">
        <v>17</v>
      </c>
      <c r="G1830" t="s">
        <v>18</v>
      </c>
      <c r="H1830" s="2" t="s">
        <v>431</v>
      </c>
    </row>
    <row r="1831" spans="1:8" x14ac:dyDescent="0.3">
      <c r="A1831" t="s">
        <v>22</v>
      </c>
      <c r="B1831" s="6">
        <f>3409*Parameters!$B$3/Parameters!$B$8/1000</f>
        <v>0.14160151061924697</v>
      </c>
      <c r="C1831" t="s">
        <v>26</v>
      </c>
      <c r="D1831" t="s">
        <v>19</v>
      </c>
      <c r="F1831" t="s">
        <v>20</v>
      </c>
      <c r="G1831" t="s">
        <v>92</v>
      </c>
      <c r="H1831" t="s">
        <v>23</v>
      </c>
    </row>
    <row r="1832" spans="1:8" x14ac:dyDescent="0.3">
      <c r="A1832" t="s">
        <v>78</v>
      </c>
      <c r="B1832" s="6">
        <f>1018*Parameters!$B$3/Parameters!$B$8/1000</f>
        <v>4.2285226697093996E-2</v>
      </c>
      <c r="C1832" t="s">
        <v>26</v>
      </c>
      <c r="D1832" t="s">
        <v>19</v>
      </c>
      <c r="F1832" t="s">
        <v>20</v>
      </c>
      <c r="G1832" t="s">
        <v>93</v>
      </c>
      <c r="H1832" t="s">
        <v>78</v>
      </c>
    </row>
    <row r="1833" spans="1:8" x14ac:dyDescent="0.3">
      <c r="A1833" t="s">
        <v>81</v>
      </c>
      <c r="B1833" s="6">
        <f>(938+1242)*Parameters!$B$3/Parameters!$B$8/1000</f>
        <v>9.0551860706939991E-2</v>
      </c>
      <c r="C1833" t="s">
        <v>26</v>
      </c>
      <c r="D1833" t="s">
        <v>19</v>
      </c>
      <c r="F1833" t="s">
        <v>20</v>
      </c>
      <c r="G1833" t="s">
        <v>94</v>
      </c>
      <c r="H1833" t="s">
        <v>82</v>
      </c>
    </row>
    <row r="1834" spans="1:8" x14ac:dyDescent="0.3">
      <c r="A1834" t="s">
        <v>28</v>
      </c>
      <c r="B1834" s="6">
        <f>318*Parameters!$B$3/Parameters!$B$8/1000/3.6</f>
        <v>3.6691503191649999E-3</v>
      </c>
      <c r="C1834" t="s">
        <v>1051</v>
      </c>
      <c r="D1834" t="s">
        <v>29</v>
      </c>
      <c r="F1834" t="s">
        <v>20</v>
      </c>
      <c r="H1834" t="s">
        <v>30</v>
      </c>
    </row>
    <row r="1835" spans="1:8" x14ac:dyDescent="0.3">
      <c r="A1835" t="s">
        <v>352</v>
      </c>
      <c r="B1835" s="6">
        <f>50*Parameters!$B$7/1000</f>
        <v>8.0500000000000002E-2</v>
      </c>
      <c r="C1835" t="s">
        <v>581</v>
      </c>
      <c r="D1835" t="s">
        <v>41</v>
      </c>
      <c r="F1835" t="s">
        <v>20</v>
      </c>
      <c r="G1835" t="s">
        <v>99</v>
      </c>
      <c r="H1835" t="s">
        <v>353</v>
      </c>
    </row>
    <row r="1836" spans="1:8" x14ac:dyDescent="0.3">
      <c r="A1836" t="s">
        <v>97</v>
      </c>
      <c r="B1836" s="6">
        <f>350*Parameters!$B$7/1000</f>
        <v>0.5635</v>
      </c>
      <c r="C1836" t="s">
        <v>31</v>
      </c>
      <c r="D1836" t="s">
        <v>41</v>
      </c>
      <c r="F1836" t="s">
        <v>20</v>
      </c>
      <c r="G1836" t="s">
        <v>102</v>
      </c>
      <c r="H1836" t="s">
        <v>98</v>
      </c>
    </row>
    <row r="1837" spans="1:8" x14ac:dyDescent="0.3">
      <c r="A1837" t="s">
        <v>100</v>
      </c>
      <c r="B1837" s="6">
        <f>400*Parameters!$B$7/1000</f>
        <v>0.64400000000000002</v>
      </c>
      <c r="C1837" t="s">
        <v>31</v>
      </c>
      <c r="D1837" t="s">
        <v>41</v>
      </c>
      <c r="F1837" t="s">
        <v>20</v>
      </c>
      <c r="G1837" t="s">
        <v>101</v>
      </c>
      <c r="H1837" t="s">
        <v>103</v>
      </c>
    </row>
    <row r="1838" spans="1:8" x14ac:dyDescent="0.3">
      <c r="A1838" t="s">
        <v>42</v>
      </c>
      <c r="B1838" s="6">
        <f>0.383/Parameters!B8/1000</f>
        <v>1.5078709999999999E-2</v>
      </c>
      <c r="C1838" t="s">
        <v>1051</v>
      </c>
      <c r="D1838" t="s">
        <v>8</v>
      </c>
      <c r="F1838" t="s">
        <v>20</v>
      </c>
      <c r="H1838" t="s">
        <v>43</v>
      </c>
    </row>
    <row r="1839" spans="1:8" x14ac:dyDescent="0.3">
      <c r="A1839" t="s">
        <v>44</v>
      </c>
      <c r="B1839" s="6">
        <f>0.139/Parameters!B8/1000</f>
        <v>5.4724300000000003E-3</v>
      </c>
      <c r="C1839" t="s">
        <v>1051</v>
      </c>
      <c r="D1839" t="s">
        <v>8</v>
      </c>
      <c r="F1839" t="s">
        <v>20</v>
      </c>
      <c r="H1839" t="s">
        <v>45</v>
      </c>
    </row>
    <row r="1840" spans="1:8" x14ac:dyDescent="0.3">
      <c r="A1840" t="s">
        <v>46</v>
      </c>
      <c r="B1840" s="6">
        <f>0.146/Parameters!B8/1000</f>
        <v>5.7480199999999987E-3</v>
      </c>
      <c r="C1840" t="s">
        <v>1051</v>
      </c>
      <c r="D1840" t="s">
        <v>8</v>
      </c>
      <c r="F1840" t="s">
        <v>20</v>
      </c>
      <c r="H1840" t="s">
        <v>47</v>
      </c>
    </row>
    <row r="1841" spans="1:8" x14ac:dyDescent="0.3">
      <c r="A1841" s="7" t="s">
        <v>48</v>
      </c>
      <c r="B1841" s="6">
        <f>1.29/1000/Parameters!B8</f>
        <v>5.07873E-2</v>
      </c>
      <c r="C1841" t="s">
        <v>26</v>
      </c>
      <c r="D1841" t="s">
        <v>8</v>
      </c>
      <c r="F1841" t="s">
        <v>20</v>
      </c>
      <c r="H1841" s="7" t="s">
        <v>49</v>
      </c>
    </row>
    <row r="1842" spans="1:8" x14ac:dyDescent="0.3">
      <c r="A1842" t="s">
        <v>105</v>
      </c>
      <c r="B1842" s="6">
        <f>0.01/1000/1000/Parameters!B8</f>
        <v>3.9369999999999993E-7</v>
      </c>
      <c r="C1842" t="s">
        <v>26</v>
      </c>
      <c r="D1842" t="s">
        <v>8</v>
      </c>
      <c r="F1842" t="s">
        <v>20</v>
      </c>
      <c r="G1842" t="s">
        <v>52</v>
      </c>
      <c r="H1842" t="s">
        <v>106</v>
      </c>
    </row>
    <row r="1843" spans="1:8" x14ac:dyDescent="0.3">
      <c r="A1843" t="s">
        <v>50</v>
      </c>
      <c r="B1843" s="6">
        <f>5.85/1000/1000/Parameters!B8</f>
        <v>2.3031449999999994E-4</v>
      </c>
      <c r="C1843" t="s">
        <v>26</v>
      </c>
      <c r="D1843" t="s">
        <v>8</v>
      </c>
      <c r="F1843" t="s">
        <v>20</v>
      </c>
      <c r="G1843" t="s">
        <v>51</v>
      </c>
      <c r="H1843" t="s">
        <v>53</v>
      </c>
    </row>
    <row r="1844" spans="1:8" x14ac:dyDescent="0.3">
      <c r="A1844" t="s">
        <v>117</v>
      </c>
      <c r="B1844" s="6">
        <v>3.2200000000000002E-3</v>
      </c>
      <c r="C1844" t="s">
        <v>26</v>
      </c>
      <c r="D1844" t="s">
        <v>8</v>
      </c>
      <c r="F1844" t="s">
        <v>20</v>
      </c>
      <c r="G1844" t="s">
        <v>123</v>
      </c>
      <c r="H1844" t="s">
        <v>118</v>
      </c>
    </row>
    <row r="1845" spans="1:8" x14ac:dyDescent="0.3">
      <c r="A1845" t="s">
        <v>181</v>
      </c>
      <c r="B1845" s="6">
        <v>8.2529999999999998E-5</v>
      </c>
      <c r="C1845" t="s">
        <v>26</v>
      </c>
      <c r="D1845" t="s">
        <v>119</v>
      </c>
      <c r="F1845" t="s">
        <v>20</v>
      </c>
      <c r="G1845" t="s">
        <v>124</v>
      </c>
      <c r="H1845" t="s">
        <v>182</v>
      </c>
    </row>
    <row r="1846" spans="1:8" x14ac:dyDescent="0.3">
      <c r="A1846" t="s">
        <v>120</v>
      </c>
      <c r="B1846" s="6">
        <v>0.24474000000000001</v>
      </c>
      <c r="C1846" t="s">
        <v>1051</v>
      </c>
      <c r="D1846" t="s">
        <v>121</v>
      </c>
      <c r="F1846" t="s">
        <v>20</v>
      </c>
      <c r="G1846" t="s">
        <v>125</v>
      </c>
      <c r="H1846" t="s">
        <v>122</v>
      </c>
    </row>
    <row r="1847" spans="1:8" x14ac:dyDescent="0.3">
      <c r="A1847" t="s">
        <v>1046</v>
      </c>
      <c r="B1847" s="6">
        <v>1.4762999999999999</v>
      </c>
      <c r="D1847" t="s">
        <v>8</v>
      </c>
      <c r="E1847" t="s">
        <v>1047</v>
      </c>
      <c r="F1847" t="s">
        <v>36</v>
      </c>
      <c r="G1847" t="s">
        <v>478</v>
      </c>
    </row>
    <row r="1848" spans="1:8" x14ac:dyDescent="0.3">
      <c r="A1848" t="s">
        <v>108</v>
      </c>
      <c r="B1848" s="6">
        <v>15.91</v>
      </c>
      <c r="D1848" t="s">
        <v>19</v>
      </c>
      <c r="E1848" t="s">
        <v>112</v>
      </c>
      <c r="F1848" t="s">
        <v>36</v>
      </c>
      <c r="G1848" t="s">
        <v>478</v>
      </c>
    </row>
    <row r="1849" spans="1:8" x14ac:dyDescent="0.3">
      <c r="A1849" t="s">
        <v>325</v>
      </c>
      <c r="B1849" s="6">
        <f>(0.348+0.279)/1000</f>
        <v>6.2699999999999995E-4</v>
      </c>
      <c r="D1849" t="s">
        <v>8</v>
      </c>
      <c r="E1849" t="s">
        <v>37</v>
      </c>
      <c r="F1849" t="s">
        <v>36</v>
      </c>
      <c r="G1849" t="s">
        <v>1018</v>
      </c>
    </row>
    <row r="1850" spans="1:8" x14ac:dyDescent="0.3">
      <c r="A1850" t="s">
        <v>994</v>
      </c>
      <c r="B1850" s="6">
        <f>8.88/1000000</f>
        <v>8.8800000000000014E-6</v>
      </c>
      <c r="D1850" t="s">
        <v>8</v>
      </c>
      <c r="E1850" t="s">
        <v>37</v>
      </c>
      <c r="F1850" t="s">
        <v>36</v>
      </c>
      <c r="G1850" t="s">
        <v>1019</v>
      </c>
    </row>
    <row r="1851" spans="1:8" x14ac:dyDescent="0.3">
      <c r="A1851" t="s">
        <v>40</v>
      </c>
      <c r="B1851" s="6">
        <f>10.7/1000000</f>
        <v>1.0699999999999999E-5</v>
      </c>
      <c r="D1851" t="s">
        <v>8</v>
      </c>
      <c r="E1851" t="s">
        <v>37</v>
      </c>
      <c r="F1851" t="s">
        <v>36</v>
      </c>
      <c r="G1851" t="s">
        <v>1020</v>
      </c>
    </row>
    <row r="1852" spans="1:8" x14ac:dyDescent="0.3">
      <c r="A1852" t="s">
        <v>126</v>
      </c>
      <c r="B1852" s="6">
        <v>0.17007192792102799</v>
      </c>
      <c r="D1852" t="s">
        <v>121</v>
      </c>
      <c r="E1852" t="s">
        <v>37</v>
      </c>
      <c r="F1852" t="s">
        <v>36</v>
      </c>
      <c r="G1852" t="s">
        <v>116</v>
      </c>
    </row>
    <row r="1853" spans="1:8" x14ac:dyDescent="0.3">
      <c r="A1853" t="s">
        <v>38</v>
      </c>
      <c r="B1853" s="6">
        <v>8.3517419999999996E-5</v>
      </c>
      <c r="D1853" t="s">
        <v>8</v>
      </c>
      <c r="E1853" t="s">
        <v>169</v>
      </c>
      <c r="F1853" t="s">
        <v>36</v>
      </c>
      <c r="G1853" t="s">
        <v>116</v>
      </c>
    </row>
    <row r="1854" spans="1:8" x14ac:dyDescent="0.3">
      <c r="A1854" t="s">
        <v>127</v>
      </c>
      <c r="B1854" s="6">
        <v>1.0182310000000001E-3</v>
      </c>
      <c r="D1854" t="s">
        <v>8</v>
      </c>
      <c r="E1854" t="s">
        <v>169</v>
      </c>
      <c r="F1854" t="s">
        <v>36</v>
      </c>
      <c r="G1854" t="s">
        <v>116</v>
      </c>
    </row>
    <row r="1855" spans="1:8" x14ac:dyDescent="0.3">
      <c r="A1855" t="s">
        <v>110</v>
      </c>
      <c r="B1855" s="6">
        <f>B1857/2</f>
        <v>0.47991081325301199</v>
      </c>
      <c r="D1855" t="s">
        <v>115</v>
      </c>
      <c r="E1855" t="s">
        <v>114</v>
      </c>
      <c r="F1855" t="s">
        <v>36</v>
      </c>
      <c r="G1855" t="s">
        <v>588</v>
      </c>
    </row>
    <row r="1856" spans="1:8" x14ac:dyDescent="0.3">
      <c r="A1856" t="s">
        <v>111</v>
      </c>
      <c r="B1856" s="6">
        <f>B1857/2</f>
        <v>0.47991081325301199</v>
      </c>
      <c r="D1856" t="s">
        <v>115</v>
      </c>
      <c r="E1856" t="s">
        <v>114</v>
      </c>
      <c r="F1856" t="s">
        <v>36</v>
      </c>
      <c r="G1856" t="s">
        <v>588</v>
      </c>
    </row>
    <row r="1857" spans="1:7" x14ac:dyDescent="0.3">
      <c r="A1857" t="s">
        <v>109</v>
      </c>
      <c r="B1857" s="6">
        <v>0.95982162650602398</v>
      </c>
      <c r="D1857" t="s">
        <v>113</v>
      </c>
      <c r="E1857" t="s">
        <v>114</v>
      </c>
      <c r="F1857" t="s">
        <v>36</v>
      </c>
      <c r="G1857" t="s">
        <v>589</v>
      </c>
    </row>
    <row r="1858" spans="1:7" x14ac:dyDescent="0.3">
      <c r="A1858" t="s">
        <v>128</v>
      </c>
      <c r="B1858" s="6">
        <v>1.0107999999999999E-6</v>
      </c>
      <c r="D1858" t="s">
        <v>8</v>
      </c>
      <c r="E1858" t="s">
        <v>170</v>
      </c>
      <c r="F1858" t="s">
        <v>36</v>
      </c>
      <c r="G1858" t="s">
        <v>116</v>
      </c>
    </row>
    <row r="1859" spans="1:7" x14ac:dyDescent="0.3">
      <c r="A1859" t="s">
        <v>129</v>
      </c>
      <c r="B1859" s="6">
        <v>6.1366999999999996E-7</v>
      </c>
      <c r="D1859" t="s">
        <v>8</v>
      </c>
      <c r="E1859" t="s">
        <v>170</v>
      </c>
      <c r="F1859" t="s">
        <v>36</v>
      </c>
      <c r="G1859" t="s">
        <v>116</v>
      </c>
    </row>
    <row r="1860" spans="1:7" x14ac:dyDescent="0.3">
      <c r="A1860" t="s">
        <v>130</v>
      </c>
      <c r="B1860" s="6">
        <v>4.8131000000000003E-9</v>
      </c>
      <c r="D1860" t="s">
        <v>8</v>
      </c>
      <c r="E1860" t="s">
        <v>170</v>
      </c>
      <c r="F1860" t="s">
        <v>36</v>
      </c>
      <c r="G1860" t="s">
        <v>116</v>
      </c>
    </row>
    <row r="1861" spans="1:7" x14ac:dyDescent="0.3">
      <c r="A1861" t="s">
        <v>131</v>
      </c>
      <c r="B1861" s="6">
        <v>6.4977000000000003E-7</v>
      </c>
      <c r="D1861" t="s">
        <v>8</v>
      </c>
      <c r="E1861" t="s">
        <v>170</v>
      </c>
      <c r="F1861" t="s">
        <v>36</v>
      </c>
      <c r="G1861" t="s">
        <v>116</v>
      </c>
    </row>
    <row r="1862" spans="1:7" x14ac:dyDescent="0.3">
      <c r="A1862" t="s">
        <v>132</v>
      </c>
      <c r="B1862" s="6">
        <v>-1.5040999999999999E-6</v>
      </c>
      <c r="D1862" t="s">
        <v>8</v>
      </c>
      <c r="E1862" t="s">
        <v>170</v>
      </c>
      <c r="F1862" t="s">
        <v>36</v>
      </c>
      <c r="G1862" t="s">
        <v>116</v>
      </c>
    </row>
    <row r="1863" spans="1:7" x14ac:dyDescent="0.3">
      <c r="A1863" t="s">
        <v>133</v>
      </c>
      <c r="B1863" s="6">
        <v>1.2032999999999999E-7</v>
      </c>
      <c r="D1863" t="s">
        <v>8</v>
      </c>
      <c r="E1863" t="s">
        <v>170</v>
      </c>
      <c r="F1863" t="s">
        <v>36</v>
      </c>
      <c r="G1863" t="s">
        <v>116</v>
      </c>
    </row>
    <row r="1864" spans="1:7" x14ac:dyDescent="0.3">
      <c r="A1864" t="s">
        <v>134</v>
      </c>
      <c r="B1864" s="6">
        <v>2.4787000000000001E-6</v>
      </c>
      <c r="D1864" t="s">
        <v>8</v>
      </c>
      <c r="E1864" t="s">
        <v>170</v>
      </c>
      <c r="F1864" t="s">
        <v>36</v>
      </c>
      <c r="G1864" t="s">
        <v>116</v>
      </c>
    </row>
    <row r="1865" spans="1:7" x14ac:dyDescent="0.3">
      <c r="A1865" t="s">
        <v>135</v>
      </c>
      <c r="B1865" s="6">
        <v>1.0829E-7</v>
      </c>
      <c r="D1865" t="s">
        <v>8</v>
      </c>
      <c r="E1865" t="s">
        <v>170</v>
      </c>
      <c r="F1865" t="s">
        <v>36</v>
      </c>
      <c r="G1865" t="s">
        <v>116</v>
      </c>
    </row>
    <row r="1866" spans="1:7" x14ac:dyDescent="0.3">
      <c r="A1866" t="s">
        <v>136</v>
      </c>
      <c r="B1866" s="6">
        <v>1.0107999999999999E-6</v>
      </c>
      <c r="D1866" t="s">
        <v>8</v>
      </c>
      <c r="E1866" t="s">
        <v>170</v>
      </c>
      <c r="F1866" t="s">
        <v>36</v>
      </c>
      <c r="G1866" t="s">
        <v>116</v>
      </c>
    </row>
    <row r="1867" spans="1:7" x14ac:dyDescent="0.3">
      <c r="A1867" t="s">
        <v>137</v>
      </c>
      <c r="B1867" s="6">
        <v>2.4065000000000001E-8</v>
      </c>
      <c r="D1867" t="s">
        <v>8</v>
      </c>
      <c r="E1867" t="s">
        <v>170</v>
      </c>
      <c r="F1867" t="s">
        <v>36</v>
      </c>
      <c r="G1867" t="s">
        <v>116</v>
      </c>
    </row>
    <row r="1868" spans="1:7" x14ac:dyDescent="0.3">
      <c r="A1868" t="s">
        <v>138</v>
      </c>
      <c r="B1868" s="6">
        <v>-3.2893999999999998E-7</v>
      </c>
      <c r="D1868" t="s">
        <v>8</v>
      </c>
      <c r="E1868" t="s">
        <v>170</v>
      </c>
      <c r="F1868" t="s">
        <v>36</v>
      </c>
      <c r="G1868" t="s">
        <v>116</v>
      </c>
    </row>
    <row r="1869" spans="1:7" x14ac:dyDescent="0.3">
      <c r="A1869" t="s">
        <v>139</v>
      </c>
      <c r="B1869" s="6">
        <v>7.9416000000000001E-7</v>
      </c>
      <c r="D1869" t="s">
        <v>8</v>
      </c>
      <c r="E1869" t="s">
        <v>170</v>
      </c>
      <c r="F1869" t="s">
        <v>36</v>
      </c>
      <c r="G1869" t="s">
        <v>116</v>
      </c>
    </row>
    <row r="1870" spans="1:7" x14ac:dyDescent="0.3">
      <c r="A1870" t="s">
        <v>140</v>
      </c>
      <c r="B1870" s="6">
        <v>4.1393000000000003E-6</v>
      </c>
      <c r="D1870" t="s">
        <v>8</v>
      </c>
      <c r="E1870" t="s">
        <v>170</v>
      </c>
      <c r="F1870" t="s">
        <v>36</v>
      </c>
      <c r="G1870" t="s">
        <v>116</v>
      </c>
    </row>
    <row r="1871" spans="1:7" x14ac:dyDescent="0.3">
      <c r="A1871" t="s">
        <v>141</v>
      </c>
      <c r="B1871" s="6">
        <v>5.0537999999999999E-8</v>
      </c>
      <c r="D1871" t="s">
        <v>8</v>
      </c>
      <c r="E1871" t="s">
        <v>170</v>
      </c>
      <c r="F1871" t="s">
        <v>36</v>
      </c>
      <c r="G1871" t="s">
        <v>116</v>
      </c>
    </row>
    <row r="1872" spans="1:7" x14ac:dyDescent="0.3">
      <c r="A1872" t="s">
        <v>142</v>
      </c>
      <c r="B1872" s="6">
        <v>-5.9000999999999996E-6</v>
      </c>
      <c r="D1872" t="s">
        <v>8</v>
      </c>
      <c r="E1872" t="s">
        <v>170</v>
      </c>
      <c r="F1872" t="s">
        <v>36</v>
      </c>
      <c r="G1872" t="s">
        <v>116</v>
      </c>
    </row>
    <row r="1873" spans="1:7" x14ac:dyDescent="0.3">
      <c r="A1873" t="s">
        <v>143</v>
      </c>
      <c r="B1873" s="6">
        <v>1.5643E-6</v>
      </c>
      <c r="D1873" t="s">
        <v>8</v>
      </c>
      <c r="E1873" t="s">
        <v>170</v>
      </c>
      <c r="F1873" t="s">
        <v>36</v>
      </c>
      <c r="G1873" t="s">
        <v>116</v>
      </c>
    </row>
    <row r="1874" spans="1:7" x14ac:dyDescent="0.3">
      <c r="A1874" t="s">
        <v>144</v>
      </c>
      <c r="B1874" s="6">
        <v>2.6952999999999998E-6</v>
      </c>
      <c r="D1874" t="s">
        <v>8</v>
      </c>
      <c r="E1874" t="s">
        <v>170</v>
      </c>
      <c r="F1874" t="s">
        <v>36</v>
      </c>
      <c r="G1874" t="s">
        <v>116</v>
      </c>
    </row>
    <row r="1875" spans="1:7" x14ac:dyDescent="0.3">
      <c r="A1875" t="s">
        <v>145</v>
      </c>
      <c r="B1875" s="6">
        <v>4.4454999999999997E-8</v>
      </c>
      <c r="D1875" t="s">
        <v>8</v>
      </c>
      <c r="E1875" t="s">
        <v>170</v>
      </c>
      <c r="F1875" t="s">
        <v>36</v>
      </c>
      <c r="G1875" t="s">
        <v>116</v>
      </c>
    </row>
    <row r="1876" spans="1:7" x14ac:dyDescent="0.3">
      <c r="A1876" t="s">
        <v>146</v>
      </c>
      <c r="B1876" s="6">
        <v>3.6097999999999997E-8</v>
      </c>
      <c r="D1876" t="s">
        <v>8</v>
      </c>
      <c r="E1876" t="s">
        <v>170</v>
      </c>
      <c r="F1876" t="s">
        <v>36</v>
      </c>
      <c r="G1876" t="s">
        <v>116</v>
      </c>
    </row>
    <row r="1877" spans="1:7" x14ac:dyDescent="0.3">
      <c r="A1877" t="s">
        <v>147</v>
      </c>
      <c r="B1877" s="6">
        <v>2.1659000000000001E-7</v>
      </c>
      <c r="D1877" t="s">
        <v>8</v>
      </c>
      <c r="E1877" t="s">
        <v>170</v>
      </c>
      <c r="F1877" t="s">
        <v>36</v>
      </c>
      <c r="G1877" t="s">
        <v>116</v>
      </c>
    </row>
    <row r="1878" spans="1:7" x14ac:dyDescent="0.3">
      <c r="A1878" t="s">
        <v>148</v>
      </c>
      <c r="B1878" s="6">
        <v>-1.8835E-8</v>
      </c>
      <c r="D1878" t="s">
        <v>8</v>
      </c>
      <c r="E1878" t="s">
        <v>170</v>
      </c>
      <c r="F1878" t="s">
        <v>36</v>
      </c>
      <c r="G1878" t="s">
        <v>116</v>
      </c>
    </row>
    <row r="1879" spans="1:7" x14ac:dyDescent="0.3">
      <c r="A1879" t="s">
        <v>149</v>
      </c>
      <c r="B1879" s="6">
        <v>4.2885E-5</v>
      </c>
      <c r="D1879" t="s">
        <v>8</v>
      </c>
      <c r="E1879" t="s">
        <v>170</v>
      </c>
      <c r="F1879" t="s">
        <v>36</v>
      </c>
      <c r="G1879" t="s">
        <v>116</v>
      </c>
    </row>
    <row r="1880" spans="1:7" x14ac:dyDescent="0.3">
      <c r="A1880" t="s">
        <v>150</v>
      </c>
      <c r="B1880" s="6">
        <v>9.2460000000000006E-5</v>
      </c>
      <c r="D1880" t="s">
        <v>8</v>
      </c>
      <c r="E1880" t="s">
        <v>170</v>
      </c>
      <c r="F1880" t="s">
        <v>36</v>
      </c>
      <c r="G1880" t="s">
        <v>116</v>
      </c>
    </row>
    <row r="1881" spans="1:7" x14ac:dyDescent="0.3">
      <c r="A1881" t="s">
        <v>151</v>
      </c>
      <c r="B1881" s="6">
        <v>5.0297000000000003E-6</v>
      </c>
      <c r="D1881" t="s">
        <v>8</v>
      </c>
      <c r="E1881" t="s">
        <v>170</v>
      </c>
      <c r="F1881" t="s">
        <v>36</v>
      </c>
      <c r="G1881" t="s">
        <v>116</v>
      </c>
    </row>
    <row r="1882" spans="1:7" x14ac:dyDescent="0.3">
      <c r="A1882" t="s">
        <v>152</v>
      </c>
      <c r="B1882" s="6">
        <v>2.4306000000000001E-6</v>
      </c>
      <c r="D1882" t="s">
        <v>8</v>
      </c>
      <c r="E1882" t="s">
        <v>170</v>
      </c>
      <c r="F1882" t="s">
        <v>36</v>
      </c>
      <c r="G1882" t="s">
        <v>116</v>
      </c>
    </row>
    <row r="1883" spans="1:7" x14ac:dyDescent="0.3">
      <c r="A1883" t="s">
        <v>153</v>
      </c>
      <c r="B1883" s="6">
        <v>1.7326999999999999E-6</v>
      </c>
      <c r="D1883" t="s">
        <v>8</v>
      </c>
      <c r="E1883" t="s">
        <v>170</v>
      </c>
      <c r="F1883" t="s">
        <v>36</v>
      </c>
      <c r="G1883" t="s">
        <v>116</v>
      </c>
    </row>
    <row r="1884" spans="1:7" x14ac:dyDescent="0.3">
      <c r="A1884" t="s">
        <v>154</v>
      </c>
      <c r="B1884" s="6">
        <v>2.8878999999999998E-7</v>
      </c>
      <c r="D1884" t="s">
        <v>8</v>
      </c>
      <c r="E1884" t="s">
        <v>170</v>
      </c>
      <c r="F1884" t="s">
        <v>36</v>
      </c>
      <c r="G1884" t="s">
        <v>116</v>
      </c>
    </row>
    <row r="1885" spans="1:7" x14ac:dyDescent="0.3">
      <c r="A1885" t="s">
        <v>155</v>
      </c>
      <c r="B1885" s="6">
        <v>1.9661999999999999E-5</v>
      </c>
      <c r="D1885" t="s">
        <v>8</v>
      </c>
      <c r="E1885" t="s">
        <v>170</v>
      </c>
      <c r="F1885" t="s">
        <v>36</v>
      </c>
      <c r="G1885" t="s">
        <v>116</v>
      </c>
    </row>
    <row r="1886" spans="1:7" x14ac:dyDescent="0.3">
      <c r="A1886" t="s">
        <v>156</v>
      </c>
      <c r="B1886" s="6">
        <v>1.1911999999999999E-6</v>
      </c>
      <c r="D1886" t="s">
        <v>8</v>
      </c>
      <c r="E1886" t="s">
        <v>170</v>
      </c>
      <c r="F1886" t="s">
        <v>36</v>
      </c>
      <c r="G1886" t="s">
        <v>116</v>
      </c>
    </row>
    <row r="1887" spans="1:7" x14ac:dyDescent="0.3">
      <c r="A1887" t="s">
        <v>157</v>
      </c>
      <c r="B1887" s="6">
        <v>1.9252000000000001E-7</v>
      </c>
      <c r="D1887" t="s">
        <v>8</v>
      </c>
      <c r="E1887" t="s">
        <v>170</v>
      </c>
      <c r="F1887" t="s">
        <v>36</v>
      </c>
      <c r="G1887" t="s">
        <v>116</v>
      </c>
    </row>
    <row r="1888" spans="1:7" x14ac:dyDescent="0.3">
      <c r="A1888" t="s">
        <v>158</v>
      </c>
      <c r="B1888" s="6">
        <v>3.0442999999999998E-6</v>
      </c>
      <c r="D1888" t="s">
        <v>8</v>
      </c>
      <c r="E1888" t="s">
        <v>170</v>
      </c>
      <c r="F1888" t="s">
        <v>36</v>
      </c>
      <c r="G1888" t="s">
        <v>116</v>
      </c>
    </row>
    <row r="1889" spans="1:7" x14ac:dyDescent="0.3">
      <c r="A1889" t="s">
        <v>159</v>
      </c>
      <c r="B1889" s="6">
        <v>4.8130999999999997E-6</v>
      </c>
      <c r="D1889" t="s">
        <v>8</v>
      </c>
      <c r="E1889" t="s">
        <v>170</v>
      </c>
      <c r="F1889" t="s">
        <v>36</v>
      </c>
      <c r="G1889" t="s">
        <v>116</v>
      </c>
    </row>
    <row r="1890" spans="1:7" x14ac:dyDescent="0.3">
      <c r="A1890" t="s">
        <v>160</v>
      </c>
      <c r="B1890" s="6">
        <v>5.9441999999999998E-5</v>
      </c>
      <c r="D1890" t="s">
        <v>8</v>
      </c>
      <c r="E1890" t="s">
        <v>170</v>
      </c>
      <c r="F1890" t="s">
        <v>36</v>
      </c>
      <c r="G1890" t="s">
        <v>116</v>
      </c>
    </row>
    <row r="1891" spans="1:7" x14ac:dyDescent="0.3">
      <c r="A1891" t="s">
        <v>161</v>
      </c>
      <c r="B1891" s="6">
        <v>3.3691999999999998E-7</v>
      </c>
      <c r="D1891" t="s">
        <v>8</v>
      </c>
      <c r="E1891" t="s">
        <v>170</v>
      </c>
      <c r="F1891" t="s">
        <v>36</v>
      </c>
      <c r="G1891" t="s">
        <v>116</v>
      </c>
    </row>
    <row r="1892" spans="1:7" x14ac:dyDescent="0.3">
      <c r="A1892" t="s">
        <v>162</v>
      </c>
      <c r="B1892" s="6">
        <v>1.6846000000000001E-8</v>
      </c>
      <c r="D1892" t="s">
        <v>8</v>
      </c>
      <c r="E1892" t="s">
        <v>170</v>
      </c>
      <c r="F1892" t="s">
        <v>36</v>
      </c>
      <c r="G1892" t="s">
        <v>116</v>
      </c>
    </row>
    <row r="1893" spans="1:7" x14ac:dyDescent="0.3">
      <c r="A1893" t="s">
        <v>163</v>
      </c>
      <c r="B1893" s="6">
        <v>5.7757E-7</v>
      </c>
      <c r="D1893" t="s">
        <v>8</v>
      </c>
      <c r="E1893" t="s">
        <v>170</v>
      </c>
      <c r="F1893" t="s">
        <v>36</v>
      </c>
      <c r="G1893" t="s">
        <v>116</v>
      </c>
    </row>
    <row r="1894" spans="1:7" x14ac:dyDescent="0.3">
      <c r="A1894" t="s">
        <v>164</v>
      </c>
      <c r="B1894" s="6">
        <v>2.1658999999999999E-8</v>
      </c>
      <c r="D1894" t="s">
        <v>8</v>
      </c>
      <c r="E1894" t="s">
        <v>170</v>
      </c>
      <c r="F1894" t="s">
        <v>36</v>
      </c>
      <c r="G1894" t="s">
        <v>116</v>
      </c>
    </row>
    <row r="1895" spans="1:7" x14ac:dyDescent="0.3">
      <c r="A1895" t="s">
        <v>165</v>
      </c>
      <c r="B1895" s="6">
        <v>3.6097999999999997E-8</v>
      </c>
      <c r="D1895" t="s">
        <v>8</v>
      </c>
      <c r="E1895" t="s">
        <v>170</v>
      </c>
      <c r="F1895" t="s">
        <v>36</v>
      </c>
      <c r="G1895" t="s">
        <v>116</v>
      </c>
    </row>
    <row r="1896" spans="1:7" x14ac:dyDescent="0.3">
      <c r="A1896" t="s">
        <v>166</v>
      </c>
      <c r="B1896" s="6">
        <v>2.6472E-7</v>
      </c>
      <c r="D1896" t="s">
        <v>8</v>
      </c>
      <c r="E1896" t="s">
        <v>170</v>
      </c>
      <c r="F1896" t="s">
        <v>36</v>
      </c>
      <c r="G1896" t="s">
        <v>116</v>
      </c>
    </row>
    <row r="1897" spans="1:7" x14ac:dyDescent="0.3">
      <c r="A1897" t="s">
        <v>167</v>
      </c>
      <c r="B1897" s="6">
        <v>1.2032999999999999E-7</v>
      </c>
      <c r="D1897" t="s">
        <v>8</v>
      </c>
      <c r="E1897" t="s">
        <v>170</v>
      </c>
      <c r="F1897" t="s">
        <v>36</v>
      </c>
      <c r="G1897" t="s">
        <v>116</v>
      </c>
    </row>
    <row r="1898" spans="1:7" x14ac:dyDescent="0.3">
      <c r="A1898" t="s">
        <v>168</v>
      </c>
      <c r="B1898" s="6">
        <v>2.6436999999999998E-7</v>
      </c>
      <c r="D1898" t="s">
        <v>8</v>
      </c>
      <c r="E1898" t="s">
        <v>170</v>
      </c>
      <c r="F1898" t="s">
        <v>36</v>
      </c>
      <c r="G1898" t="s">
        <v>116</v>
      </c>
    </row>
    <row r="1899" spans="1:7" x14ac:dyDescent="0.3">
      <c r="A1899" t="s">
        <v>126</v>
      </c>
      <c r="B1899" s="6">
        <v>5.9736877488796199E-2</v>
      </c>
      <c r="D1899" t="s">
        <v>121</v>
      </c>
      <c r="E1899" t="s">
        <v>179</v>
      </c>
      <c r="F1899" t="s">
        <v>36</v>
      </c>
      <c r="G1899" t="s">
        <v>116</v>
      </c>
    </row>
    <row r="1900" spans="1:7" x14ac:dyDescent="0.3">
      <c r="A1900" t="s">
        <v>172</v>
      </c>
      <c r="B1900" s="6">
        <v>1.1639108E-2</v>
      </c>
      <c r="D1900" t="s">
        <v>8</v>
      </c>
      <c r="E1900" t="s">
        <v>179</v>
      </c>
      <c r="F1900" t="s">
        <v>36</v>
      </c>
      <c r="G1900" t="s">
        <v>116</v>
      </c>
    </row>
    <row r="1901" spans="1:7" x14ac:dyDescent="0.3">
      <c r="A1901" t="s">
        <v>126</v>
      </c>
      <c r="B1901" s="6">
        <v>1.4934219372198999E-2</v>
      </c>
      <c r="D1901" t="s">
        <v>121</v>
      </c>
      <c r="E1901" t="s">
        <v>171</v>
      </c>
      <c r="F1901" t="s">
        <v>36</v>
      </c>
      <c r="G1901" t="s">
        <v>116</v>
      </c>
    </row>
    <row r="1902" spans="1:7" x14ac:dyDescent="0.3">
      <c r="A1902" t="s">
        <v>173</v>
      </c>
      <c r="B1902" s="6">
        <v>9.7541999999999995E-5</v>
      </c>
      <c r="D1902" t="s">
        <v>8</v>
      </c>
      <c r="E1902" t="s">
        <v>171</v>
      </c>
      <c r="F1902" t="s">
        <v>36</v>
      </c>
      <c r="G1902" t="s">
        <v>116</v>
      </c>
    </row>
    <row r="1903" spans="1:7" x14ac:dyDescent="0.3">
      <c r="A1903" t="s">
        <v>174</v>
      </c>
      <c r="B1903" s="6">
        <v>7.5147999999999996E-6</v>
      </c>
      <c r="D1903" t="s">
        <v>8</v>
      </c>
      <c r="E1903" t="s">
        <v>171</v>
      </c>
      <c r="F1903" t="s">
        <v>36</v>
      </c>
      <c r="G1903" t="s">
        <v>116</v>
      </c>
    </row>
    <row r="1905" spans="1:8" ht="15.6" x14ac:dyDescent="0.3">
      <c r="A1905" s="1" t="s">
        <v>1</v>
      </c>
      <c r="B1905" s="73" t="s">
        <v>429</v>
      </c>
    </row>
    <row r="1906" spans="1:8" x14ac:dyDescent="0.3">
      <c r="A1906" t="s">
        <v>2</v>
      </c>
      <c r="B1906" s="6" t="s">
        <v>1050</v>
      </c>
    </row>
    <row r="1907" spans="1:8" x14ac:dyDescent="0.3">
      <c r="A1907" t="s">
        <v>3</v>
      </c>
      <c r="B1907" s="6">
        <v>1</v>
      </c>
    </row>
    <row r="1908" spans="1:8" ht="15.6" x14ac:dyDescent="0.3">
      <c r="A1908" t="s">
        <v>4</v>
      </c>
      <c r="B1908" s="74" t="s">
        <v>430</v>
      </c>
    </row>
    <row r="1909" spans="1:8" x14ac:dyDescent="0.3">
      <c r="A1909" t="s">
        <v>5</v>
      </c>
      <c r="B1909" s="6" t="s">
        <v>6</v>
      </c>
    </row>
    <row r="1910" spans="1:8" x14ac:dyDescent="0.3">
      <c r="A1910" t="s">
        <v>7</v>
      </c>
      <c r="B1910" s="6" t="s">
        <v>8</v>
      </c>
    </row>
    <row r="1911" spans="1:8" x14ac:dyDescent="0.3">
      <c r="A1911" t="s">
        <v>9</v>
      </c>
      <c r="B1911" s="6" t="s">
        <v>10</v>
      </c>
    </row>
    <row r="1912" spans="1:8" x14ac:dyDescent="0.3">
      <c r="A1912" t="s">
        <v>11</v>
      </c>
      <c r="B1912" s="6" t="s">
        <v>560</v>
      </c>
    </row>
    <row r="1913" spans="1:8" x14ac:dyDescent="0.3">
      <c r="A1913" t="s">
        <v>497</v>
      </c>
      <c r="B1913" s="72">
        <f>Summary!O101</f>
        <v>0.76238744942214665</v>
      </c>
    </row>
    <row r="1914" spans="1:8" ht="15.6" x14ac:dyDescent="0.3">
      <c r="A1914" s="1" t="s">
        <v>12</v>
      </c>
    </row>
    <row r="1915" spans="1:8" x14ac:dyDescent="0.3">
      <c r="A1915" t="s">
        <v>13</v>
      </c>
      <c r="B1915" s="6" t="s">
        <v>14</v>
      </c>
      <c r="C1915" t="s">
        <v>2</v>
      </c>
      <c r="D1915" t="s">
        <v>7</v>
      </c>
      <c r="E1915" t="s">
        <v>15</v>
      </c>
      <c r="F1915" t="s">
        <v>5</v>
      </c>
      <c r="G1915" t="s">
        <v>11</v>
      </c>
      <c r="H1915" t="s">
        <v>4</v>
      </c>
    </row>
    <row r="1916" spans="1:8" ht="15.6" x14ac:dyDescent="0.3">
      <c r="A1916" s="2" t="s">
        <v>429</v>
      </c>
      <c r="B1916" s="6">
        <v>1</v>
      </c>
      <c r="C1916" t="s">
        <v>1050</v>
      </c>
      <c r="D1916" t="s">
        <v>8</v>
      </c>
      <c r="F1916" t="s">
        <v>17</v>
      </c>
      <c r="G1916" t="s">
        <v>18</v>
      </c>
      <c r="H1916" s="2" t="s">
        <v>430</v>
      </c>
    </row>
    <row r="1917" spans="1:8" ht="15.6" x14ac:dyDescent="0.3">
      <c r="A1917" s="2" t="s">
        <v>96</v>
      </c>
      <c r="B1917" s="6">
        <f>(1/((Parameters!$C$55*Parameters!$B$4*Parameters!$B$10)/1000))*Parameters!C60</f>
        <v>2.4594113593232314</v>
      </c>
      <c r="C1917" t="s">
        <v>1050</v>
      </c>
      <c r="D1917" t="s">
        <v>8</v>
      </c>
      <c r="F1917" t="s">
        <v>20</v>
      </c>
      <c r="G1917" t="s">
        <v>18</v>
      </c>
      <c r="H1917" s="2" t="s">
        <v>431</v>
      </c>
    </row>
    <row r="1918" spans="1:8" ht="15.6" x14ac:dyDescent="0.3">
      <c r="A1918" s="2" t="s">
        <v>438</v>
      </c>
      <c r="B1918" s="6">
        <f>(26350*Parameters!$B$3)/(Parameters!$B$4*Parameters!$B$10)*Parameters!C60</f>
        <v>7.6987233282117211</v>
      </c>
      <c r="C1918" t="s">
        <v>31</v>
      </c>
      <c r="D1918" t="s">
        <v>19</v>
      </c>
      <c r="F1918" t="s">
        <v>20</v>
      </c>
      <c r="G1918" t="s">
        <v>1042</v>
      </c>
      <c r="H1918" s="2" t="s">
        <v>439</v>
      </c>
    </row>
    <row r="1919" spans="1:8" ht="15.6" x14ac:dyDescent="0.3">
      <c r="A1919" s="2" t="s">
        <v>28</v>
      </c>
      <c r="B1919" s="6">
        <f>((2509*Parameters!$B$3/3.6)/(Parameters!$B$4*Parameters!$B$10))*Parameters!C60</f>
        <v>0.20362741756781791</v>
      </c>
      <c r="C1919" t="s">
        <v>1051</v>
      </c>
      <c r="D1919" t="s">
        <v>29</v>
      </c>
      <c r="F1919" t="s">
        <v>20</v>
      </c>
      <c r="H1919" s="2" t="s">
        <v>30</v>
      </c>
    </row>
    <row r="1920" spans="1:8" ht="15.6" x14ac:dyDescent="0.3">
      <c r="A1920" s="2" t="s">
        <v>384</v>
      </c>
      <c r="B1920" s="6">
        <f>((2.74/1000)/(Parameters!$B$4*Parameters!$B$10))*Parameters!$C$60</f>
        <v>7.5877530040701659E-4</v>
      </c>
      <c r="C1920" t="s">
        <v>26</v>
      </c>
      <c r="D1920" t="s">
        <v>8</v>
      </c>
      <c r="F1920" t="s">
        <v>20</v>
      </c>
      <c r="G1920" t="s">
        <v>386</v>
      </c>
      <c r="H1920" s="2" t="s">
        <v>385</v>
      </c>
    </row>
    <row r="1921" spans="1:8" ht="15.6" x14ac:dyDescent="0.3">
      <c r="A1921" s="2" t="s">
        <v>252</v>
      </c>
      <c r="B1921" s="6">
        <f>((4.65/1000)/(Parameters!$B$4*Parameters!$B$10))*Parameters!$C$60</f>
        <v>1.2877026083549733E-3</v>
      </c>
      <c r="C1921" t="s">
        <v>31</v>
      </c>
      <c r="D1921" t="s">
        <v>8</v>
      </c>
      <c r="F1921" t="s">
        <v>20</v>
      </c>
      <c r="H1921" s="2" t="s">
        <v>253</v>
      </c>
    </row>
    <row r="1922" spans="1:8" ht="15.6" x14ac:dyDescent="0.3">
      <c r="A1922" s="2" t="s">
        <v>254</v>
      </c>
      <c r="B1922" s="6">
        <f>((17.82/1000)/(Parameters!$B$4*Parameters!$B$10))*Parameters!$C$60</f>
        <v>4.9348087055668E-3</v>
      </c>
      <c r="C1922" t="s">
        <v>255</v>
      </c>
      <c r="D1922" t="s">
        <v>8</v>
      </c>
      <c r="F1922" t="s">
        <v>20</v>
      </c>
      <c r="H1922" s="2" t="s">
        <v>256</v>
      </c>
    </row>
    <row r="1923" spans="1:8" ht="15.6" x14ac:dyDescent="0.3">
      <c r="A1923" s="2" t="s">
        <v>370</v>
      </c>
      <c r="B1923" s="6">
        <f>((10.66/1000)/(Parameters!$B$4*Parameters!$B$10))*Parameters!$C$60</f>
        <v>2.9520236139922613E-3</v>
      </c>
      <c r="C1923" t="s">
        <v>31</v>
      </c>
      <c r="D1923" t="s">
        <v>8</v>
      </c>
      <c r="F1923" t="s">
        <v>20</v>
      </c>
      <c r="G1923" t="s">
        <v>387</v>
      </c>
      <c r="H1923" s="2" t="s">
        <v>371</v>
      </c>
    </row>
    <row r="1924" spans="1:8" ht="15.6" x14ac:dyDescent="0.3">
      <c r="A1924" s="2" t="s">
        <v>388</v>
      </c>
      <c r="B1924" s="6">
        <f>((22.35/1000)/(Parameters!$B$4*Parameters!$B$10))*Parameters!$C$60</f>
        <v>6.1892802788674527E-3</v>
      </c>
      <c r="C1924" t="s">
        <v>26</v>
      </c>
      <c r="D1924" t="s">
        <v>8</v>
      </c>
      <c r="F1924" t="s">
        <v>20</v>
      </c>
      <c r="G1924" t="s">
        <v>390</v>
      </c>
      <c r="H1924" s="2" t="s">
        <v>389</v>
      </c>
    </row>
    <row r="1925" spans="1:8" x14ac:dyDescent="0.3">
      <c r="A1925" t="s">
        <v>265</v>
      </c>
      <c r="B1925" s="6">
        <f>(B1847*B1917)-Parameters!$B$13</f>
        <v>1.7168289897688866</v>
      </c>
      <c r="D1925" t="s">
        <v>8</v>
      </c>
      <c r="E1925" t="s">
        <v>37</v>
      </c>
      <c r="F1925" t="s">
        <v>36</v>
      </c>
      <c r="G1925" t="s">
        <v>428</v>
      </c>
    </row>
    <row r="1926" spans="1:8" x14ac:dyDescent="0.3">
      <c r="A1926" t="s">
        <v>306</v>
      </c>
      <c r="B1926" s="6">
        <f>1/(90000000*20)</f>
        <v>5.5555555555555553E-10</v>
      </c>
      <c r="C1926" t="s">
        <v>26</v>
      </c>
      <c r="D1926" t="s">
        <v>7</v>
      </c>
      <c r="F1926" t="s">
        <v>20</v>
      </c>
      <c r="G1926" t="s">
        <v>308</v>
      </c>
      <c r="H1926" t="s">
        <v>307</v>
      </c>
    </row>
    <row r="1927" spans="1:8" ht="15.6" x14ac:dyDescent="0.3">
      <c r="A1927" s="2"/>
      <c r="H1927" s="2"/>
    </row>
    <row r="1928" spans="1:8" ht="15.6" x14ac:dyDescent="0.3">
      <c r="A1928" s="1" t="s">
        <v>1</v>
      </c>
      <c r="B1928" s="73" t="s">
        <v>432</v>
      </c>
    </row>
    <row r="1929" spans="1:8" x14ac:dyDescent="0.3">
      <c r="A1929" t="s">
        <v>2</v>
      </c>
      <c r="B1929" s="6" t="s">
        <v>1050</v>
      </c>
    </row>
    <row r="1930" spans="1:8" x14ac:dyDescent="0.3">
      <c r="A1930" t="s">
        <v>3</v>
      </c>
      <c r="B1930" s="6">
        <v>1</v>
      </c>
    </row>
    <row r="1931" spans="1:8" ht="15.6" x14ac:dyDescent="0.3">
      <c r="A1931" t="s">
        <v>4</v>
      </c>
      <c r="B1931" s="74" t="s">
        <v>430</v>
      </c>
    </row>
    <row r="1932" spans="1:8" x14ac:dyDescent="0.3">
      <c r="A1932" t="s">
        <v>5</v>
      </c>
      <c r="B1932" s="6" t="s">
        <v>6</v>
      </c>
    </row>
    <row r="1933" spans="1:8" x14ac:dyDescent="0.3">
      <c r="A1933" t="s">
        <v>7</v>
      </c>
      <c r="B1933" s="6" t="s">
        <v>8</v>
      </c>
    </row>
    <row r="1934" spans="1:8" x14ac:dyDescent="0.3">
      <c r="A1934" t="s">
        <v>9</v>
      </c>
      <c r="B1934" s="6" t="s">
        <v>10</v>
      </c>
    </row>
    <row r="1935" spans="1:8" x14ac:dyDescent="0.3">
      <c r="A1935" t="s">
        <v>11</v>
      </c>
      <c r="B1935" s="6" t="s">
        <v>561</v>
      </c>
    </row>
    <row r="1936" spans="1:8" x14ac:dyDescent="0.3">
      <c r="A1936" t="s">
        <v>497</v>
      </c>
      <c r="B1936" s="72">
        <f>Summary!O44</f>
        <v>1.0352946152251481</v>
      </c>
    </row>
    <row r="1937" spans="1:8" ht="15.6" x14ac:dyDescent="0.3">
      <c r="A1937" s="1" t="s">
        <v>12</v>
      </c>
    </row>
    <row r="1938" spans="1:8" x14ac:dyDescent="0.3">
      <c r="A1938" t="s">
        <v>13</v>
      </c>
      <c r="B1938" s="6" t="s">
        <v>14</v>
      </c>
      <c r="C1938" t="s">
        <v>2</v>
      </c>
      <c r="D1938" t="s">
        <v>7</v>
      </c>
      <c r="E1938" t="s">
        <v>15</v>
      </c>
      <c r="F1938" t="s">
        <v>5</v>
      </c>
      <c r="G1938" t="s">
        <v>11</v>
      </c>
      <c r="H1938" t="s">
        <v>4</v>
      </c>
    </row>
    <row r="1939" spans="1:8" ht="15.6" x14ac:dyDescent="0.3">
      <c r="A1939" s="2" t="s">
        <v>432</v>
      </c>
      <c r="B1939" s="6">
        <v>1</v>
      </c>
      <c r="C1939" t="s">
        <v>1050</v>
      </c>
      <c r="D1939" t="s">
        <v>8</v>
      </c>
      <c r="F1939" t="s">
        <v>17</v>
      </c>
      <c r="G1939" t="s">
        <v>18</v>
      </c>
      <c r="H1939" s="2" t="s">
        <v>430</v>
      </c>
    </row>
    <row r="1940" spans="1:8" ht="15.6" x14ac:dyDescent="0.3">
      <c r="A1940" s="2" t="s">
        <v>96</v>
      </c>
      <c r="B1940" s="6">
        <f>(1/((Parameters!$C$55*Parameters!$B$4*Parameters!$B$10)/1000))*Parameters!C61</f>
        <v>1.8111021980989699</v>
      </c>
      <c r="C1940" t="s">
        <v>1050</v>
      </c>
      <c r="D1940" t="s">
        <v>8</v>
      </c>
      <c r="F1940" t="s">
        <v>20</v>
      </c>
      <c r="G1940" t="s">
        <v>18</v>
      </c>
      <c r="H1940" s="2" t="s">
        <v>431</v>
      </c>
    </row>
    <row r="1941" spans="1:8" ht="15.6" x14ac:dyDescent="0.3">
      <c r="A1941" s="2" t="s">
        <v>438</v>
      </c>
      <c r="B1941" s="6">
        <f>(26350*Parameters!$B$3)/(Parameters!$B$4*Parameters!$B$10)*Parameters!C61</f>
        <v>5.6693137930845685</v>
      </c>
      <c r="C1941" t="s">
        <v>31</v>
      </c>
      <c r="D1941" t="s">
        <v>19</v>
      </c>
      <c r="F1941" t="s">
        <v>20</v>
      </c>
      <c r="G1941" t="s">
        <v>1042</v>
      </c>
      <c r="H1941" s="2" t="s">
        <v>439</v>
      </c>
    </row>
    <row r="1942" spans="1:8" ht="15.6" x14ac:dyDescent="0.3">
      <c r="A1942" s="2" t="s">
        <v>28</v>
      </c>
      <c r="B1942" s="6">
        <f>(2509*Parameters!$B$3/3.6)/(Parameters!$B$4*Parameters!$B$10)*Parameters!C61</f>
        <v>0.14995054086916701</v>
      </c>
      <c r="C1942" t="s">
        <v>1051</v>
      </c>
      <c r="D1942" t="s">
        <v>29</v>
      </c>
      <c r="F1942" t="s">
        <v>20</v>
      </c>
      <c r="H1942" s="2" t="s">
        <v>30</v>
      </c>
    </row>
    <row r="1943" spans="1:8" ht="15.6" x14ac:dyDescent="0.3">
      <c r="A1943" s="2" t="s">
        <v>384</v>
      </c>
      <c r="B1943" s="6">
        <f>((2.74/1000)/(Parameters!$B$4*Parameters!$B$10))*Parameters!$C$61</f>
        <v>5.5875956221024562E-4</v>
      </c>
      <c r="C1943" t="s">
        <v>26</v>
      </c>
      <c r="D1943" t="s">
        <v>8</v>
      </c>
      <c r="F1943" t="s">
        <v>20</v>
      </c>
      <c r="G1943" t="s">
        <v>386</v>
      </c>
      <c r="H1943" s="2" t="s">
        <v>385</v>
      </c>
    </row>
    <row r="1944" spans="1:8" ht="15.6" x14ac:dyDescent="0.3">
      <c r="A1944" s="2" t="s">
        <v>252</v>
      </c>
      <c r="B1944" s="6">
        <f>((4.65/1000)/(Parameters!$B$4*Parameters!$B$10))*Parameters!$C$61</f>
        <v>9.4825984097724164E-4</v>
      </c>
      <c r="C1944" t="s">
        <v>31</v>
      </c>
      <c r="D1944" t="s">
        <v>8</v>
      </c>
      <c r="F1944" t="s">
        <v>20</v>
      </c>
      <c r="H1944" s="2" t="s">
        <v>253</v>
      </c>
    </row>
    <row r="1945" spans="1:8" ht="15.6" x14ac:dyDescent="0.3">
      <c r="A1945" s="2" t="s">
        <v>254</v>
      </c>
      <c r="B1945" s="6">
        <f>((17.82/1000)/(Parameters!$B$4*Parameters!$B$10))*Parameters!$C$61</f>
        <v>3.6339764228418155E-3</v>
      </c>
      <c r="C1945" t="s">
        <v>255</v>
      </c>
      <c r="D1945" t="s">
        <v>8</v>
      </c>
      <c r="F1945" t="s">
        <v>20</v>
      </c>
      <c r="H1945" s="2" t="s">
        <v>256</v>
      </c>
    </row>
    <row r="1946" spans="1:8" ht="15.6" x14ac:dyDescent="0.3">
      <c r="A1946" s="2" t="s">
        <v>370</v>
      </c>
      <c r="B1946" s="6">
        <f>((10.66/1000)/(Parameters!$B$4*Parameters!$B$10))*Parameters!$C$61</f>
        <v>2.173860194584386E-3</v>
      </c>
      <c r="C1946" t="s">
        <v>31</v>
      </c>
      <c r="D1946" t="s">
        <v>8</v>
      </c>
      <c r="F1946" t="s">
        <v>20</v>
      </c>
      <c r="G1946" t="s">
        <v>387</v>
      </c>
      <c r="H1946" s="2" t="s">
        <v>371</v>
      </c>
    </row>
    <row r="1947" spans="1:8" ht="15.6" x14ac:dyDescent="0.3">
      <c r="A1947" s="2" t="s">
        <v>388</v>
      </c>
      <c r="B1947" s="6">
        <f>((22.35/1000)/(Parameters!$B$4*Parameters!$B$10))*Parameters!$C$61</f>
        <v>4.5577650421164189E-3</v>
      </c>
      <c r="C1947" t="s">
        <v>26</v>
      </c>
      <c r="D1947" t="s">
        <v>8</v>
      </c>
      <c r="F1947" t="s">
        <v>20</v>
      </c>
      <c r="G1947" t="s">
        <v>390</v>
      </c>
      <c r="H1947" s="2" t="s">
        <v>389</v>
      </c>
    </row>
    <row r="1948" spans="1:8" x14ac:dyDescent="0.3">
      <c r="A1948" t="s">
        <v>265</v>
      </c>
      <c r="B1948" s="6">
        <f>(B1847*B1940)-Parameters!$B$13</f>
        <v>0.75973017505350904</v>
      </c>
      <c r="D1948" t="s">
        <v>8</v>
      </c>
      <c r="E1948" t="s">
        <v>37</v>
      </c>
      <c r="F1948" t="s">
        <v>36</v>
      </c>
      <c r="G1948" t="s">
        <v>428</v>
      </c>
    </row>
    <row r="1949" spans="1:8" x14ac:dyDescent="0.3">
      <c r="A1949" t="s">
        <v>306</v>
      </c>
      <c r="B1949" s="6">
        <f>1/(90000000*20)</f>
        <v>5.5555555555555553E-10</v>
      </c>
      <c r="C1949" t="s">
        <v>26</v>
      </c>
      <c r="D1949" t="s">
        <v>7</v>
      </c>
      <c r="F1949" t="s">
        <v>20</v>
      </c>
      <c r="G1949" t="s">
        <v>308</v>
      </c>
      <c r="H1949" t="s">
        <v>307</v>
      </c>
    </row>
    <row r="1950" spans="1:8" ht="15.6" x14ac:dyDescent="0.3">
      <c r="A1950" s="2"/>
      <c r="H1950" s="2"/>
    </row>
    <row r="1951" spans="1:8" ht="15.6" x14ac:dyDescent="0.3">
      <c r="A1951" s="1" t="s">
        <v>1</v>
      </c>
      <c r="B1951" s="73" t="s">
        <v>534</v>
      </c>
    </row>
    <row r="1952" spans="1:8" x14ac:dyDescent="0.3">
      <c r="A1952" t="s">
        <v>2</v>
      </c>
      <c r="B1952" s="6" t="s">
        <v>1050</v>
      </c>
    </row>
    <row r="1953" spans="1:8" x14ac:dyDescent="0.3">
      <c r="A1953" t="s">
        <v>3</v>
      </c>
      <c r="B1953" s="6">
        <v>1</v>
      </c>
    </row>
    <row r="1954" spans="1:8" ht="15.6" x14ac:dyDescent="0.3">
      <c r="A1954" t="s">
        <v>4</v>
      </c>
      <c r="B1954" s="74" t="s">
        <v>430</v>
      </c>
    </row>
    <row r="1955" spans="1:8" x14ac:dyDescent="0.3">
      <c r="A1955" t="s">
        <v>5</v>
      </c>
      <c r="B1955" s="6" t="s">
        <v>6</v>
      </c>
    </row>
    <row r="1956" spans="1:8" x14ac:dyDescent="0.3">
      <c r="A1956" t="s">
        <v>7</v>
      </c>
      <c r="B1956" s="6" t="s">
        <v>8</v>
      </c>
    </row>
    <row r="1957" spans="1:8" x14ac:dyDescent="0.3">
      <c r="A1957" t="s">
        <v>9</v>
      </c>
      <c r="B1957" s="6" t="s">
        <v>10</v>
      </c>
    </row>
    <row r="1958" spans="1:8" x14ac:dyDescent="0.3">
      <c r="A1958" t="s">
        <v>11</v>
      </c>
      <c r="B1958" s="6" t="s">
        <v>562</v>
      </c>
    </row>
    <row r="1959" spans="1:8" x14ac:dyDescent="0.3">
      <c r="A1959" t="s">
        <v>497</v>
      </c>
      <c r="B1959" s="72">
        <f>Summary!O139</f>
        <v>0.63049442067211525</v>
      </c>
    </row>
    <row r="1960" spans="1:8" ht="15.6" x14ac:dyDescent="0.3">
      <c r="A1960" s="1" t="s">
        <v>12</v>
      </c>
    </row>
    <row r="1961" spans="1:8" x14ac:dyDescent="0.3">
      <c r="A1961" t="s">
        <v>13</v>
      </c>
      <c r="B1961" s="6" t="s">
        <v>14</v>
      </c>
      <c r="C1961" t="s">
        <v>2</v>
      </c>
      <c r="D1961" t="s">
        <v>7</v>
      </c>
      <c r="E1961" t="s">
        <v>15</v>
      </c>
      <c r="F1961" t="s">
        <v>5</v>
      </c>
      <c r="G1961" t="s">
        <v>11</v>
      </c>
      <c r="H1961" t="s">
        <v>4</v>
      </c>
    </row>
    <row r="1962" spans="1:8" ht="15.6" x14ac:dyDescent="0.3">
      <c r="A1962" s="2" t="s">
        <v>534</v>
      </c>
      <c r="B1962" s="6">
        <v>1</v>
      </c>
      <c r="C1962" t="s">
        <v>1050</v>
      </c>
      <c r="D1962" t="s">
        <v>8</v>
      </c>
      <c r="F1962" t="s">
        <v>17</v>
      </c>
      <c r="G1962" t="s">
        <v>18</v>
      </c>
      <c r="H1962" s="2" t="s">
        <v>430</v>
      </c>
    </row>
    <row r="1963" spans="1:8" ht="15.6" x14ac:dyDescent="0.3">
      <c r="A1963" s="2" t="s">
        <v>96</v>
      </c>
      <c r="B1963" s="6">
        <f>(1/((Parameters!$C$55*Parameters!$B$4*Parameters!$B$10)/1000))</f>
        <v>2.973895234973678</v>
      </c>
      <c r="C1963" t="s">
        <v>1050</v>
      </c>
      <c r="D1963" t="s">
        <v>8</v>
      </c>
      <c r="F1963" t="s">
        <v>20</v>
      </c>
      <c r="G1963" t="s">
        <v>18</v>
      </c>
      <c r="H1963" s="2" t="s">
        <v>431</v>
      </c>
    </row>
    <row r="1964" spans="1:8" ht="15.6" x14ac:dyDescent="0.3">
      <c r="A1964" s="2" t="s">
        <v>438</v>
      </c>
      <c r="B1964" s="6">
        <f>(26350*Parameters!$B$3)/(Parameters!$B$4*Parameters!$B$10)</f>
        <v>9.3092180510419844</v>
      </c>
      <c r="C1964" t="s">
        <v>31</v>
      </c>
      <c r="D1964" t="s">
        <v>19</v>
      </c>
      <c r="F1964" t="s">
        <v>20</v>
      </c>
      <c r="G1964" t="s">
        <v>1042</v>
      </c>
      <c r="H1964" s="2" t="s">
        <v>439</v>
      </c>
    </row>
    <row r="1965" spans="1:8" ht="15.6" x14ac:dyDescent="0.3">
      <c r="A1965" s="2" t="s">
        <v>28</v>
      </c>
      <c r="B1965" s="6">
        <f>(2509*Parameters!$B$3/3.6)/(Parameters!$B$4*Parameters!$B$10)</f>
        <v>0.24622420503968309</v>
      </c>
      <c r="C1965" t="s">
        <v>1051</v>
      </c>
      <c r="D1965" t="s">
        <v>29</v>
      </c>
      <c r="F1965" t="s">
        <v>20</v>
      </c>
      <c r="H1965" s="2" t="s">
        <v>30</v>
      </c>
    </row>
    <row r="1966" spans="1:8" ht="15.6" x14ac:dyDescent="0.3">
      <c r="A1966" s="2" t="s">
        <v>384</v>
      </c>
      <c r="B1966" s="6">
        <f>((2.74/1000)/(Parameters!$B$4*Parameters!$B$10))</f>
        <v>9.1750338622372017E-4</v>
      </c>
      <c r="C1966" t="s">
        <v>26</v>
      </c>
      <c r="D1966" t="s">
        <v>8</v>
      </c>
      <c r="F1966" t="s">
        <v>20</v>
      </c>
      <c r="G1966" t="s">
        <v>386</v>
      </c>
      <c r="H1966" s="2" t="s">
        <v>385</v>
      </c>
    </row>
    <row r="1967" spans="1:8" ht="15.6" x14ac:dyDescent="0.3">
      <c r="A1967" s="2" t="s">
        <v>252</v>
      </c>
      <c r="B1967" s="6">
        <f>((4.65/1000)/(Parameters!$B$4*Parameters!$B$10))</f>
        <v>1.5570769145767515E-3</v>
      </c>
      <c r="C1967" t="s">
        <v>31</v>
      </c>
      <c r="D1967" t="s">
        <v>8</v>
      </c>
      <c r="F1967" t="s">
        <v>20</v>
      </c>
      <c r="H1967" s="2" t="s">
        <v>253</v>
      </c>
    </row>
    <row r="1968" spans="1:8" ht="15.6" x14ac:dyDescent="0.3">
      <c r="A1968" s="2" t="s">
        <v>254</v>
      </c>
      <c r="B1968" s="6">
        <f>((17.82/1000)/(Parameters!$B$4*Parameters!$B$10))</f>
        <v>5.9671205629586461E-3</v>
      </c>
      <c r="C1968" t="s">
        <v>255</v>
      </c>
      <c r="D1968" t="s">
        <v>8</v>
      </c>
      <c r="F1968" t="s">
        <v>20</v>
      </c>
      <c r="H1968" s="2" t="s">
        <v>256</v>
      </c>
    </row>
    <row r="1969" spans="1:9" ht="15.6" x14ac:dyDescent="0.3">
      <c r="A1969" s="2" t="s">
        <v>370</v>
      </c>
      <c r="B1969" s="6">
        <f>((10.66/1000)/(Parameters!$B$4*Parameters!$B$10))</f>
        <v>3.5695569697608964E-3</v>
      </c>
      <c r="C1969" t="s">
        <v>31</v>
      </c>
      <c r="D1969" t="s">
        <v>8</v>
      </c>
      <c r="F1969" t="s">
        <v>20</v>
      </c>
      <c r="G1969" t="s">
        <v>387</v>
      </c>
      <c r="H1969" s="2" t="s">
        <v>371</v>
      </c>
    </row>
    <row r="1970" spans="1:9" ht="15.6" x14ac:dyDescent="0.3">
      <c r="A1970" s="2" t="s">
        <v>388</v>
      </c>
      <c r="B1970" s="6">
        <f>((22.35/1000)/(Parameters!$B$4*Parameters!$B$10))</f>
        <v>7.484014847481805E-3</v>
      </c>
      <c r="C1970" t="s">
        <v>26</v>
      </c>
      <c r="D1970" t="s">
        <v>8</v>
      </c>
      <c r="F1970" t="s">
        <v>20</v>
      </c>
      <c r="G1970" t="s">
        <v>390</v>
      </c>
      <c r="H1970" s="2" t="s">
        <v>389</v>
      </c>
    </row>
    <row r="1971" spans="1:9" x14ac:dyDescent="0.3">
      <c r="A1971" t="s">
        <v>265</v>
      </c>
      <c r="B1971" s="6">
        <f>(B1847*B1963)-Parameters!$B$13</f>
        <v>2.4763615353916411</v>
      </c>
      <c r="D1971" t="s">
        <v>8</v>
      </c>
      <c r="E1971" t="s">
        <v>37</v>
      </c>
      <c r="F1971" t="s">
        <v>36</v>
      </c>
      <c r="G1971" t="s">
        <v>428</v>
      </c>
    </row>
    <row r="1972" spans="1:9" x14ac:dyDescent="0.3">
      <c r="A1972" t="s">
        <v>306</v>
      </c>
      <c r="B1972" s="6">
        <f>1/(90000000*20)</f>
        <v>5.5555555555555553E-10</v>
      </c>
      <c r="C1972" t="s">
        <v>26</v>
      </c>
      <c r="D1972" t="s">
        <v>7</v>
      </c>
      <c r="F1972" t="s">
        <v>20</v>
      </c>
      <c r="G1972" t="s">
        <v>308</v>
      </c>
      <c r="H1972" t="s">
        <v>307</v>
      </c>
    </row>
    <row r="1973" spans="1:9" x14ac:dyDescent="0.3">
      <c r="A1973" s="36" t="s">
        <v>525</v>
      </c>
      <c r="B1973" s="37">
        <f>Parameters!C56/Parameters!B4*Parameters!B10*-1*0.27</f>
        <v>-0.14373294505680315</v>
      </c>
      <c r="C1973" t="s">
        <v>26</v>
      </c>
      <c r="D1973" t="s">
        <v>8</v>
      </c>
      <c r="E1973" s="36"/>
      <c r="F1973" s="36" t="s">
        <v>20</v>
      </c>
      <c r="G1973" s="36" t="s">
        <v>575</v>
      </c>
      <c r="H1973" s="36" t="s">
        <v>526</v>
      </c>
      <c r="I1973" s="36"/>
    </row>
    <row r="1974" spans="1:9" x14ac:dyDescent="0.3">
      <c r="A1974" s="36" t="s">
        <v>553</v>
      </c>
      <c r="B1974" s="37">
        <f>Parameters!C58*Parameters!B6/Parameters!B8/1000*B1963*-1</f>
        <v>-2.8678595966921405E-2</v>
      </c>
      <c r="C1974" t="s">
        <v>26</v>
      </c>
      <c r="D1974" t="s">
        <v>8</v>
      </c>
      <c r="E1974" s="36"/>
      <c r="F1974" s="36" t="s">
        <v>20</v>
      </c>
      <c r="G1974" s="36" t="s">
        <v>555</v>
      </c>
      <c r="H1974" s="36" t="s">
        <v>554</v>
      </c>
      <c r="I1974" s="36"/>
    </row>
    <row r="1975" spans="1:9" ht="15.6" x14ac:dyDescent="0.3">
      <c r="A1975" s="2"/>
      <c r="H1975" s="2"/>
    </row>
    <row r="1976" spans="1:9" ht="15.6" x14ac:dyDescent="0.3">
      <c r="A1976" s="1" t="s">
        <v>1</v>
      </c>
      <c r="B1976" s="73" t="s">
        <v>557</v>
      </c>
    </row>
    <row r="1977" spans="1:9" x14ac:dyDescent="0.3">
      <c r="A1977" t="s">
        <v>2</v>
      </c>
      <c r="B1977" s="6" t="s">
        <v>1050</v>
      </c>
    </row>
    <row r="1978" spans="1:9" x14ac:dyDescent="0.3">
      <c r="A1978" t="s">
        <v>3</v>
      </c>
      <c r="B1978" s="6">
        <v>1</v>
      </c>
    </row>
    <row r="1979" spans="1:9" ht="15.6" x14ac:dyDescent="0.3">
      <c r="A1979" t="s">
        <v>4</v>
      </c>
      <c r="B1979" s="74" t="s">
        <v>430</v>
      </c>
    </row>
    <row r="1980" spans="1:9" x14ac:dyDescent="0.3">
      <c r="A1980" t="s">
        <v>5</v>
      </c>
      <c r="B1980" s="6" t="s">
        <v>6</v>
      </c>
    </row>
    <row r="1981" spans="1:9" x14ac:dyDescent="0.3">
      <c r="A1981" t="s">
        <v>7</v>
      </c>
      <c r="B1981" s="6" t="s">
        <v>8</v>
      </c>
    </row>
    <row r="1982" spans="1:9" x14ac:dyDescent="0.3">
      <c r="A1982" t="s">
        <v>9</v>
      </c>
      <c r="B1982" s="6" t="s">
        <v>10</v>
      </c>
    </row>
    <row r="1983" spans="1:9" x14ac:dyDescent="0.3">
      <c r="A1983" t="s">
        <v>11</v>
      </c>
      <c r="B1983" s="6" t="s">
        <v>1022</v>
      </c>
    </row>
    <row r="1984" spans="1:9" x14ac:dyDescent="0.3">
      <c r="A1984" t="s">
        <v>497</v>
      </c>
      <c r="B1984" s="72">
        <f>Summary!O102</f>
        <v>0.61612552804747311</v>
      </c>
    </row>
    <row r="1985" spans="1:8" ht="15.6" x14ac:dyDescent="0.3">
      <c r="A1985" s="1" t="s">
        <v>12</v>
      </c>
    </row>
    <row r="1986" spans="1:8" x14ac:dyDescent="0.3">
      <c r="A1986" t="s">
        <v>13</v>
      </c>
      <c r="B1986" s="6" t="s">
        <v>14</v>
      </c>
      <c r="C1986" t="s">
        <v>2</v>
      </c>
      <c r="D1986" t="s">
        <v>7</v>
      </c>
      <c r="E1986" t="s">
        <v>15</v>
      </c>
      <c r="F1986" t="s">
        <v>5</v>
      </c>
      <c r="G1986" t="s">
        <v>11</v>
      </c>
      <c r="H1986" t="s">
        <v>4</v>
      </c>
    </row>
    <row r="1987" spans="1:8" ht="15.6" x14ac:dyDescent="0.3">
      <c r="A1987" s="2" t="s">
        <v>557</v>
      </c>
      <c r="B1987" s="6">
        <v>1</v>
      </c>
      <c r="C1987" t="s">
        <v>1050</v>
      </c>
      <c r="D1987" t="s">
        <v>8</v>
      </c>
      <c r="F1987" t="s">
        <v>17</v>
      </c>
      <c r="G1987" t="s">
        <v>18</v>
      </c>
      <c r="H1987" s="2" t="s">
        <v>430</v>
      </c>
    </row>
    <row r="1988" spans="1:8" ht="15.6" x14ac:dyDescent="0.3">
      <c r="A1988" s="2" t="s">
        <v>96</v>
      </c>
      <c r="B1988" s="6">
        <f>(1/((Parameters!$C$55*Parameters!$B$4*Parameters!$B$10)/1000))*Parameters!C60</f>
        <v>2.4594113593232314</v>
      </c>
      <c r="C1988" t="s">
        <v>1050</v>
      </c>
      <c r="D1988" t="s">
        <v>8</v>
      </c>
      <c r="F1988" t="s">
        <v>20</v>
      </c>
      <c r="G1988" t="s">
        <v>18</v>
      </c>
      <c r="H1988" s="2" t="s">
        <v>431</v>
      </c>
    </row>
    <row r="1989" spans="1:8" ht="15.6" x14ac:dyDescent="0.3">
      <c r="A1989" s="2" t="s">
        <v>438</v>
      </c>
      <c r="B1989" s="6">
        <f>(23862*Parameters!$B$3)/(Parameters!$B$4*Parameters!$B$10)*Parameters!C60</f>
        <v>6.9718002298970818</v>
      </c>
      <c r="C1989" t="s">
        <v>31</v>
      </c>
      <c r="D1989" t="s">
        <v>19</v>
      </c>
      <c r="F1989" t="s">
        <v>20</v>
      </c>
      <c r="G1989" t="s">
        <v>437</v>
      </c>
      <c r="H1989" s="2" t="s">
        <v>439</v>
      </c>
    </row>
    <row r="1990" spans="1:8" ht="15.6" x14ac:dyDescent="0.3">
      <c r="A1990" s="2" t="s">
        <v>28</v>
      </c>
      <c r="B1990" s="6">
        <f>((2509*Parameters!$B$3/3.6)/(Parameters!$B$4*Parameters!$B$10)+(0.18*((B1847*B1988)-Parameters!$B$13))*Parameters!C60)</f>
        <v>0.50179136845667949</v>
      </c>
      <c r="C1990" t="s">
        <v>1051</v>
      </c>
      <c r="D1990" t="s">
        <v>29</v>
      </c>
      <c r="F1990" t="s">
        <v>20</v>
      </c>
      <c r="H1990" s="2" t="s">
        <v>30</v>
      </c>
    </row>
    <row r="1991" spans="1:8" ht="15.6" x14ac:dyDescent="0.3">
      <c r="A1991" s="2" t="s">
        <v>384</v>
      </c>
      <c r="B1991" s="6">
        <f>((2.74/1000)/(Parameters!$B$4*Parameters!$B$10))*Parameters!$C$60</f>
        <v>7.5877530040701659E-4</v>
      </c>
      <c r="C1991" t="s">
        <v>26</v>
      </c>
      <c r="D1991" t="s">
        <v>8</v>
      </c>
      <c r="F1991" t="s">
        <v>20</v>
      </c>
      <c r="G1991" t="s">
        <v>386</v>
      </c>
      <c r="H1991" s="2" t="s">
        <v>385</v>
      </c>
    </row>
    <row r="1992" spans="1:8" ht="15.6" x14ac:dyDescent="0.3">
      <c r="A1992" s="2" t="s">
        <v>252</v>
      </c>
      <c r="B1992" s="6">
        <f>((4.65/1000)/(Parameters!$B$4*Parameters!$B$10))*Parameters!$C$60</f>
        <v>1.2877026083549733E-3</v>
      </c>
      <c r="C1992" t="s">
        <v>31</v>
      </c>
      <c r="D1992" t="s">
        <v>8</v>
      </c>
      <c r="F1992" t="s">
        <v>20</v>
      </c>
      <c r="H1992" s="2" t="s">
        <v>253</v>
      </c>
    </row>
    <row r="1993" spans="1:8" ht="15.6" x14ac:dyDescent="0.3">
      <c r="A1993" s="2" t="s">
        <v>254</v>
      </c>
      <c r="B1993" s="6">
        <f>((17.82/1000)/(Parameters!$B$4*Parameters!$B$10))*Parameters!$C$60</f>
        <v>4.9348087055668E-3</v>
      </c>
      <c r="C1993" t="s">
        <v>255</v>
      </c>
      <c r="D1993" t="s">
        <v>8</v>
      </c>
      <c r="F1993" t="s">
        <v>20</v>
      </c>
      <c r="H1993" s="2" t="s">
        <v>256</v>
      </c>
    </row>
    <row r="1994" spans="1:8" ht="15.6" x14ac:dyDescent="0.3">
      <c r="A1994" s="2" t="s">
        <v>370</v>
      </c>
      <c r="B1994" s="6">
        <f>((10.66/1000)/(Parameters!$B$4*Parameters!$B$10))*Parameters!$C$60</f>
        <v>2.9520236139922613E-3</v>
      </c>
      <c r="C1994" t="s">
        <v>31</v>
      </c>
      <c r="D1994" t="s">
        <v>8</v>
      </c>
      <c r="F1994" t="s">
        <v>20</v>
      </c>
      <c r="G1994" t="s">
        <v>387</v>
      </c>
      <c r="H1994" s="2" t="s">
        <v>371</v>
      </c>
    </row>
    <row r="1995" spans="1:8" ht="15.6" x14ac:dyDescent="0.3">
      <c r="A1995" s="2" t="s">
        <v>388</v>
      </c>
      <c r="B1995" s="6">
        <f>((22.35/1000)/(Parameters!$B$4*Parameters!$B$10))*Parameters!$C$60</f>
        <v>6.1892802788674527E-3</v>
      </c>
      <c r="C1995" t="s">
        <v>26</v>
      </c>
      <c r="D1995" t="s">
        <v>8</v>
      </c>
      <c r="F1995" t="s">
        <v>20</v>
      </c>
      <c r="G1995" t="s">
        <v>390</v>
      </c>
      <c r="H1995" s="2" t="s">
        <v>389</v>
      </c>
    </row>
    <row r="1996" spans="1:8" x14ac:dyDescent="0.3">
      <c r="A1996" t="s">
        <v>265</v>
      </c>
      <c r="B1996" s="6">
        <f>((B1847*B1988)-Parameters!$B$13)*(1-0.975)</f>
        <v>4.2920724744222205E-2</v>
      </c>
      <c r="D1996" t="s">
        <v>8</v>
      </c>
      <c r="E1996" t="s">
        <v>37</v>
      </c>
      <c r="F1996" t="s">
        <v>36</v>
      </c>
      <c r="G1996" t="s">
        <v>428</v>
      </c>
    </row>
    <row r="1997" spans="1:8" x14ac:dyDescent="0.3">
      <c r="A1997" t="s">
        <v>306</v>
      </c>
      <c r="B1997" s="6">
        <f>1/(90000000*20)</f>
        <v>5.5555555555555553E-10</v>
      </c>
      <c r="C1997" t="s">
        <v>26</v>
      </c>
      <c r="D1997" t="s">
        <v>7</v>
      </c>
      <c r="F1997" t="s">
        <v>20</v>
      </c>
      <c r="G1997" t="s">
        <v>308</v>
      </c>
      <c r="H1997" t="s">
        <v>307</v>
      </c>
    </row>
    <row r="1998" spans="1:8" ht="15.6" x14ac:dyDescent="0.3">
      <c r="A1998" s="2"/>
      <c r="H1998" s="2"/>
    </row>
    <row r="1999" spans="1:8" ht="15.6" x14ac:dyDescent="0.3">
      <c r="A1999" s="1" t="s">
        <v>1</v>
      </c>
      <c r="B1999" s="73" t="s">
        <v>558</v>
      </c>
    </row>
    <row r="2000" spans="1:8" x14ac:dyDescent="0.3">
      <c r="A2000" t="s">
        <v>2</v>
      </c>
      <c r="B2000" s="6" t="s">
        <v>1050</v>
      </c>
    </row>
    <row r="2001" spans="1:8" x14ac:dyDescent="0.3">
      <c r="A2001" t="s">
        <v>3</v>
      </c>
      <c r="B2001" s="6">
        <v>1</v>
      </c>
    </row>
    <row r="2002" spans="1:8" ht="15.6" x14ac:dyDescent="0.3">
      <c r="A2002" t="s">
        <v>4</v>
      </c>
      <c r="B2002" s="74" t="s">
        <v>430</v>
      </c>
    </row>
    <row r="2003" spans="1:8" x14ac:dyDescent="0.3">
      <c r="A2003" t="s">
        <v>5</v>
      </c>
      <c r="B2003" s="6" t="s">
        <v>6</v>
      </c>
    </row>
    <row r="2004" spans="1:8" x14ac:dyDescent="0.3">
      <c r="A2004" t="s">
        <v>7</v>
      </c>
      <c r="B2004" s="6" t="s">
        <v>8</v>
      </c>
    </row>
    <row r="2005" spans="1:8" x14ac:dyDescent="0.3">
      <c r="A2005" t="s">
        <v>9</v>
      </c>
      <c r="B2005" s="6" t="s">
        <v>10</v>
      </c>
    </row>
    <row r="2006" spans="1:8" x14ac:dyDescent="0.3">
      <c r="A2006" t="s">
        <v>11</v>
      </c>
      <c r="B2006" s="6" t="s">
        <v>563</v>
      </c>
    </row>
    <row r="2007" spans="1:8" x14ac:dyDescent="0.3">
      <c r="A2007" t="s">
        <v>497</v>
      </c>
      <c r="B2007" s="72">
        <f>Summary!O45</f>
        <v>1.0352946152251481</v>
      </c>
    </row>
    <row r="2008" spans="1:8" ht="15.6" x14ac:dyDescent="0.3">
      <c r="A2008" s="1" t="s">
        <v>12</v>
      </c>
    </row>
    <row r="2009" spans="1:8" x14ac:dyDescent="0.3">
      <c r="A2009" t="s">
        <v>13</v>
      </c>
      <c r="B2009" s="6" t="s">
        <v>14</v>
      </c>
      <c r="C2009" t="s">
        <v>2</v>
      </c>
      <c r="D2009" t="s">
        <v>7</v>
      </c>
      <c r="E2009" t="s">
        <v>15</v>
      </c>
      <c r="F2009" t="s">
        <v>5</v>
      </c>
      <c r="G2009" t="s">
        <v>11</v>
      </c>
      <c r="H2009" t="s">
        <v>4</v>
      </c>
    </row>
    <row r="2010" spans="1:8" ht="15.6" x14ac:dyDescent="0.3">
      <c r="A2010" s="2" t="s">
        <v>558</v>
      </c>
      <c r="B2010" s="6">
        <v>1</v>
      </c>
      <c r="C2010" t="s">
        <v>1050</v>
      </c>
      <c r="D2010" t="s">
        <v>8</v>
      </c>
      <c r="F2010" t="s">
        <v>17</v>
      </c>
      <c r="G2010" t="s">
        <v>18</v>
      </c>
      <c r="H2010" s="2" t="s">
        <v>430</v>
      </c>
    </row>
    <row r="2011" spans="1:8" ht="15.6" x14ac:dyDescent="0.3">
      <c r="A2011" s="2" t="s">
        <v>96</v>
      </c>
      <c r="B2011" s="6">
        <f>(1/((Parameters!$C$55*Parameters!$B$4*Parameters!$B$10)/1000))*Parameters!C61</f>
        <v>1.8111021980989699</v>
      </c>
      <c r="C2011" t="s">
        <v>1050</v>
      </c>
      <c r="D2011" t="s">
        <v>8</v>
      </c>
      <c r="F2011" t="s">
        <v>20</v>
      </c>
      <c r="G2011" t="s">
        <v>18</v>
      </c>
      <c r="H2011" s="2" t="s">
        <v>431</v>
      </c>
    </row>
    <row r="2012" spans="1:8" ht="15.6" x14ac:dyDescent="0.3">
      <c r="A2012" s="2" t="s">
        <v>438</v>
      </c>
      <c r="B2012" s="6">
        <f>(23862*Parameters!$B$3)/(Parameters!$B$4*Parameters!$B$10)*Parameters!C61</f>
        <v>5.1340100846521439</v>
      </c>
      <c r="C2012" t="s">
        <v>31</v>
      </c>
      <c r="D2012" t="s">
        <v>19</v>
      </c>
      <c r="F2012" t="s">
        <v>20</v>
      </c>
      <c r="G2012" t="s">
        <v>437</v>
      </c>
      <c r="H2012" s="2" t="s">
        <v>439</v>
      </c>
    </row>
    <row r="2013" spans="1:8" ht="15.6" x14ac:dyDescent="0.3">
      <c r="A2013" s="2" t="s">
        <v>28</v>
      </c>
      <c r="B2013" s="6">
        <f>((2509*Parameters!$B$3/3.6)/(Parameters!$B$4*Parameters!$B$10)+(0.18*((B1847*B2011)-Parameters!$B$13)))*Parameters!C61</f>
        <v>0.23323216265853267</v>
      </c>
      <c r="C2013" t="s">
        <v>1051</v>
      </c>
      <c r="D2013" t="s">
        <v>29</v>
      </c>
      <c r="F2013" t="s">
        <v>20</v>
      </c>
      <c r="H2013" s="2" t="s">
        <v>30</v>
      </c>
    </row>
    <row r="2014" spans="1:8" ht="15.6" x14ac:dyDescent="0.3">
      <c r="A2014" s="2" t="s">
        <v>384</v>
      </c>
      <c r="B2014" s="6">
        <f>((2.74/1000)/(Parameters!$B$4*Parameters!$B$10))*Parameters!$C$61</f>
        <v>5.5875956221024562E-4</v>
      </c>
      <c r="C2014" t="s">
        <v>26</v>
      </c>
      <c r="D2014" t="s">
        <v>8</v>
      </c>
      <c r="F2014" t="s">
        <v>20</v>
      </c>
      <c r="G2014" t="s">
        <v>386</v>
      </c>
      <c r="H2014" s="2" t="s">
        <v>385</v>
      </c>
    </row>
    <row r="2015" spans="1:8" ht="15.6" x14ac:dyDescent="0.3">
      <c r="A2015" s="2" t="s">
        <v>252</v>
      </c>
      <c r="B2015" s="6">
        <f>((4.65/1000)/(Parameters!$B$4*Parameters!$B$10))*Parameters!$C$61</f>
        <v>9.4825984097724164E-4</v>
      </c>
      <c r="C2015" t="s">
        <v>31</v>
      </c>
      <c r="D2015" t="s">
        <v>8</v>
      </c>
      <c r="F2015" t="s">
        <v>20</v>
      </c>
      <c r="H2015" s="2" t="s">
        <v>253</v>
      </c>
    </row>
    <row r="2016" spans="1:8" ht="15.6" x14ac:dyDescent="0.3">
      <c r="A2016" s="2" t="s">
        <v>254</v>
      </c>
      <c r="B2016" s="6">
        <f>((17.82/1000)/(Parameters!$B$4*Parameters!$B$10))*Parameters!$C$61</f>
        <v>3.6339764228418155E-3</v>
      </c>
      <c r="C2016" t="s">
        <v>255</v>
      </c>
      <c r="D2016" t="s">
        <v>8</v>
      </c>
      <c r="F2016" t="s">
        <v>20</v>
      </c>
      <c r="H2016" s="2" t="s">
        <v>256</v>
      </c>
    </row>
    <row r="2017" spans="1:8" ht="15.6" x14ac:dyDescent="0.3">
      <c r="A2017" s="2" t="s">
        <v>370</v>
      </c>
      <c r="B2017" s="6">
        <f>((10.66/1000)/(Parameters!$B$4*Parameters!$B$10))*Parameters!$C$61</f>
        <v>2.173860194584386E-3</v>
      </c>
      <c r="C2017" t="s">
        <v>31</v>
      </c>
      <c r="D2017" t="s">
        <v>8</v>
      </c>
      <c r="F2017" t="s">
        <v>20</v>
      </c>
      <c r="G2017" t="s">
        <v>387</v>
      </c>
      <c r="H2017" s="2" t="s">
        <v>371</v>
      </c>
    </row>
    <row r="2018" spans="1:8" ht="15.6" x14ac:dyDescent="0.3">
      <c r="A2018" s="2" t="s">
        <v>388</v>
      </c>
      <c r="B2018" s="6">
        <f>((22.35/1000)/(Parameters!$B$4*Parameters!$B$10))*Parameters!$C$61</f>
        <v>4.5577650421164189E-3</v>
      </c>
      <c r="C2018" t="s">
        <v>26</v>
      </c>
      <c r="D2018" t="s">
        <v>8</v>
      </c>
      <c r="F2018" t="s">
        <v>20</v>
      </c>
      <c r="G2018" t="s">
        <v>390</v>
      </c>
      <c r="H2018" s="2" t="s">
        <v>389</v>
      </c>
    </row>
    <row r="2019" spans="1:8" x14ac:dyDescent="0.3">
      <c r="A2019" t="s">
        <v>265</v>
      </c>
      <c r="B2019" s="6">
        <f>((B1847*B2011)-Parameters!$B$13)*(1-0.975)</f>
        <v>1.8993254376337743E-2</v>
      </c>
      <c r="D2019" t="s">
        <v>8</v>
      </c>
      <c r="E2019" t="s">
        <v>37</v>
      </c>
      <c r="F2019" t="s">
        <v>36</v>
      </c>
      <c r="G2019" t="s">
        <v>428</v>
      </c>
    </row>
    <row r="2020" spans="1:8" x14ac:dyDescent="0.3">
      <c r="A2020" t="s">
        <v>306</v>
      </c>
      <c r="B2020" s="6">
        <f>1/(90000000*20)</f>
        <v>5.5555555555555553E-10</v>
      </c>
      <c r="C2020" t="s">
        <v>26</v>
      </c>
      <c r="D2020" t="s">
        <v>7</v>
      </c>
      <c r="F2020" t="s">
        <v>20</v>
      </c>
      <c r="G2020" t="s">
        <v>308</v>
      </c>
      <c r="H2020" t="s">
        <v>307</v>
      </c>
    </row>
    <row r="2021" spans="1:8" ht="15.6" x14ac:dyDescent="0.3">
      <c r="A2021" s="2"/>
      <c r="H2021" s="2"/>
    </row>
    <row r="2022" spans="1:8" ht="15.6" x14ac:dyDescent="0.3">
      <c r="A2022" s="1" t="s">
        <v>1</v>
      </c>
      <c r="B2022" s="73" t="s">
        <v>559</v>
      </c>
    </row>
    <row r="2023" spans="1:8" x14ac:dyDescent="0.3">
      <c r="A2023" t="s">
        <v>2</v>
      </c>
      <c r="B2023" s="6" t="s">
        <v>1050</v>
      </c>
    </row>
    <row r="2024" spans="1:8" x14ac:dyDescent="0.3">
      <c r="A2024" t="s">
        <v>3</v>
      </c>
      <c r="B2024" s="6">
        <v>1</v>
      </c>
    </row>
    <row r="2025" spans="1:8" ht="15.6" x14ac:dyDescent="0.3">
      <c r="A2025" t="s">
        <v>4</v>
      </c>
      <c r="B2025" s="74" t="s">
        <v>430</v>
      </c>
    </row>
    <row r="2026" spans="1:8" x14ac:dyDescent="0.3">
      <c r="A2026" t="s">
        <v>5</v>
      </c>
      <c r="B2026" s="6" t="s">
        <v>6</v>
      </c>
    </row>
    <row r="2027" spans="1:8" x14ac:dyDescent="0.3">
      <c r="A2027" t="s">
        <v>7</v>
      </c>
      <c r="B2027" s="6" t="s">
        <v>8</v>
      </c>
    </row>
    <row r="2028" spans="1:8" x14ac:dyDescent="0.3">
      <c r="A2028" t="s">
        <v>9</v>
      </c>
      <c r="B2028" s="6" t="s">
        <v>10</v>
      </c>
    </row>
    <row r="2029" spans="1:8" x14ac:dyDescent="0.3">
      <c r="A2029" t="s">
        <v>11</v>
      </c>
      <c r="B2029" s="6" t="s">
        <v>564</v>
      </c>
    </row>
    <row r="2030" spans="1:8" x14ac:dyDescent="0.3">
      <c r="A2030" t="s">
        <v>497</v>
      </c>
      <c r="B2030" s="72">
        <f>Summary!O140</f>
        <v>0.50953581169526019</v>
      </c>
    </row>
    <row r="2031" spans="1:8" ht="15.6" x14ac:dyDescent="0.3">
      <c r="A2031" s="1" t="s">
        <v>12</v>
      </c>
    </row>
    <row r="2032" spans="1:8" x14ac:dyDescent="0.3">
      <c r="A2032" t="s">
        <v>13</v>
      </c>
      <c r="B2032" s="6" t="s">
        <v>14</v>
      </c>
      <c r="C2032" t="s">
        <v>2</v>
      </c>
      <c r="D2032" t="s">
        <v>7</v>
      </c>
      <c r="E2032" t="s">
        <v>15</v>
      </c>
      <c r="F2032" t="s">
        <v>5</v>
      </c>
      <c r="G2032" t="s">
        <v>11</v>
      </c>
      <c r="H2032" t="s">
        <v>4</v>
      </c>
    </row>
    <row r="2033" spans="1:9" ht="15.6" x14ac:dyDescent="0.3">
      <c r="A2033" s="2" t="s">
        <v>559</v>
      </c>
      <c r="B2033" s="6">
        <v>1</v>
      </c>
      <c r="C2033" t="s">
        <v>1050</v>
      </c>
      <c r="D2033" t="s">
        <v>8</v>
      </c>
      <c r="F2033" t="s">
        <v>17</v>
      </c>
      <c r="G2033" t="s">
        <v>18</v>
      </c>
      <c r="H2033" s="2" t="s">
        <v>430</v>
      </c>
    </row>
    <row r="2034" spans="1:9" ht="15.6" x14ac:dyDescent="0.3">
      <c r="A2034" s="2" t="s">
        <v>96</v>
      </c>
      <c r="B2034" s="6">
        <f>(1/((Parameters!$C$55*Parameters!$B$4*Parameters!$B$10)/1000))</f>
        <v>2.973895234973678</v>
      </c>
      <c r="C2034" t="s">
        <v>1050</v>
      </c>
      <c r="D2034" t="s">
        <v>8</v>
      </c>
      <c r="F2034" t="s">
        <v>20</v>
      </c>
      <c r="G2034" t="s">
        <v>18</v>
      </c>
      <c r="H2034" s="2" t="s">
        <v>431</v>
      </c>
    </row>
    <row r="2035" spans="1:9" ht="15.6" x14ac:dyDescent="0.3">
      <c r="A2035" s="2" t="s">
        <v>438</v>
      </c>
      <c r="B2035" s="6">
        <f>(23862*Parameters!$B$3)/(Parameters!$B$4*Parameters!$B$10)</f>
        <v>8.43023002405935</v>
      </c>
      <c r="C2035" t="s">
        <v>31</v>
      </c>
      <c r="D2035" t="s">
        <v>19</v>
      </c>
      <c r="F2035" t="s">
        <v>20</v>
      </c>
      <c r="G2035" t="s">
        <v>437</v>
      </c>
      <c r="H2035" s="2" t="s">
        <v>439</v>
      </c>
    </row>
    <row r="2036" spans="1:9" ht="15.6" x14ac:dyDescent="0.3">
      <c r="A2036" s="2" t="s">
        <v>28</v>
      </c>
      <c r="B2036" s="6">
        <f>((2509*Parameters!$B$3/3.6)/(Parameters!$B$4*Parameters!$B$10))+(((B1847*B2034)-Parameters!$B$13)*0.18)</f>
        <v>0.69196928141017844</v>
      </c>
      <c r="C2036" t="s">
        <v>1051</v>
      </c>
      <c r="D2036" t="s">
        <v>29</v>
      </c>
      <c r="F2036" t="s">
        <v>20</v>
      </c>
      <c r="H2036" s="2" t="s">
        <v>30</v>
      </c>
    </row>
    <row r="2037" spans="1:9" ht="15.6" x14ac:dyDescent="0.3">
      <c r="A2037" s="2" t="s">
        <v>384</v>
      </c>
      <c r="B2037" s="6">
        <f>((2.74/1000)/(Parameters!$B$4*Parameters!$B$10))</f>
        <v>9.1750338622372017E-4</v>
      </c>
      <c r="C2037" t="s">
        <v>26</v>
      </c>
      <c r="D2037" t="s">
        <v>8</v>
      </c>
      <c r="F2037" t="s">
        <v>20</v>
      </c>
      <c r="G2037" t="s">
        <v>386</v>
      </c>
      <c r="H2037" s="2" t="s">
        <v>385</v>
      </c>
    </row>
    <row r="2038" spans="1:9" ht="15.6" x14ac:dyDescent="0.3">
      <c r="A2038" s="2" t="s">
        <v>252</v>
      </c>
      <c r="B2038" s="6">
        <f>((4.65/1000)/(Parameters!$B$4*Parameters!$B$10))</f>
        <v>1.5570769145767515E-3</v>
      </c>
      <c r="C2038" t="s">
        <v>31</v>
      </c>
      <c r="D2038" t="s">
        <v>8</v>
      </c>
      <c r="F2038" t="s">
        <v>20</v>
      </c>
      <c r="H2038" s="2" t="s">
        <v>253</v>
      </c>
    </row>
    <row r="2039" spans="1:9" ht="15.6" x14ac:dyDescent="0.3">
      <c r="A2039" s="2" t="s">
        <v>254</v>
      </c>
      <c r="B2039" s="6">
        <f>((17.82/1000)/(Parameters!$B$4*Parameters!$B$10))</f>
        <v>5.9671205629586461E-3</v>
      </c>
      <c r="C2039" t="s">
        <v>255</v>
      </c>
      <c r="D2039" t="s">
        <v>8</v>
      </c>
      <c r="F2039" t="s">
        <v>20</v>
      </c>
      <c r="H2039" s="2" t="s">
        <v>256</v>
      </c>
    </row>
    <row r="2040" spans="1:9" ht="15.6" x14ac:dyDescent="0.3">
      <c r="A2040" s="2" t="s">
        <v>370</v>
      </c>
      <c r="B2040" s="6">
        <f>((10.66/1000)/(Parameters!$B$4*Parameters!$B$10))</f>
        <v>3.5695569697608964E-3</v>
      </c>
      <c r="C2040" t="s">
        <v>31</v>
      </c>
      <c r="D2040" t="s">
        <v>8</v>
      </c>
      <c r="F2040" t="s">
        <v>20</v>
      </c>
      <c r="G2040" t="s">
        <v>387</v>
      </c>
      <c r="H2040" s="2" t="s">
        <v>371</v>
      </c>
    </row>
    <row r="2041" spans="1:9" ht="15.6" x14ac:dyDescent="0.3">
      <c r="A2041" s="2" t="s">
        <v>388</v>
      </c>
      <c r="B2041" s="6">
        <f>((22.35/1000)/(Parameters!$B$4*Parameters!$B$10))</f>
        <v>7.484014847481805E-3</v>
      </c>
      <c r="C2041" t="s">
        <v>26</v>
      </c>
      <c r="D2041" t="s">
        <v>8</v>
      </c>
      <c r="F2041" t="s">
        <v>20</v>
      </c>
      <c r="G2041" t="s">
        <v>390</v>
      </c>
      <c r="H2041" s="2" t="s">
        <v>389</v>
      </c>
    </row>
    <row r="2042" spans="1:9" x14ac:dyDescent="0.3">
      <c r="A2042" t="s">
        <v>265</v>
      </c>
      <c r="B2042" s="6">
        <f>((B1847*B2034)-Parameters!$B$13)*(1-0.975)</f>
        <v>6.1909038384791081E-2</v>
      </c>
      <c r="D2042" t="s">
        <v>8</v>
      </c>
      <c r="E2042" t="s">
        <v>37</v>
      </c>
      <c r="F2042" t="s">
        <v>36</v>
      </c>
      <c r="G2042" t="s">
        <v>428</v>
      </c>
    </row>
    <row r="2043" spans="1:9" x14ac:dyDescent="0.3">
      <c r="A2043" t="s">
        <v>306</v>
      </c>
      <c r="B2043" s="6">
        <f>1/(90000000*20)</f>
        <v>5.5555555555555553E-10</v>
      </c>
      <c r="C2043" t="s">
        <v>26</v>
      </c>
      <c r="D2043" t="s">
        <v>7</v>
      </c>
      <c r="F2043" t="s">
        <v>20</v>
      </c>
      <c r="G2043" t="s">
        <v>308</v>
      </c>
      <c r="H2043" t="s">
        <v>307</v>
      </c>
    </row>
    <row r="2044" spans="1:9" x14ac:dyDescent="0.3">
      <c r="A2044" s="36" t="s">
        <v>525</v>
      </c>
      <c r="B2044" s="37">
        <f>Parameters!C56/Parameters!B4*Parameters!B10*-1*0.27</f>
        <v>-0.14373294505680315</v>
      </c>
      <c r="C2044" t="s">
        <v>26</v>
      </c>
      <c r="D2044" t="s">
        <v>8</v>
      </c>
      <c r="E2044" s="36"/>
      <c r="F2044" s="36" t="s">
        <v>20</v>
      </c>
      <c r="G2044" s="36" t="s">
        <v>573</v>
      </c>
      <c r="H2044" s="36" t="s">
        <v>526</v>
      </c>
      <c r="I2044" s="36"/>
    </row>
    <row r="2045" spans="1:9" x14ac:dyDescent="0.3">
      <c r="A2045" s="36" t="s">
        <v>553</v>
      </c>
      <c r="B2045" s="37">
        <f>Parameters!C58*Parameters!B6/Parameters!B8/1000*B1963*-1</f>
        <v>-2.8678595966921405E-2</v>
      </c>
      <c r="C2045" t="s">
        <v>26</v>
      </c>
      <c r="D2045" t="s">
        <v>8</v>
      </c>
      <c r="E2045" s="36"/>
      <c r="F2045" s="36" t="s">
        <v>20</v>
      </c>
      <c r="G2045" s="36" t="s">
        <v>1048</v>
      </c>
      <c r="H2045" s="36" t="s">
        <v>554</v>
      </c>
      <c r="I2045" s="36"/>
    </row>
    <row r="2046" spans="1:9" x14ac:dyDescent="0.3">
      <c r="A2046" s="36" t="s">
        <v>565</v>
      </c>
      <c r="B2046" s="37">
        <f>((B1847*B2034)-Parameters!$B$13)*0.975*-1</f>
        <v>-2.4144524970068502</v>
      </c>
      <c r="C2046" t="s">
        <v>26</v>
      </c>
      <c r="D2046" t="s">
        <v>8</v>
      </c>
      <c r="E2046" s="36"/>
      <c r="F2046" s="36" t="s">
        <v>20</v>
      </c>
      <c r="G2046" s="36" t="s">
        <v>566</v>
      </c>
      <c r="H2046" s="36" t="s">
        <v>567</v>
      </c>
      <c r="I2046" s="36"/>
    </row>
    <row r="2047" spans="1:9" ht="15.6" x14ac:dyDescent="0.3">
      <c r="A2047" s="2"/>
      <c r="H2047" s="2"/>
    </row>
    <row r="2048" spans="1:9" ht="15.6" x14ac:dyDescent="0.3">
      <c r="A2048" s="1" t="s">
        <v>1</v>
      </c>
      <c r="B2048" s="73" t="s">
        <v>433</v>
      </c>
    </row>
    <row r="2049" spans="1:10" x14ac:dyDescent="0.3">
      <c r="A2049" t="s">
        <v>2</v>
      </c>
      <c r="B2049" s="6" t="s">
        <v>1050</v>
      </c>
    </row>
    <row r="2050" spans="1:10" x14ac:dyDescent="0.3">
      <c r="A2050" t="s">
        <v>3</v>
      </c>
      <c r="B2050" s="6">
        <v>1</v>
      </c>
    </row>
    <row r="2051" spans="1:10" ht="15.6" x14ac:dyDescent="0.3">
      <c r="A2051" t="s">
        <v>4</v>
      </c>
      <c r="B2051" s="74" t="s">
        <v>337</v>
      </c>
    </row>
    <row r="2052" spans="1:10" x14ac:dyDescent="0.3">
      <c r="A2052" t="s">
        <v>5</v>
      </c>
      <c r="B2052" s="6" t="s">
        <v>6</v>
      </c>
    </row>
    <row r="2053" spans="1:10" x14ac:dyDescent="0.3">
      <c r="A2053" t="s">
        <v>7</v>
      </c>
      <c r="B2053" s="6" t="s">
        <v>8</v>
      </c>
    </row>
    <row r="2054" spans="1:10" x14ac:dyDescent="0.3">
      <c r="A2054" t="s">
        <v>9</v>
      </c>
      <c r="B2054" s="6" t="s">
        <v>393</v>
      </c>
    </row>
    <row r="2055" spans="1:10" x14ac:dyDescent="0.3">
      <c r="A2055" t="s">
        <v>11</v>
      </c>
      <c r="B2055" s="6" t="s">
        <v>362</v>
      </c>
    </row>
    <row r="2056" spans="1:10" ht="15.6" x14ac:dyDescent="0.3">
      <c r="A2056" s="1" t="s">
        <v>12</v>
      </c>
    </row>
    <row r="2057" spans="1:10" x14ac:dyDescent="0.3">
      <c r="A2057" t="s">
        <v>13</v>
      </c>
      <c r="B2057" s="6" t="s">
        <v>14</v>
      </c>
      <c r="C2057" t="s">
        <v>2</v>
      </c>
      <c r="D2057" t="s">
        <v>7</v>
      </c>
      <c r="E2057" t="s">
        <v>15</v>
      </c>
      <c r="F2057" t="s">
        <v>5</v>
      </c>
      <c r="G2057" t="s">
        <v>338</v>
      </c>
      <c r="H2057" t="s">
        <v>339</v>
      </c>
      <c r="I2057" t="s">
        <v>11</v>
      </c>
      <c r="J2057" t="s">
        <v>4</v>
      </c>
    </row>
    <row r="2058" spans="1:10" x14ac:dyDescent="0.3">
      <c r="A2058" s="36" t="s">
        <v>433</v>
      </c>
      <c r="B2058" s="37">
        <v>1</v>
      </c>
      <c r="C2058" t="s">
        <v>1050</v>
      </c>
      <c r="D2058" s="36" t="s">
        <v>8</v>
      </c>
      <c r="E2058" s="36"/>
      <c r="F2058" s="36" t="s">
        <v>17</v>
      </c>
      <c r="G2058" s="36"/>
      <c r="H2058" s="36"/>
      <c r="I2058" s="36" t="s">
        <v>18</v>
      </c>
      <c r="J2058" s="36" t="s">
        <v>337</v>
      </c>
    </row>
    <row r="2059" spans="1:10" ht="15.6" x14ac:dyDescent="0.3">
      <c r="A2059" s="2" t="s">
        <v>429</v>
      </c>
      <c r="B2059" s="6">
        <v>1.00057</v>
      </c>
      <c r="C2059" t="s">
        <v>1050</v>
      </c>
      <c r="D2059" t="s">
        <v>8</v>
      </c>
      <c r="F2059" s="36" t="s">
        <v>20</v>
      </c>
      <c r="G2059" t="s">
        <v>18</v>
      </c>
      <c r="I2059" s="36"/>
      <c r="J2059" s="2" t="s">
        <v>430</v>
      </c>
    </row>
    <row r="2060" spans="1:10" x14ac:dyDescent="0.3">
      <c r="A2060" s="36" t="s">
        <v>28</v>
      </c>
      <c r="B2060" s="37">
        <v>6.7000000000000002E-3</v>
      </c>
      <c r="C2060" t="s">
        <v>1051</v>
      </c>
      <c r="D2060" s="36" t="s">
        <v>29</v>
      </c>
      <c r="E2060" s="36"/>
      <c r="F2060" s="36" t="s">
        <v>20</v>
      </c>
      <c r="G2060" s="36"/>
      <c r="H2060" s="36"/>
      <c r="I2060" s="36"/>
      <c r="J2060" s="36" t="s">
        <v>30</v>
      </c>
    </row>
    <row r="2061" spans="1:10" x14ac:dyDescent="0.3">
      <c r="A2061" s="36" t="s">
        <v>340</v>
      </c>
      <c r="B2061" s="37">
        <v>-1.6799999999999999E-4</v>
      </c>
      <c r="C2061" s="36" t="s">
        <v>31</v>
      </c>
      <c r="D2061" s="36" t="s">
        <v>8</v>
      </c>
      <c r="E2061" s="36"/>
      <c r="F2061" s="36" t="s">
        <v>20</v>
      </c>
      <c r="G2061" s="36"/>
      <c r="H2061" s="36"/>
      <c r="I2061" s="36"/>
      <c r="J2061" s="36" t="s">
        <v>341</v>
      </c>
    </row>
    <row r="2062" spans="1:10" x14ac:dyDescent="0.3">
      <c r="A2062" s="36" t="s">
        <v>342</v>
      </c>
      <c r="B2062" s="37">
        <v>5.8399999999999999E-4</v>
      </c>
      <c r="C2062" s="36" t="s">
        <v>31</v>
      </c>
      <c r="D2062" s="36" t="s">
        <v>19</v>
      </c>
      <c r="E2062" s="36"/>
      <c r="F2062" s="36" t="s">
        <v>20</v>
      </c>
      <c r="G2062" s="36"/>
      <c r="H2062" s="36"/>
      <c r="I2062" s="36"/>
      <c r="J2062" s="36" t="s">
        <v>343</v>
      </c>
    </row>
    <row r="2063" spans="1:10" x14ac:dyDescent="0.3">
      <c r="A2063" s="36" t="s">
        <v>344</v>
      </c>
      <c r="B2063" s="37">
        <v>2.5999999999999998E-10</v>
      </c>
      <c r="C2063" s="36" t="s">
        <v>31</v>
      </c>
      <c r="D2063" s="36" t="s">
        <v>7</v>
      </c>
      <c r="E2063" s="36"/>
      <c r="F2063" s="36" t="s">
        <v>20</v>
      </c>
      <c r="G2063" s="36"/>
      <c r="H2063" s="36"/>
      <c r="I2063" s="36"/>
      <c r="J2063" s="36" t="s">
        <v>345</v>
      </c>
    </row>
    <row r="2064" spans="1:10" x14ac:dyDescent="0.3">
      <c r="A2064" s="36" t="s">
        <v>346</v>
      </c>
      <c r="B2064" s="37">
        <v>-6.2700000000000001E-6</v>
      </c>
      <c r="C2064" s="36" t="s">
        <v>31</v>
      </c>
      <c r="D2064" s="36" t="s">
        <v>8</v>
      </c>
      <c r="E2064" s="36"/>
      <c r="F2064" s="36" t="s">
        <v>20</v>
      </c>
      <c r="G2064" s="36"/>
      <c r="H2064" s="36"/>
      <c r="I2064" s="36"/>
      <c r="J2064" s="36" t="s">
        <v>347</v>
      </c>
    </row>
    <row r="2065" spans="1:10" x14ac:dyDescent="0.3">
      <c r="A2065" s="36" t="s">
        <v>348</v>
      </c>
      <c r="B2065" s="37">
        <v>-7.4999999999999993E-5</v>
      </c>
      <c r="C2065" s="36" t="s">
        <v>31</v>
      </c>
      <c r="D2065" s="36" t="s">
        <v>121</v>
      </c>
      <c r="E2065" s="36"/>
      <c r="F2065" s="36" t="s">
        <v>20</v>
      </c>
      <c r="G2065" s="36"/>
      <c r="H2065" s="36"/>
      <c r="I2065" s="36"/>
      <c r="J2065" s="36" t="s">
        <v>349</v>
      </c>
    </row>
    <row r="2066" spans="1:10" x14ac:dyDescent="0.3">
      <c r="A2066" s="36" t="s">
        <v>350</v>
      </c>
      <c r="B2066" s="37">
        <v>6.8900000000000005E-4</v>
      </c>
      <c r="C2066" s="36" t="s">
        <v>31</v>
      </c>
      <c r="D2066" s="36" t="s">
        <v>8</v>
      </c>
      <c r="E2066" s="36"/>
      <c r="F2066" s="36" t="s">
        <v>20</v>
      </c>
      <c r="G2066" s="36"/>
      <c r="H2066" s="36"/>
      <c r="I2066" s="36"/>
      <c r="J2066" s="36" t="s">
        <v>351</v>
      </c>
    </row>
    <row r="2067" spans="1:10" x14ac:dyDescent="0.3">
      <c r="A2067" s="36" t="s">
        <v>100</v>
      </c>
      <c r="B2067" s="37">
        <v>3.3599999999999998E-2</v>
      </c>
      <c r="C2067" s="36" t="s">
        <v>31</v>
      </c>
      <c r="D2067" s="36" t="s">
        <v>41</v>
      </c>
      <c r="E2067" s="36"/>
      <c r="F2067" s="36" t="s">
        <v>20</v>
      </c>
      <c r="G2067" s="36"/>
      <c r="H2067" s="36"/>
      <c r="I2067" s="36"/>
      <c r="J2067" s="36" t="s">
        <v>103</v>
      </c>
    </row>
    <row r="2068" spans="1:10" x14ac:dyDescent="0.3">
      <c r="A2068" s="36" t="s">
        <v>352</v>
      </c>
      <c r="B2068" s="37">
        <v>3.2599999999999997E-2</v>
      </c>
      <c r="C2068" s="36" t="s">
        <v>581</v>
      </c>
      <c r="D2068" s="36" t="s">
        <v>41</v>
      </c>
      <c r="E2068" s="36"/>
      <c r="F2068" s="36" t="s">
        <v>20</v>
      </c>
      <c r="G2068" s="36"/>
      <c r="H2068" s="36"/>
      <c r="I2068" s="36"/>
      <c r="J2068" s="36" t="s">
        <v>353</v>
      </c>
    </row>
    <row r="2069" spans="1:10" x14ac:dyDescent="0.3">
      <c r="A2069" s="36" t="s">
        <v>354</v>
      </c>
      <c r="B2069" s="37">
        <v>-6.8899999999999999E-7</v>
      </c>
      <c r="C2069" s="36" t="s">
        <v>31</v>
      </c>
      <c r="D2069" s="36" t="s">
        <v>121</v>
      </c>
      <c r="E2069" s="36"/>
      <c r="F2069" s="36" t="s">
        <v>20</v>
      </c>
      <c r="G2069" s="36"/>
      <c r="H2069" s="36"/>
      <c r="I2069" s="36"/>
      <c r="J2069" s="36" t="s">
        <v>355</v>
      </c>
    </row>
    <row r="2071" spans="1:10" ht="15.6" x14ac:dyDescent="0.3">
      <c r="A2071" s="1" t="s">
        <v>1</v>
      </c>
      <c r="B2071" s="73" t="s">
        <v>434</v>
      </c>
    </row>
    <row r="2072" spans="1:10" x14ac:dyDescent="0.3">
      <c r="A2072" t="s">
        <v>2</v>
      </c>
      <c r="B2072" s="6" t="s">
        <v>1050</v>
      </c>
    </row>
    <row r="2073" spans="1:10" x14ac:dyDescent="0.3">
      <c r="A2073" t="s">
        <v>3</v>
      </c>
      <c r="B2073" s="6">
        <v>1</v>
      </c>
    </row>
    <row r="2074" spans="1:10" ht="15.6" x14ac:dyDescent="0.3">
      <c r="A2074" t="s">
        <v>4</v>
      </c>
      <c r="B2074" s="74" t="s">
        <v>337</v>
      </c>
    </row>
    <row r="2075" spans="1:10" x14ac:dyDescent="0.3">
      <c r="A2075" t="s">
        <v>5</v>
      </c>
      <c r="B2075" s="6" t="s">
        <v>6</v>
      </c>
    </row>
    <row r="2076" spans="1:10" x14ac:dyDescent="0.3">
      <c r="A2076" t="s">
        <v>7</v>
      </c>
      <c r="B2076" s="6" t="s">
        <v>8</v>
      </c>
    </row>
    <row r="2077" spans="1:10" x14ac:dyDescent="0.3">
      <c r="A2077" t="s">
        <v>9</v>
      </c>
      <c r="B2077" s="6" t="s">
        <v>393</v>
      </c>
    </row>
    <row r="2078" spans="1:10" x14ac:dyDescent="0.3">
      <c r="A2078" t="s">
        <v>11</v>
      </c>
      <c r="B2078" s="6" t="s">
        <v>361</v>
      </c>
    </row>
    <row r="2079" spans="1:10" ht="15.6" x14ac:dyDescent="0.3">
      <c r="A2079" s="1" t="s">
        <v>12</v>
      </c>
    </row>
    <row r="2080" spans="1:10" x14ac:dyDescent="0.3">
      <c r="A2080" t="s">
        <v>13</v>
      </c>
      <c r="B2080" s="6" t="s">
        <v>14</v>
      </c>
      <c r="C2080" t="s">
        <v>2</v>
      </c>
      <c r="D2080" t="s">
        <v>7</v>
      </c>
      <c r="E2080" t="s">
        <v>15</v>
      </c>
      <c r="F2080" t="s">
        <v>5</v>
      </c>
      <c r="G2080" t="s">
        <v>338</v>
      </c>
      <c r="H2080" t="s">
        <v>339</v>
      </c>
      <c r="I2080" t="s">
        <v>11</v>
      </c>
      <c r="J2080" t="s">
        <v>4</v>
      </c>
    </row>
    <row r="2081" spans="1:10" x14ac:dyDescent="0.3">
      <c r="A2081" s="36" t="s">
        <v>434</v>
      </c>
      <c r="B2081" s="37">
        <v>1</v>
      </c>
      <c r="C2081" t="s">
        <v>1050</v>
      </c>
      <c r="D2081" s="36" t="s">
        <v>8</v>
      </c>
      <c r="E2081" s="36"/>
      <c r="F2081" s="36" t="s">
        <v>17</v>
      </c>
      <c r="G2081" s="36"/>
      <c r="H2081" s="36"/>
      <c r="I2081" s="36" t="s">
        <v>18</v>
      </c>
      <c r="J2081" s="36" t="s">
        <v>337</v>
      </c>
    </row>
    <row r="2082" spans="1:10" ht="15.6" x14ac:dyDescent="0.3">
      <c r="A2082" s="2" t="s">
        <v>432</v>
      </c>
      <c r="B2082" s="6">
        <v>1.00057</v>
      </c>
      <c r="C2082" t="s">
        <v>1050</v>
      </c>
      <c r="D2082" t="s">
        <v>8</v>
      </c>
      <c r="F2082" s="36" t="s">
        <v>20</v>
      </c>
      <c r="G2082" t="s">
        <v>18</v>
      </c>
      <c r="I2082" s="36"/>
      <c r="J2082" s="2" t="s">
        <v>430</v>
      </c>
    </row>
    <row r="2083" spans="1:10" x14ac:dyDescent="0.3">
      <c r="A2083" s="36" t="s">
        <v>28</v>
      </c>
      <c r="B2083" s="37">
        <v>6.7000000000000002E-3</v>
      </c>
      <c r="C2083" t="s">
        <v>1051</v>
      </c>
      <c r="D2083" s="36" t="s">
        <v>29</v>
      </c>
      <c r="E2083" s="36"/>
      <c r="F2083" s="36" t="s">
        <v>20</v>
      </c>
      <c r="G2083" s="36"/>
      <c r="H2083" s="36"/>
      <c r="I2083" s="36"/>
      <c r="J2083" s="36" t="s">
        <v>30</v>
      </c>
    </row>
    <row r="2084" spans="1:10" x14ac:dyDescent="0.3">
      <c r="A2084" s="36" t="s">
        <v>340</v>
      </c>
      <c r="B2084" s="37">
        <v>-1.6799999999999999E-4</v>
      </c>
      <c r="C2084" s="36" t="s">
        <v>31</v>
      </c>
      <c r="D2084" s="36" t="s">
        <v>8</v>
      </c>
      <c r="E2084" s="36"/>
      <c r="F2084" s="36" t="s">
        <v>20</v>
      </c>
      <c r="G2084" s="36"/>
      <c r="H2084" s="36"/>
      <c r="I2084" s="36"/>
      <c r="J2084" s="36" t="s">
        <v>341</v>
      </c>
    </row>
    <row r="2085" spans="1:10" x14ac:dyDescent="0.3">
      <c r="A2085" s="36" t="s">
        <v>342</v>
      </c>
      <c r="B2085" s="37">
        <v>5.8399999999999999E-4</v>
      </c>
      <c r="C2085" s="36" t="s">
        <v>31</v>
      </c>
      <c r="D2085" s="36" t="s">
        <v>19</v>
      </c>
      <c r="E2085" s="36"/>
      <c r="F2085" s="36" t="s">
        <v>20</v>
      </c>
      <c r="G2085" s="36"/>
      <c r="H2085" s="36"/>
      <c r="I2085" s="36"/>
      <c r="J2085" s="36" t="s">
        <v>343</v>
      </c>
    </row>
    <row r="2086" spans="1:10" x14ac:dyDescent="0.3">
      <c r="A2086" s="36" t="s">
        <v>344</v>
      </c>
      <c r="B2086" s="37">
        <v>2.5999999999999998E-10</v>
      </c>
      <c r="C2086" s="36" t="s">
        <v>31</v>
      </c>
      <c r="D2086" s="36" t="s">
        <v>7</v>
      </c>
      <c r="E2086" s="36"/>
      <c r="F2086" s="36" t="s">
        <v>20</v>
      </c>
      <c r="G2086" s="36"/>
      <c r="H2086" s="36"/>
      <c r="I2086" s="36"/>
      <c r="J2086" s="36" t="s">
        <v>345</v>
      </c>
    </row>
    <row r="2087" spans="1:10" x14ac:dyDescent="0.3">
      <c r="A2087" s="36" t="s">
        <v>346</v>
      </c>
      <c r="B2087" s="37">
        <v>-6.2700000000000001E-6</v>
      </c>
      <c r="C2087" s="36" t="s">
        <v>31</v>
      </c>
      <c r="D2087" s="36" t="s">
        <v>8</v>
      </c>
      <c r="E2087" s="36"/>
      <c r="F2087" s="36" t="s">
        <v>20</v>
      </c>
      <c r="G2087" s="36"/>
      <c r="H2087" s="36"/>
      <c r="I2087" s="36"/>
      <c r="J2087" s="36" t="s">
        <v>347</v>
      </c>
    </row>
    <row r="2088" spans="1:10" x14ac:dyDescent="0.3">
      <c r="A2088" s="36" t="s">
        <v>348</v>
      </c>
      <c r="B2088" s="37">
        <v>-7.4999999999999993E-5</v>
      </c>
      <c r="C2088" s="36" t="s">
        <v>31</v>
      </c>
      <c r="D2088" s="36" t="s">
        <v>121</v>
      </c>
      <c r="E2088" s="36"/>
      <c r="F2088" s="36" t="s">
        <v>20</v>
      </c>
      <c r="G2088" s="36"/>
      <c r="H2088" s="36"/>
      <c r="I2088" s="36"/>
      <c r="J2088" s="36" t="s">
        <v>349</v>
      </c>
    </row>
    <row r="2089" spans="1:10" x14ac:dyDescent="0.3">
      <c r="A2089" s="36" t="s">
        <v>350</v>
      </c>
      <c r="B2089" s="37">
        <v>6.8900000000000005E-4</v>
      </c>
      <c r="C2089" s="36" t="s">
        <v>31</v>
      </c>
      <c r="D2089" s="36" t="s">
        <v>8</v>
      </c>
      <c r="E2089" s="36"/>
      <c r="F2089" s="36" t="s">
        <v>20</v>
      </c>
      <c r="G2089" s="36"/>
      <c r="H2089" s="36"/>
      <c r="I2089" s="36"/>
      <c r="J2089" s="36" t="s">
        <v>351</v>
      </c>
    </row>
    <row r="2090" spans="1:10" x14ac:dyDescent="0.3">
      <c r="A2090" s="36" t="s">
        <v>100</v>
      </c>
      <c r="B2090" s="37">
        <v>3.3599999999999998E-2</v>
      </c>
      <c r="C2090" s="36" t="s">
        <v>31</v>
      </c>
      <c r="D2090" s="36" t="s">
        <v>41</v>
      </c>
      <c r="E2090" s="36"/>
      <c r="F2090" s="36" t="s">
        <v>20</v>
      </c>
      <c r="G2090" s="36"/>
      <c r="H2090" s="36"/>
      <c r="I2090" s="36"/>
      <c r="J2090" s="36" t="s">
        <v>103</v>
      </c>
    </row>
    <row r="2091" spans="1:10" x14ac:dyDescent="0.3">
      <c r="A2091" s="36" t="s">
        <v>352</v>
      </c>
      <c r="B2091" s="37">
        <v>3.2599999999999997E-2</v>
      </c>
      <c r="C2091" s="36" t="s">
        <v>581</v>
      </c>
      <c r="D2091" s="36" t="s">
        <v>41</v>
      </c>
      <c r="E2091" s="36"/>
      <c r="F2091" s="36" t="s">
        <v>20</v>
      </c>
      <c r="G2091" s="36"/>
      <c r="H2091" s="36"/>
      <c r="I2091" s="36"/>
      <c r="J2091" s="36" t="s">
        <v>353</v>
      </c>
    </row>
    <row r="2092" spans="1:10" x14ac:dyDescent="0.3">
      <c r="A2092" s="36" t="s">
        <v>354</v>
      </c>
      <c r="B2092" s="37">
        <v>-6.8899999999999999E-7</v>
      </c>
      <c r="C2092" s="36" t="s">
        <v>31</v>
      </c>
      <c r="D2092" s="36" t="s">
        <v>121</v>
      </c>
      <c r="E2092" s="36"/>
      <c r="F2092" s="36" t="s">
        <v>20</v>
      </c>
      <c r="G2092" s="36"/>
      <c r="H2092" s="36"/>
      <c r="I2092" s="36"/>
      <c r="J2092" s="36" t="s">
        <v>355</v>
      </c>
    </row>
    <row r="2094" spans="1:10" ht="15.6" x14ac:dyDescent="0.3">
      <c r="A2094" s="1" t="s">
        <v>1</v>
      </c>
      <c r="B2094" s="73" t="s">
        <v>535</v>
      </c>
    </row>
    <row r="2095" spans="1:10" x14ac:dyDescent="0.3">
      <c r="A2095" t="s">
        <v>2</v>
      </c>
      <c r="B2095" s="6" t="s">
        <v>1050</v>
      </c>
    </row>
    <row r="2096" spans="1:10" x14ac:dyDescent="0.3">
      <c r="A2096" t="s">
        <v>3</v>
      </c>
      <c r="B2096" s="6">
        <v>1</v>
      </c>
    </row>
    <row r="2097" spans="1:10" ht="15.6" x14ac:dyDescent="0.3">
      <c r="A2097" t="s">
        <v>4</v>
      </c>
      <c r="B2097" s="74" t="s">
        <v>337</v>
      </c>
    </row>
    <row r="2098" spans="1:10" x14ac:dyDescent="0.3">
      <c r="A2098" t="s">
        <v>5</v>
      </c>
      <c r="B2098" s="6" t="s">
        <v>6</v>
      </c>
    </row>
    <row r="2099" spans="1:10" x14ac:dyDescent="0.3">
      <c r="A2099" t="s">
        <v>7</v>
      </c>
      <c r="B2099" s="6" t="s">
        <v>8</v>
      </c>
    </row>
    <row r="2100" spans="1:10" x14ac:dyDescent="0.3">
      <c r="A2100" t="s">
        <v>9</v>
      </c>
      <c r="B2100" s="6" t="s">
        <v>393</v>
      </c>
    </row>
    <row r="2101" spans="1:10" x14ac:dyDescent="0.3">
      <c r="A2101" t="s">
        <v>11</v>
      </c>
      <c r="B2101" s="6" t="s">
        <v>507</v>
      </c>
    </row>
    <row r="2102" spans="1:10" ht="15.6" x14ac:dyDescent="0.3">
      <c r="A2102" s="1" t="s">
        <v>12</v>
      </c>
    </row>
    <row r="2103" spans="1:10" x14ac:dyDescent="0.3">
      <c r="A2103" t="s">
        <v>13</v>
      </c>
      <c r="B2103" s="6" t="s">
        <v>14</v>
      </c>
      <c r="C2103" t="s">
        <v>2</v>
      </c>
      <c r="D2103" t="s">
        <v>7</v>
      </c>
      <c r="E2103" t="s">
        <v>15</v>
      </c>
      <c r="F2103" t="s">
        <v>5</v>
      </c>
      <c r="G2103" t="s">
        <v>338</v>
      </c>
      <c r="H2103" t="s">
        <v>339</v>
      </c>
      <c r="I2103" t="s">
        <v>11</v>
      </c>
      <c r="J2103" t="s">
        <v>4</v>
      </c>
    </row>
    <row r="2104" spans="1:10" x14ac:dyDescent="0.3">
      <c r="A2104" s="36" t="s">
        <v>535</v>
      </c>
      <c r="B2104" s="37">
        <v>1</v>
      </c>
      <c r="C2104" t="s">
        <v>1050</v>
      </c>
      <c r="D2104" s="36" t="s">
        <v>8</v>
      </c>
      <c r="E2104" s="36"/>
      <c r="F2104" s="36" t="s">
        <v>17</v>
      </c>
      <c r="G2104" s="36"/>
      <c r="H2104" s="36"/>
      <c r="I2104" s="36" t="s">
        <v>18</v>
      </c>
      <c r="J2104" s="36" t="s">
        <v>337</v>
      </c>
    </row>
    <row r="2105" spans="1:10" ht="15.6" x14ac:dyDescent="0.3">
      <c r="A2105" s="2" t="s">
        <v>534</v>
      </c>
      <c r="B2105" s="6">
        <v>1.00057</v>
      </c>
      <c r="C2105" t="s">
        <v>1050</v>
      </c>
      <c r="D2105" t="s">
        <v>8</v>
      </c>
      <c r="F2105" s="36" t="s">
        <v>20</v>
      </c>
      <c r="G2105" t="s">
        <v>18</v>
      </c>
      <c r="I2105" s="36"/>
      <c r="J2105" s="2" t="s">
        <v>430</v>
      </c>
    </row>
    <row r="2106" spans="1:10" x14ac:dyDescent="0.3">
      <c r="A2106" s="36" t="s">
        <v>28</v>
      </c>
      <c r="B2106" s="37">
        <v>6.7000000000000002E-3</v>
      </c>
      <c r="C2106" t="s">
        <v>1051</v>
      </c>
      <c r="D2106" s="36" t="s">
        <v>29</v>
      </c>
      <c r="E2106" s="36"/>
      <c r="F2106" s="36" t="s">
        <v>20</v>
      </c>
      <c r="G2106" s="36"/>
      <c r="H2106" s="36"/>
      <c r="I2106" s="36"/>
      <c r="J2106" s="36" t="s">
        <v>30</v>
      </c>
    </row>
    <row r="2107" spans="1:10" x14ac:dyDescent="0.3">
      <c r="A2107" s="36" t="s">
        <v>340</v>
      </c>
      <c r="B2107" s="37">
        <v>-1.6799999999999999E-4</v>
      </c>
      <c r="C2107" s="36" t="s">
        <v>31</v>
      </c>
      <c r="D2107" s="36" t="s">
        <v>8</v>
      </c>
      <c r="E2107" s="36"/>
      <c r="F2107" s="36" t="s">
        <v>20</v>
      </c>
      <c r="G2107" s="36"/>
      <c r="H2107" s="36"/>
      <c r="I2107" s="36"/>
      <c r="J2107" s="36" t="s">
        <v>341</v>
      </c>
    </row>
    <row r="2108" spans="1:10" x14ac:dyDescent="0.3">
      <c r="A2108" s="36" t="s">
        <v>342</v>
      </c>
      <c r="B2108" s="37">
        <v>5.8399999999999999E-4</v>
      </c>
      <c r="C2108" s="36" t="s">
        <v>31</v>
      </c>
      <c r="D2108" s="36" t="s">
        <v>19</v>
      </c>
      <c r="E2108" s="36"/>
      <c r="F2108" s="36" t="s">
        <v>20</v>
      </c>
      <c r="G2108" s="36"/>
      <c r="H2108" s="36"/>
      <c r="I2108" s="36"/>
      <c r="J2108" s="36" t="s">
        <v>343</v>
      </c>
    </row>
    <row r="2109" spans="1:10" x14ac:dyDescent="0.3">
      <c r="A2109" s="36" t="s">
        <v>344</v>
      </c>
      <c r="B2109" s="37">
        <v>2.5999999999999998E-10</v>
      </c>
      <c r="C2109" s="36" t="s">
        <v>31</v>
      </c>
      <c r="D2109" s="36" t="s">
        <v>7</v>
      </c>
      <c r="E2109" s="36"/>
      <c r="F2109" s="36" t="s">
        <v>20</v>
      </c>
      <c r="G2109" s="36"/>
      <c r="H2109" s="36"/>
      <c r="I2109" s="36"/>
      <c r="J2109" s="36" t="s">
        <v>345</v>
      </c>
    </row>
    <row r="2110" spans="1:10" x14ac:dyDescent="0.3">
      <c r="A2110" s="36" t="s">
        <v>346</v>
      </c>
      <c r="B2110" s="37">
        <v>-6.2700000000000001E-6</v>
      </c>
      <c r="C2110" s="36" t="s">
        <v>31</v>
      </c>
      <c r="D2110" s="36" t="s">
        <v>8</v>
      </c>
      <c r="E2110" s="36"/>
      <c r="F2110" s="36" t="s">
        <v>20</v>
      </c>
      <c r="G2110" s="36"/>
      <c r="H2110" s="36"/>
      <c r="I2110" s="36"/>
      <c r="J2110" s="36" t="s">
        <v>347</v>
      </c>
    </row>
    <row r="2111" spans="1:10" x14ac:dyDescent="0.3">
      <c r="A2111" s="36" t="s">
        <v>348</v>
      </c>
      <c r="B2111" s="37">
        <v>-7.4999999999999993E-5</v>
      </c>
      <c r="C2111" s="36" t="s">
        <v>31</v>
      </c>
      <c r="D2111" s="36" t="s">
        <v>121</v>
      </c>
      <c r="E2111" s="36"/>
      <c r="F2111" s="36" t="s">
        <v>20</v>
      </c>
      <c r="G2111" s="36"/>
      <c r="H2111" s="36"/>
      <c r="I2111" s="36"/>
      <c r="J2111" s="36" t="s">
        <v>349</v>
      </c>
    </row>
    <row r="2112" spans="1:10" x14ac:dyDescent="0.3">
      <c r="A2112" s="36" t="s">
        <v>350</v>
      </c>
      <c r="B2112" s="37">
        <v>6.8900000000000005E-4</v>
      </c>
      <c r="C2112" s="36" t="s">
        <v>31</v>
      </c>
      <c r="D2112" s="36" t="s">
        <v>8</v>
      </c>
      <c r="E2112" s="36"/>
      <c r="F2112" s="36" t="s">
        <v>20</v>
      </c>
      <c r="G2112" s="36"/>
      <c r="H2112" s="36"/>
      <c r="I2112" s="36"/>
      <c r="J2112" s="36" t="s">
        <v>351</v>
      </c>
    </row>
    <row r="2113" spans="1:10" x14ac:dyDescent="0.3">
      <c r="A2113" s="36" t="s">
        <v>100</v>
      </c>
      <c r="B2113" s="37">
        <v>3.3599999999999998E-2</v>
      </c>
      <c r="C2113" s="36" t="s">
        <v>31</v>
      </c>
      <c r="D2113" s="36" t="s">
        <v>41</v>
      </c>
      <c r="E2113" s="36"/>
      <c r="F2113" s="36" t="s">
        <v>20</v>
      </c>
      <c r="G2113" s="36"/>
      <c r="H2113" s="36"/>
      <c r="I2113" s="36"/>
      <c r="J2113" s="36" t="s">
        <v>103</v>
      </c>
    </row>
    <row r="2114" spans="1:10" x14ac:dyDescent="0.3">
      <c r="A2114" s="36" t="s">
        <v>352</v>
      </c>
      <c r="B2114" s="37">
        <v>3.2599999999999997E-2</v>
      </c>
      <c r="C2114" s="36" t="s">
        <v>581</v>
      </c>
      <c r="D2114" s="36" t="s">
        <v>41</v>
      </c>
      <c r="E2114" s="36"/>
      <c r="F2114" s="36" t="s">
        <v>20</v>
      </c>
      <c r="G2114" s="36"/>
      <c r="H2114" s="36"/>
      <c r="I2114" s="36"/>
      <c r="J2114" s="36" t="s">
        <v>353</v>
      </c>
    </row>
    <row r="2115" spans="1:10" x14ac:dyDescent="0.3">
      <c r="A2115" s="36" t="s">
        <v>354</v>
      </c>
      <c r="B2115" s="37">
        <v>-6.8899999999999999E-7</v>
      </c>
      <c r="C2115" s="36" t="s">
        <v>31</v>
      </c>
      <c r="D2115" s="36" t="s">
        <v>121</v>
      </c>
      <c r="E2115" s="36"/>
      <c r="F2115" s="36" t="s">
        <v>20</v>
      </c>
      <c r="G2115" s="36"/>
      <c r="H2115" s="36"/>
      <c r="I2115" s="36"/>
      <c r="J2115" s="36" t="s">
        <v>355</v>
      </c>
    </row>
    <row r="2117" spans="1:10" ht="15.6" x14ac:dyDescent="0.3">
      <c r="A2117" s="1" t="s">
        <v>1</v>
      </c>
      <c r="B2117" s="73" t="s">
        <v>568</v>
      </c>
    </row>
    <row r="2118" spans="1:10" x14ac:dyDescent="0.3">
      <c r="A2118" t="s">
        <v>2</v>
      </c>
      <c r="B2118" s="6" t="s">
        <v>1050</v>
      </c>
    </row>
    <row r="2119" spans="1:10" x14ac:dyDescent="0.3">
      <c r="A2119" t="s">
        <v>3</v>
      </c>
      <c r="B2119" s="6">
        <v>1</v>
      </c>
    </row>
    <row r="2120" spans="1:10" ht="15.6" x14ac:dyDescent="0.3">
      <c r="A2120" t="s">
        <v>4</v>
      </c>
      <c r="B2120" s="74" t="s">
        <v>337</v>
      </c>
    </row>
    <row r="2121" spans="1:10" x14ac:dyDescent="0.3">
      <c r="A2121" t="s">
        <v>5</v>
      </c>
      <c r="B2121" s="6" t="s">
        <v>6</v>
      </c>
    </row>
    <row r="2122" spans="1:10" x14ac:dyDescent="0.3">
      <c r="A2122" t="s">
        <v>7</v>
      </c>
      <c r="B2122" s="6" t="s">
        <v>8</v>
      </c>
    </row>
    <row r="2123" spans="1:10" x14ac:dyDescent="0.3">
      <c r="A2123" t="s">
        <v>9</v>
      </c>
      <c r="B2123" s="6" t="s">
        <v>393</v>
      </c>
    </row>
    <row r="2124" spans="1:10" x14ac:dyDescent="0.3">
      <c r="A2124" t="s">
        <v>11</v>
      </c>
      <c r="B2124" s="6" t="s">
        <v>362</v>
      </c>
    </row>
    <row r="2125" spans="1:10" ht="15.6" x14ac:dyDescent="0.3">
      <c r="A2125" s="1" t="s">
        <v>12</v>
      </c>
    </row>
    <row r="2126" spans="1:10" x14ac:dyDescent="0.3">
      <c r="A2126" t="s">
        <v>13</v>
      </c>
      <c r="B2126" s="6" t="s">
        <v>14</v>
      </c>
      <c r="C2126" t="s">
        <v>2</v>
      </c>
      <c r="D2126" t="s">
        <v>7</v>
      </c>
      <c r="E2126" t="s">
        <v>15</v>
      </c>
      <c r="F2126" t="s">
        <v>5</v>
      </c>
      <c r="G2126" t="s">
        <v>338</v>
      </c>
      <c r="H2126" t="s">
        <v>339</v>
      </c>
      <c r="I2126" t="s">
        <v>11</v>
      </c>
      <c r="J2126" t="s">
        <v>4</v>
      </c>
    </row>
    <row r="2127" spans="1:10" x14ac:dyDescent="0.3">
      <c r="A2127" s="36" t="s">
        <v>568</v>
      </c>
      <c r="B2127" s="37">
        <v>1</v>
      </c>
      <c r="C2127" t="s">
        <v>1050</v>
      </c>
      <c r="D2127" s="36" t="s">
        <v>8</v>
      </c>
      <c r="E2127" s="36"/>
      <c r="F2127" s="36" t="s">
        <v>17</v>
      </c>
      <c r="G2127" s="36"/>
      <c r="H2127" s="36"/>
      <c r="I2127" s="36" t="s">
        <v>18</v>
      </c>
      <c r="J2127" s="36" t="s">
        <v>337</v>
      </c>
    </row>
    <row r="2128" spans="1:10" ht="15.6" x14ac:dyDescent="0.3">
      <c r="A2128" s="2" t="s">
        <v>557</v>
      </c>
      <c r="B2128" s="6">
        <v>1.00057</v>
      </c>
      <c r="C2128" t="s">
        <v>1050</v>
      </c>
      <c r="D2128" t="s">
        <v>8</v>
      </c>
      <c r="F2128" s="36" t="s">
        <v>20</v>
      </c>
      <c r="G2128" t="s">
        <v>18</v>
      </c>
      <c r="I2128" s="36"/>
      <c r="J2128" s="2" t="s">
        <v>430</v>
      </c>
    </row>
    <row r="2129" spans="1:10" x14ac:dyDescent="0.3">
      <c r="A2129" s="36" t="s">
        <v>28</v>
      </c>
      <c r="B2129" s="37">
        <v>6.7000000000000002E-3</v>
      </c>
      <c r="C2129" t="s">
        <v>1051</v>
      </c>
      <c r="D2129" s="36" t="s">
        <v>29</v>
      </c>
      <c r="E2129" s="36"/>
      <c r="F2129" s="36" t="s">
        <v>20</v>
      </c>
      <c r="G2129" s="36"/>
      <c r="H2129" s="36"/>
      <c r="I2129" s="36"/>
      <c r="J2129" s="36" t="s">
        <v>30</v>
      </c>
    </row>
    <row r="2130" spans="1:10" x14ac:dyDescent="0.3">
      <c r="A2130" s="36" t="s">
        <v>340</v>
      </c>
      <c r="B2130" s="37">
        <v>-1.6799999999999999E-4</v>
      </c>
      <c r="C2130" s="36" t="s">
        <v>31</v>
      </c>
      <c r="D2130" s="36" t="s">
        <v>8</v>
      </c>
      <c r="E2130" s="36"/>
      <c r="F2130" s="36" t="s">
        <v>20</v>
      </c>
      <c r="G2130" s="36"/>
      <c r="H2130" s="36"/>
      <c r="I2130" s="36"/>
      <c r="J2130" s="36" t="s">
        <v>341</v>
      </c>
    </row>
    <row r="2131" spans="1:10" x14ac:dyDescent="0.3">
      <c r="A2131" s="36" t="s">
        <v>342</v>
      </c>
      <c r="B2131" s="37">
        <v>5.8399999999999999E-4</v>
      </c>
      <c r="C2131" s="36" t="s">
        <v>31</v>
      </c>
      <c r="D2131" s="36" t="s">
        <v>19</v>
      </c>
      <c r="E2131" s="36"/>
      <c r="F2131" s="36" t="s">
        <v>20</v>
      </c>
      <c r="G2131" s="36"/>
      <c r="H2131" s="36"/>
      <c r="I2131" s="36"/>
      <c r="J2131" s="36" t="s">
        <v>343</v>
      </c>
    </row>
    <row r="2132" spans="1:10" x14ac:dyDescent="0.3">
      <c r="A2132" s="36" t="s">
        <v>344</v>
      </c>
      <c r="B2132" s="37">
        <v>2.5999999999999998E-10</v>
      </c>
      <c r="C2132" s="36" t="s">
        <v>31</v>
      </c>
      <c r="D2132" s="36" t="s">
        <v>7</v>
      </c>
      <c r="E2132" s="36"/>
      <c r="F2132" s="36" t="s">
        <v>20</v>
      </c>
      <c r="G2132" s="36"/>
      <c r="H2132" s="36"/>
      <c r="I2132" s="36"/>
      <c r="J2132" s="36" t="s">
        <v>345</v>
      </c>
    </row>
    <row r="2133" spans="1:10" x14ac:dyDescent="0.3">
      <c r="A2133" s="36" t="s">
        <v>346</v>
      </c>
      <c r="B2133" s="37">
        <v>-6.2700000000000001E-6</v>
      </c>
      <c r="C2133" s="36" t="s">
        <v>31</v>
      </c>
      <c r="D2133" s="36" t="s">
        <v>8</v>
      </c>
      <c r="E2133" s="36"/>
      <c r="F2133" s="36" t="s">
        <v>20</v>
      </c>
      <c r="G2133" s="36"/>
      <c r="H2133" s="36"/>
      <c r="I2133" s="36"/>
      <c r="J2133" s="36" t="s">
        <v>347</v>
      </c>
    </row>
    <row r="2134" spans="1:10" x14ac:dyDescent="0.3">
      <c r="A2134" s="36" t="s">
        <v>348</v>
      </c>
      <c r="B2134" s="37">
        <v>-7.4999999999999993E-5</v>
      </c>
      <c r="C2134" s="36" t="s">
        <v>31</v>
      </c>
      <c r="D2134" s="36" t="s">
        <v>121</v>
      </c>
      <c r="E2134" s="36"/>
      <c r="F2134" s="36" t="s">
        <v>20</v>
      </c>
      <c r="G2134" s="36"/>
      <c r="H2134" s="36"/>
      <c r="I2134" s="36"/>
      <c r="J2134" s="36" t="s">
        <v>349</v>
      </c>
    </row>
    <row r="2135" spans="1:10" x14ac:dyDescent="0.3">
      <c r="A2135" s="36" t="s">
        <v>350</v>
      </c>
      <c r="B2135" s="37">
        <v>6.8900000000000005E-4</v>
      </c>
      <c r="C2135" s="36" t="s">
        <v>31</v>
      </c>
      <c r="D2135" s="36" t="s">
        <v>8</v>
      </c>
      <c r="E2135" s="36"/>
      <c r="F2135" s="36" t="s">
        <v>20</v>
      </c>
      <c r="G2135" s="36"/>
      <c r="H2135" s="36"/>
      <c r="I2135" s="36"/>
      <c r="J2135" s="36" t="s">
        <v>351</v>
      </c>
    </row>
    <row r="2136" spans="1:10" x14ac:dyDescent="0.3">
      <c r="A2136" s="36" t="s">
        <v>100</v>
      </c>
      <c r="B2136" s="37">
        <v>3.3599999999999998E-2</v>
      </c>
      <c r="C2136" s="36" t="s">
        <v>31</v>
      </c>
      <c r="D2136" s="36" t="s">
        <v>41</v>
      </c>
      <c r="E2136" s="36"/>
      <c r="F2136" s="36" t="s">
        <v>20</v>
      </c>
      <c r="G2136" s="36"/>
      <c r="H2136" s="36"/>
      <c r="I2136" s="36"/>
      <c r="J2136" s="36" t="s">
        <v>103</v>
      </c>
    </row>
    <row r="2137" spans="1:10" x14ac:dyDescent="0.3">
      <c r="A2137" s="36" t="s">
        <v>352</v>
      </c>
      <c r="B2137" s="37">
        <v>3.2599999999999997E-2</v>
      </c>
      <c r="C2137" s="36" t="s">
        <v>581</v>
      </c>
      <c r="D2137" s="36" t="s">
        <v>41</v>
      </c>
      <c r="E2137" s="36"/>
      <c r="F2137" s="36" t="s">
        <v>20</v>
      </c>
      <c r="G2137" s="36"/>
      <c r="H2137" s="36"/>
      <c r="I2137" s="36"/>
      <c r="J2137" s="36" t="s">
        <v>353</v>
      </c>
    </row>
    <row r="2138" spans="1:10" x14ac:dyDescent="0.3">
      <c r="A2138" s="36" t="s">
        <v>354</v>
      </c>
      <c r="B2138" s="37">
        <v>-6.8899999999999999E-7</v>
      </c>
      <c r="C2138" s="36" t="s">
        <v>31</v>
      </c>
      <c r="D2138" s="36" t="s">
        <v>121</v>
      </c>
      <c r="E2138" s="36"/>
      <c r="F2138" s="36" t="s">
        <v>20</v>
      </c>
      <c r="G2138" s="36"/>
      <c r="H2138" s="36"/>
      <c r="I2138" s="36"/>
      <c r="J2138" s="36" t="s">
        <v>355</v>
      </c>
    </row>
    <row r="2140" spans="1:10" ht="15.6" x14ac:dyDescent="0.3">
      <c r="A2140" s="1" t="s">
        <v>1</v>
      </c>
      <c r="B2140" s="73" t="s">
        <v>569</v>
      </c>
    </row>
    <row r="2141" spans="1:10" x14ac:dyDescent="0.3">
      <c r="A2141" t="s">
        <v>2</v>
      </c>
      <c r="B2141" s="6" t="s">
        <v>1050</v>
      </c>
    </row>
    <row r="2142" spans="1:10" x14ac:dyDescent="0.3">
      <c r="A2142" t="s">
        <v>3</v>
      </c>
      <c r="B2142" s="6">
        <v>1</v>
      </c>
    </row>
    <row r="2143" spans="1:10" ht="15.6" x14ac:dyDescent="0.3">
      <c r="A2143" t="s">
        <v>4</v>
      </c>
      <c r="B2143" s="74" t="s">
        <v>337</v>
      </c>
    </row>
    <row r="2144" spans="1:10" x14ac:dyDescent="0.3">
      <c r="A2144" t="s">
        <v>5</v>
      </c>
      <c r="B2144" s="6" t="s">
        <v>6</v>
      </c>
    </row>
    <row r="2145" spans="1:10" x14ac:dyDescent="0.3">
      <c r="A2145" t="s">
        <v>7</v>
      </c>
      <c r="B2145" s="6" t="s">
        <v>8</v>
      </c>
    </row>
    <row r="2146" spans="1:10" x14ac:dyDescent="0.3">
      <c r="A2146" t="s">
        <v>9</v>
      </c>
      <c r="B2146" s="6" t="s">
        <v>393</v>
      </c>
    </row>
    <row r="2147" spans="1:10" x14ac:dyDescent="0.3">
      <c r="A2147" t="s">
        <v>11</v>
      </c>
      <c r="B2147" s="6" t="s">
        <v>361</v>
      </c>
    </row>
    <row r="2148" spans="1:10" ht="15.6" x14ac:dyDescent="0.3">
      <c r="A2148" s="1" t="s">
        <v>12</v>
      </c>
    </row>
    <row r="2149" spans="1:10" x14ac:dyDescent="0.3">
      <c r="A2149" t="s">
        <v>13</v>
      </c>
      <c r="B2149" s="6" t="s">
        <v>14</v>
      </c>
      <c r="C2149" t="s">
        <v>2</v>
      </c>
      <c r="D2149" t="s">
        <v>7</v>
      </c>
      <c r="E2149" t="s">
        <v>15</v>
      </c>
      <c r="F2149" t="s">
        <v>5</v>
      </c>
      <c r="G2149" t="s">
        <v>338</v>
      </c>
      <c r="H2149" t="s">
        <v>339</v>
      </c>
      <c r="I2149" t="s">
        <v>11</v>
      </c>
      <c r="J2149" t="s">
        <v>4</v>
      </c>
    </row>
    <row r="2150" spans="1:10" x14ac:dyDescent="0.3">
      <c r="A2150" s="36" t="s">
        <v>569</v>
      </c>
      <c r="B2150" s="37">
        <v>1</v>
      </c>
      <c r="C2150" t="s">
        <v>1050</v>
      </c>
      <c r="D2150" s="36" t="s">
        <v>8</v>
      </c>
      <c r="E2150" s="36"/>
      <c r="F2150" s="36" t="s">
        <v>17</v>
      </c>
      <c r="G2150" s="36"/>
      <c r="H2150" s="36"/>
      <c r="I2150" s="36" t="s">
        <v>18</v>
      </c>
      <c r="J2150" s="36" t="s">
        <v>337</v>
      </c>
    </row>
    <row r="2151" spans="1:10" ht="15.6" x14ac:dyDescent="0.3">
      <c r="A2151" s="2" t="s">
        <v>558</v>
      </c>
      <c r="B2151" s="6">
        <v>1.00057</v>
      </c>
      <c r="C2151" t="s">
        <v>1050</v>
      </c>
      <c r="D2151" t="s">
        <v>8</v>
      </c>
      <c r="F2151" s="36" t="s">
        <v>20</v>
      </c>
      <c r="G2151" t="s">
        <v>18</v>
      </c>
      <c r="I2151" s="36"/>
      <c r="J2151" s="2" t="s">
        <v>430</v>
      </c>
    </row>
    <row r="2152" spans="1:10" x14ac:dyDescent="0.3">
      <c r="A2152" s="36" t="s">
        <v>28</v>
      </c>
      <c r="B2152" s="37">
        <v>6.7000000000000002E-3</v>
      </c>
      <c r="C2152" t="s">
        <v>1051</v>
      </c>
      <c r="D2152" s="36" t="s">
        <v>29</v>
      </c>
      <c r="E2152" s="36"/>
      <c r="F2152" s="36" t="s">
        <v>20</v>
      </c>
      <c r="G2152" s="36"/>
      <c r="H2152" s="36"/>
      <c r="I2152" s="36"/>
      <c r="J2152" s="36" t="s">
        <v>30</v>
      </c>
    </row>
    <row r="2153" spans="1:10" x14ac:dyDescent="0.3">
      <c r="A2153" s="36" t="s">
        <v>340</v>
      </c>
      <c r="B2153" s="37">
        <v>-1.6799999999999999E-4</v>
      </c>
      <c r="C2153" s="36" t="s">
        <v>31</v>
      </c>
      <c r="D2153" s="36" t="s">
        <v>8</v>
      </c>
      <c r="E2153" s="36"/>
      <c r="F2153" s="36" t="s">
        <v>20</v>
      </c>
      <c r="G2153" s="36"/>
      <c r="H2153" s="36"/>
      <c r="I2153" s="36"/>
      <c r="J2153" s="36" t="s">
        <v>341</v>
      </c>
    </row>
    <row r="2154" spans="1:10" x14ac:dyDescent="0.3">
      <c r="A2154" s="36" t="s">
        <v>342</v>
      </c>
      <c r="B2154" s="37">
        <v>5.8399999999999999E-4</v>
      </c>
      <c r="C2154" s="36" t="s">
        <v>31</v>
      </c>
      <c r="D2154" s="36" t="s">
        <v>19</v>
      </c>
      <c r="E2154" s="36"/>
      <c r="F2154" s="36" t="s">
        <v>20</v>
      </c>
      <c r="G2154" s="36"/>
      <c r="H2154" s="36"/>
      <c r="I2154" s="36"/>
      <c r="J2154" s="36" t="s">
        <v>343</v>
      </c>
    </row>
    <row r="2155" spans="1:10" x14ac:dyDescent="0.3">
      <c r="A2155" s="36" t="s">
        <v>344</v>
      </c>
      <c r="B2155" s="37">
        <v>2.5999999999999998E-10</v>
      </c>
      <c r="C2155" s="36" t="s">
        <v>31</v>
      </c>
      <c r="D2155" s="36" t="s">
        <v>7</v>
      </c>
      <c r="E2155" s="36"/>
      <c r="F2155" s="36" t="s">
        <v>20</v>
      </c>
      <c r="G2155" s="36"/>
      <c r="H2155" s="36"/>
      <c r="I2155" s="36"/>
      <c r="J2155" s="36" t="s">
        <v>345</v>
      </c>
    </row>
    <row r="2156" spans="1:10" x14ac:dyDescent="0.3">
      <c r="A2156" s="36" t="s">
        <v>346</v>
      </c>
      <c r="B2156" s="37">
        <v>-6.2700000000000001E-6</v>
      </c>
      <c r="C2156" s="36" t="s">
        <v>31</v>
      </c>
      <c r="D2156" s="36" t="s">
        <v>8</v>
      </c>
      <c r="E2156" s="36"/>
      <c r="F2156" s="36" t="s">
        <v>20</v>
      </c>
      <c r="G2156" s="36"/>
      <c r="H2156" s="36"/>
      <c r="I2156" s="36"/>
      <c r="J2156" s="36" t="s">
        <v>347</v>
      </c>
    </row>
    <row r="2157" spans="1:10" x14ac:dyDescent="0.3">
      <c r="A2157" s="36" t="s">
        <v>348</v>
      </c>
      <c r="B2157" s="37">
        <v>-7.4999999999999993E-5</v>
      </c>
      <c r="C2157" s="36" t="s">
        <v>31</v>
      </c>
      <c r="D2157" s="36" t="s">
        <v>121</v>
      </c>
      <c r="E2157" s="36"/>
      <c r="F2157" s="36" t="s">
        <v>20</v>
      </c>
      <c r="G2157" s="36"/>
      <c r="H2157" s="36"/>
      <c r="I2157" s="36"/>
      <c r="J2157" s="36" t="s">
        <v>349</v>
      </c>
    </row>
    <row r="2158" spans="1:10" x14ac:dyDescent="0.3">
      <c r="A2158" s="36" t="s">
        <v>350</v>
      </c>
      <c r="B2158" s="37">
        <v>6.8900000000000005E-4</v>
      </c>
      <c r="C2158" s="36" t="s">
        <v>31</v>
      </c>
      <c r="D2158" s="36" t="s">
        <v>8</v>
      </c>
      <c r="E2158" s="36"/>
      <c r="F2158" s="36" t="s">
        <v>20</v>
      </c>
      <c r="G2158" s="36"/>
      <c r="H2158" s="36"/>
      <c r="I2158" s="36"/>
      <c r="J2158" s="36" t="s">
        <v>351</v>
      </c>
    </row>
    <row r="2159" spans="1:10" x14ac:dyDescent="0.3">
      <c r="A2159" s="36" t="s">
        <v>100</v>
      </c>
      <c r="B2159" s="37">
        <v>3.3599999999999998E-2</v>
      </c>
      <c r="C2159" s="36" t="s">
        <v>31</v>
      </c>
      <c r="D2159" s="36" t="s">
        <v>41</v>
      </c>
      <c r="E2159" s="36"/>
      <c r="F2159" s="36" t="s">
        <v>20</v>
      </c>
      <c r="G2159" s="36"/>
      <c r="H2159" s="36"/>
      <c r="I2159" s="36"/>
      <c r="J2159" s="36" t="s">
        <v>103</v>
      </c>
    </row>
    <row r="2160" spans="1:10" x14ac:dyDescent="0.3">
      <c r="A2160" s="36" t="s">
        <v>352</v>
      </c>
      <c r="B2160" s="37">
        <v>3.2599999999999997E-2</v>
      </c>
      <c r="C2160" s="36" t="s">
        <v>581</v>
      </c>
      <c r="D2160" s="36" t="s">
        <v>41</v>
      </c>
      <c r="E2160" s="36"/>
      <c r="F2160" s="36" t="s">
        <v>20</v>
      </c>
      <c r="G2160" s="36"/>
      <c r="H2160" s="36"/>
      <c r="I2160" s="36"/>
      <c r="J2160" s="36" t="s">
        <v>353</v>
      </c>
    </row>
    <row r="2161" spans="1:10" x14ac:dyDescent="0.3">
      <c r="A2161" s="36" t="s">
        <v>354</v>
      </c>
      <c r="B2161" s="37">
        <v>-6.8899999999999999E-7</v>
      </c>
      <c r="C2161" s="36" t="s">
        <v>31</v>
      </c>
      <c r="D2161" s="36" t="s">
        <v>121</v>
      </c>
      <c r="E2161" s="36"/>
      <c r="F2161" s="36" t="s">
        <v>20</v>
      </c>
      <c r="G2161" s="36"/>
      <c r="H2161" s="36"/>
      <c r="I2161" s="36"/>
      <c r="J2161" s="36" t="s">
        <v>355</v>
      </c>
    </row>
    <row r="2163" spans="1:10" ht="15.6" x14ac:dyDescent="0.3">
      <c r="A2163" s="1" t="s">
        <v>1</v>
      </c>
      <c r="B2163" s="73" t="s">
        <v>570</v>
      </c>
    </row>
    <row r="2164" spans="1:10" x14ac:dyDescent="0.3">
      <c r="A2164" t="s">
        <v>2</v>
      </c>
      <c r="B2164" s="6" t="s">
        <v>1050</v>
      </c>
    </row>
    <row r="2165" spans="1:10" x14ac:dyDescent="0.3">
      <c r="A2165" t="s">
        <v>3</v>
      </c>
      <c r="B2165" s="6">
        <v>1</v>
      </c>
    </row>
    <row r="2166" spans="1:10" ht="15.6" x14ac:dyDescent="0.3">
      <c r="A2166" t="s">
        <v>4</v>
      </c>
      <c r="B2166" s="74" t="s">
        <v>337</v>
      </c>
    </row>
    <row r="2167" spans="1:10" x14ac:dyDescent="0.3">
      <c r="A2167" t="s">
        <v>5</v>
      </c>
      <c r="B2167" s="6" t="s">
        <v>6</v>
      </c>
    </row>
    <row r="2168" spans="1:10" x14ac:dyDescent="0.3">
      <c r="A2168" t="s">
        <v>7</v>
      </c>
      <c r="B2168" s="6" t="s">
        <v>8</v>
      </c>
    </row>
    <row r="2169" spans="1:10" x14ac:dyDescent="0.3">
      <c r="A2169" t="s">
        <v>9</v>
      </c>
      <c r="B2169" s="6" t="s">
        <v>393</v>
      </c>
    </row>
    <row r="2170" spans="1:10" x14ac:dyDescent="0.3">
      <c r="A2170" t="s">
        <v>11</v>
      </c>
      <c r="B2170" s="6" t="s">
        <v>507</v>
      </c>
    </row>
    <row r="2171" spans="1:10" ht="15.6" x14ac:dyDescent="0.3">
      <c r="A2171" s="1" t="s">
        <v>12</v>
      </c>
    </row>
    <row r="2172" spans="1:10" x14ac:dyDescent="0.3">
      <c r="A2172" t="s">
        <v>13</v>
      </c>
      <c r="B2172" s="6" t="s">
        <v>14</v>
      </c>
      <c r="C2172" t="s">
        <v>2</v>
      </c>
      <c r="D2172" t="s">
        <v>7</v>
      </c>
      <c r="E2172" t="s">
        <v>15</v>
      </c>
      <c r="F2172" t="s">
        <v>5</v>
      </c>
      <c r="G2172" t="s">
        <v>338</v>
      </c>
      <c r="H2172" t="s">
        <v>339</v>
      </c>
      <c r="I2172" t="s">
        <v>11</v>
      </c>
      <c r="J2172" t="s">
        <v>4</v>
      </c>
    </row>
    <row r="2173" spans="1:10" x14ac:dyDescent="0.3">
      <c r="A2173" s="36" t="s">
        <v>570</v>
      </c>
      <c r="B2173" s="37">
        <v>1</v>
      </c>
      <c r="C2173" t="s">
        <v>1050</v>
      </c>
      <c r="D2173" s="36" t="s">
        <v>8</v>
      </c>
      <c r="E2173" s="36"/>
      <c r="F2173" s="36" t="s">
        <v>17</v>
      </c>
      <c r="G2173" s="36"/>
      <c r="H2173" s="36"/>
      <c r="I2173" s="36" t="s">
        <v>18</v>
      </c>
      <c r="J2173" s="36" t="s">
        <v>337</v>
      </c>
    </row>
    <row r="2174" spans="1:10" ht="15.6" x14ac:dyDescent="0.3">
      <c r="A2174" s="2" t="s">
        <v>559</v>
      </c>
      <c r="B2174" s="6">
        <v>1.00057</v>
      </c>
      <c r="C2174" t="s">
        <v>1050</v>
      </c>
      <c r="D2174" t="s">
        <v>8</v>
      </c>
      <c r="F2174" s="36" t="s">
        <v>20</v>
      </c>
      <c r="G2174" t="s">
        <v>18</v>
      </c>
      <c r="I2174" s="36"/>
      <c r="J2174" s="2" t="s">
        <v>430</v>
      </c>
    </row>
    <row r="2175" spans="1:10" x14ac:dyDescent="0.3">
      <c r="A2175" s="36" t="s">
        <v>28</v>
      </c>
      <c r="B2175" s="37">
        <v>6.7000000000000002E-3</v>
      </c>
      <c r="C2175" t="s">
        <v>1051</v>
      </c>
      <c r="D2175" s="36" t="s">
        <v>29</v>
      </c>
      <c r="E2175" s="36"/>
      <c r="F2175" s="36" t="s">
        <v>20</v>
      </c>
      <c r="G2175" s="36"/>
      <c r="H2175" s="36"/>
      <c r="I2175" s="36"/>
      <c r="J2175" s="36" t="s">
        <v>30</v>
      </c>
    </row>
    <row r="2176" spans="1:10" x14ac:dyDescent="0.3">
      <c r="A2176" s="36" t="s">
        <v>340</v>
      </c>
      <c r="B2176" s="37">
        <v>-1.6799999999999999E-4</v>
      </c>
      <c r="C2176" s="36" t="s">
        <v>31</v>
      </c>
      <c r="D2176" s="36" t="s">
        <v>8</v>
      </c>
      <c r="E2176" s="36"/>
      <c r="F2176" s="36" t="s">
        <v>20</v>
      </c>
      <c r="G2176" s="36"/>
      <c r="H2176" s="36"/>
      <c r="I2176" s="36"/>
      <c r="J2176" s="36" t="s">
        <v>341</v>
      </c>
    </row>
    <row r="2177" spans="1:10" x14ac:dyDescent="0.3">
      <c r="A2177" s="36" t="s">
        <v>342</v>
      </c>
      <c r="B2177" s="37">
        <v>5.8399999999999999E-4</v>
      </c>
      <c r="C2177" s="36" t="s">
        <v>31</v>
      </c>
      <c r="D2177" s="36" t="s">
        <v>19</v>
      </c>
      <c r="E2177" s="36"/>
      <c r="F2177" s="36" t="s">
        <v>20</v>
      </c>
      <c r="G2177" s="36"/>
      <c r="H2177" s="36"/>
      <c r="I2177" s="36"/>
      <c r="J2177" s="36" t="s">
        <v>343</v>
      </c>
    </row>
    <row r="2178" spans="1:10" x14ac:dyDescent="0.3">
      <c r="A2178" s="36" t="s">
        <v>344</v>
      </c>
      <c r="B2178" s="37">
        <v>2.5999999999999998E-10</v>
      </c>
      <c r="C2178" s="36" t="s">
        <v>31</v>
      </c>
      <c r="D2178" s="36" t="s">
        <v>7</v>
      </c>
      <c r="E2178" s="36"/>
      <c r="F2178" s="36" t="s">
        <v>20</v>
      </c>
      <c r="G2178" s="36"/>
      <c r="H2178" s="36"/>
      <c r="I2178" s="36"/>
      <c r="J2178" s="36" t="s">
        <v>345</v>
      </c>
    </row>
    <row r="2179" spans="1:10" x14ac:dyDescent="0.3">
      <c r="A2179" s="36" t="s">
        <v>346</v>
      </c>
      <c r="B2179" s="37">
        <v>-6.2700000000000001E-6</v>
      </c>
      <c r="C2179" s="36" t="s">
        <v>31</v>
      </c>
      <c r="D2179" s="36" t="s">
        <v>8</v>
      </c>
      <c r="E2179" s="36"/>
      <c r="F2179" s="36" t="s">
        <v>20</v>
      </c>
      <c r="G2179" s="36"/>
      <c r="H2179" s="36"/>
      <c r="I2179" s="36"/>
      <c r="J2179" s="36" t="s">
        <v>347</v>
      </c>
    </row>
    <row r="2180" spans="1:10" x14ac:dyDescent="0.3">
      <c r="A2180" s="36" t="s">
        <v>348</v>
      </c>
      <c r="B2180" s="37">
        <v>-7.4999999999999993E-5</v>
      </c>
      <c r="C2180" s="36" t="s">
        <v>31</v>
      </c>
      <c r="D2180" s="36" t="s">
        <v>121</v>
      </c>
      <c r="E2180" s="36"/>
      <c r="F2180" s="36" t="s">
        <v>20</v>
      </c>
      <c r="G2180" s="36"/>
      <c r="H2180" s="36"/>
      <c r="I2180" s="36"/>
      <c r="J2180" s="36" t="s">
        <v>349</v>
      </c>
    </row>
    <row r="2181" spans="1:10" x14ac:dyDescent="0.3">
      <c r="A2181" s="36" t="s">
        <v>350</v>
      </c>
      <c r="B2181" s="37">
        <v>6.8900000000000005E-4</v>
      </c>
      <c r="C2181" s="36" t="s">
        <v>31</v>
      </c>
      <c r="D2181" s="36" t="s">
        <v>8</v>
      </c>
      <c r="E2181" s="36"/>
      <c r="F2181" s="36" t="s">
        <v>20</v>
      </c>
      <c r="G2181" s="36"/>
      <c r="H2181" s="36"/>
      <c r="I2181" s="36"/>
      <c r="J2181" s="36" t="s">
        <v>351</v>
      </c>
    </row>
    <row r="2182" spans="1:10" x14ac:dyDescent="0.3">
      <c r="A2182" s="36" t="s">
        <v>100</v>
      </c>
      <c r="B2182" s="37">
        <v>3.3599999999999998E-2</v>
      </c>
      <c r="C2182" s="36" t="s">
        <v>31</v>
      </c>
      <c r="D2182" s="36" t="s">
        <v>41</v>
      </c>
      <c r="E2182" s="36"/>
      <c r="F2182" s="36" t="s">
        <v>20</v>
      </c>
      <c r="G2182" s="36"/>
      <c r="H2182" s="36"/>
      <c r="I2182" s="36"/>
      <c r="J2182" s="36" t="s">
        <v>103</v>
      </c>
    </row>
    <row r="2183" spans="1:10" x14ac:dyDescent="0.3">
      <c r="A2183" s="36" t="s">
        <v>352</v>
      </c>
      <c r="B2183" s="37">
        <v>3.2599999999999997E-2</v>
      </c>
      <c r="C2183" s="36" t="s">
        <v>581</v>
      </c>
      <c r="D2183" s="36" t="s">
        <v>41</v>
      </c>
      <c r="E2183" s="36"/>
      <c r="F2183" s="36" t="s">
        <v>20</v>
      </c>
      <c r="G2183" s="36"/>
      <c r="H2183" s="36"/>
      <c r="I2183" s="36"/>
      <c r="J2183" s="36" t="s">
        <v>353</v>
      </c>
    </row>
    <row r="2184" spans="1:10" x14ac:dyDescent="0.3">
      <c r="A2184" s="36" t="s">
        <v>354</v>
      </c>
      <c r="B2184" s="37">
        <v>-6.8899999999999999E-7</v>
      </c>
      <c r="C2184" s="36" t="s">
        <v>31</v>
      </c>
      <c r="D2184" s="36" t="s">
        <v>121</v>
      </c>
      <c r="E2184" s="36"/>
      <c r="F2184" s="36" t="s">
        <v>20</v>
      </c>
      <c r="G2184" s="36"/>
      <c r="H2184" s="36"/>
      <c r="I2184" s="36"/>
      <c r="J2184" s="36" t="s">
        <v>355</v>
      </c>
    </row>
  </sheetData>
  <autoFilter ref="A1:J2184"/>
  <hyperlinks>
    <hyperlink ref="G943" r:id="rId1"/>
    <hyperlink ref="G942" r:id="rId2"/>
    <hyperlink ref="G217" r:id="rId3" location="poplar. Assumes 15% moisture content."/>
    <hyperlink ref="G209" r:id="rId4" location="poplar. Assumes 15% moisture content."/>
    <hyperlink ref="G25" r:id="rId5" location="switchgrass. Assumes 15% moisture content."/>
    <hyperlink ref="G26" r:id="rId6" location="switchgrass. Assumes 15% moisture content."/>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7"/>
  <sheetViews>
    <sheetView workbookViewId="0">
      <selection activeCell="A28" sqref="A28"/>
    </sheetView>
  </sheetViews>
  <sheetFormatPr defaultRowHeight="14.4" x14ac:dyDescent="0.3"/>
  <cols>
    <col min="1" max="1" width="52.5546875" customWidth="1"/>
    <col min="2" max="2" width="12" style="6" bestFit="1" customWidth="1"/>
    <col min="4" max="4" width="17.44140625" customWidth="1"/>
  </cols>
  <sheetData>
    <row r="1" spans="1:8" ht="15.6" x14ac:dyDescent="0.3">
      <c r="A1" s="1" t="s">
        <v>1</v>
      </c>
      <c r="B1" s="73" t="s">
        <v>76</v>
      </c>
    </row>
    <row r="2" spans="1:8" x14ac:dyDescent="0.3">
      <c r="A2" t="s">
        <v>2</v>
      </c>
      <c r="B2" s="6" t="s">
        <v>264</v>
      </c>
    </row>
    <row r="3" spans="1:8" x14ac:dyDescent="0.3">
      <c r="A3" t="s">
        <v>3</v>
      </c>
      <c r="B3" s="6">
        <v>1</v>
      </c>
    </row>
    <row r="4" spans="1:8" ht="15.6" x14ac:dyDescent="0.3">
      <c r="A4" t="s">
        <v>4</v>
      </c>
      <c r="B4" s="74" t="s">
        <v>77</v>
      </c>
    </row>
    <row r="5" spans="1:8" x14ac:dyDescent="0.3">
      <c r="A5" t="s">
        <v>5</v>
      </c>
      <c r="B5" s="6" t="s">
        <v>6</v>
      </c>
    </row>
    <row r="6" spans="1:8" x14ac:dyDescent="0.3">
      <c r="A6" t="s">
        <v>7</v>
      </c>
      <c r="B6" s="6" t="s">
        <v>8</v>
      </c>
    </row>
    <row r="7" spans="1:8" x14ac:dyDescent="0.3">
      <c r="A7" t="s">
        <v>9</v>
      </c>
      <c r="B7" s="6" t="s">
        <v>260</v>
      </c>
    </row>
    <row r="8" spans="1:8" x14ac:dyDescent="0.3">
      <c r="A8" t="s">
        <v>11</v>
      </c>
      <c r="B8" s="6" t="s">
        <v>268</v>
      </c>
    </row>
    <row r="9" spans="1:8" x14ac:dyDescent="0.3">
      <c r="A9" t="s">
        <v>850</v>
      </c>
      <c r="B9" s="5">
        <f>Summary!R17</f>
        <v>19.600000000000001</v>
      </c>
    </row>
    <row r="10" spans="1:8" x14ac:dyDescent="0.3">
      <c r="A10" t="s">
        <v>856</v>
      </c>
      <c r="B10" s="78">
        <f>Summary!Q17</f>
        <v>0.73</v>
      </c>
    </row>
    <row r="11" spans="1:8" ht="15.6" x14ac:dyDescent="0.3">
      <c r="A11" s="1" t="s">
        <v>12</v>
      </c>
    </row>
    <row r="12" spans="1:8" x14ac:dyDescent="0.3">
      <c r="A12" t="s">
        <v>13</v>
      </c>
      <c r="B12" s="6" t="s">
        <v>14</v>
      </c>
      <c r="C12" t="s">
        <v>2</v>
      </c>
      <c r="D12" t="s">
        <v>7</v>
      </c>
      <c r="E12" t="s">
        <v>15</v>
      </c>
      <c r="F12" t="s">
        <v>5</v>
      </c>
      <c r="G12" t="s">
        <v>11</v>
      </c>
      <c r="H12" t="s">
        <v>4</v>
      </c>
    </row>
    <row r="13" spans="1:8" ht="15.6" x14ac:dyDescent="0.3">
      <c r="A13" s="2" t="s">
        <v>76</v>
      </c>
      <c r="B13" s="6">
        <v>1</v>
      </c>
      <c r="C13" t="s">
        <v>264</v>
      </c>
      <c r="D13" t="s">
        <v>8</v>
      </c>
      <c r="F13" t="s">
        <v>17</v>
      </c>
      <c r="G13" t="s">
        <v>18</v>
      </c>
      <c r="H13" s="2" t="s">
        <v>77</v>
      </c>
    </row>
    <row r="14" spans="1:8" x14ac:dyDescent="0.3">
      <c r="A14" t="s">
        <v>42</v>
      </c>
      <c r="B14" s="6">
        <f>1.23/1000</f>
        <v>1.23E-3</v>
      </c>
      <c r="C14" t="s">
        <v>264</v>
      </c>
      <c r="D14" t="s">
        <v>8</v>
      </c>
      <c r="F14" t="s">
        <v>20</v>
      </c>
      <c r="G14" t="s">
        <v>261</v>
      </c>
      <c r="H14" t="s">
        <v>43</v>
      </c>
    </row>
    <row r="15" spans="1:8" x14ac:dyDescent="0.3">
      <c r="A15" t="s">
        <v>44</v>
      </c>
      <c r="B15" s="6">
        <f>0.14/1000</f>
        <v>1.4000000000000001E-4</v>
      </c>
      <c r="C15" t="s">
        <v>264</v>
      </c>
      <c r="D15" t="s">
        <v>8</v>
      </c>
      <c r="F15" t="s">
        <v>20</v>
      </c>
      <c r="G15" t="s">
        <v>261</v>
      </c>
      <c r="H15" t="s">
        <v>45</v>
      </c>
    </row>
    <row r="16" spans="1:8" x14ac:dyDescent="0.3">
      <c r="A16" t="s">
        <v>46</v>
      </c>
      <c r="B16" s="6">
        <f>1.31/1000</f>
        <v>1.31E-3</v>
      </c>
      <c r="C16" t="s">
        <v>264</v>
      </c>
      <c r="D16" t="s">
        <v>8</v>
      </c>
      <c r="F16" t="s">
        <v>20</v>
      </c>
      <c r="G16" t="s">
        <v>261</v>
      </c>
      <c r="H16" t="s">
        <v>47</v>
      </c>
    </row>
    <row r="17" spans="1:8" ht="15" customHeight="1" x14ac:dyDescent="0.3">
      <c r="A17" s="31" t="s">
        <v>48</v>
      </c>
      <c r="B17" s="6">
        <f>5/1000</f>
        <v>5.0000000000000001E-3</v>
      </c>
      <c r="C17" t="s">
        <v>26</v>
      </c>
      <c r="D17" t="s">
        <v>8</v>
      </c>
      <c r="F17" t="s">
        <v>20</v>
      </c>
      <c r="G17" t="s">
        <v>262</v>
      </c>
      <c r="H17" s="7" t="s">
        <v>49</v>
      </c>
    </row>
    <row r="18" spans="1:8" x14ac:dyDescent="0.3">
      <c r="A18" t="s">
        <v>105</v>
      </c>
      <c r="B18" s="6">
        <f>0.0167/1000*0.16</f>
        <v>2.672E-6</v>
      </c>
      <c r="C18" t="s">
        <v>26</v>
      </c>
      <c r="D18" t="s">
        <v>8</v>
      </c>
      <c r="F18" t="s">
        <v>20</v>
      </c>
      <c r="G18" t="s">
        <v>52</v>
      </c>
      <c r="H18" t="s">
        <v>106</v>
      </c>
    </row>
    <row r="19" spans="1:8" x14ac:dyDescent="0.3">
      <c r="A19" t="s">
        <v>50</v>
      </c>
      <c r="B19" s="6">
        <f>0.044/1000*0.84</f>
        <v>3.6959999999999998E-5</v>
      </c>
      <c r="C19" t="s">
        <v>26</v>
      </c>
      <c r="D19" t="s">
        <v>8</v>
      </c>
      <c r="F19" t="s">
        <v>20</v>
      </c>
      <c r="G19" t="s">
        <v>51</v>
      </c>
      <c r="H19" t="s">
        <v>53</v>
      </c>
    </row>
    <row r="20" spans="1:8" x14ac:dyDescent="0.3">
      <c r="A20" t="s">
        <v>22</v>
      </c>
      <c r="B20" s="6">
        <f>1.9/1000*43</f>
        <v>8.1699999999999995E-2</v>
      </c>
      <c r="C20" t="s">
        <v>26</v>
      </c>
      <c r="D20" t="s">
        <v>19</v>
      </c>
      <c r="F20" t="s">
        <v>20</v>
      </c>
      <c r="G20" t="s">
        <v>1037</v>
      </c>
      <c r="H20" t="s">
        <v>23</v>
      </c>
    </row>
    <row r="21" spans="1:8" x14ac:dyDescent="0.3">
      <c r="A21" t="s">
        <v>352</v>
      </c>
      <c r="B21" s="6">
        <f>27.3/1000</f>
        <v>2.7300000000000001E-2</v>
      </c>
      <c r="C21" t="s">
        <v>581</v>
      </c>
      <c r="D21" t="s">
        <v>41</v>
      </c>
      <c r="F21" t="s">
        <v>20</v>
      </c>
      <c r="G21" t="s">
        <v>263</v>
      </c>
      <c r="H21" t="s">
        <v>353</v>
      </c>
    </row>
    <row r="22" spans="1:8" x14ac:dyDescent="0.3">
      <c r="A22" t="s">
        <v>317</v>
      </c>
      <c r="B22" s="6">
        <f>1.1604/80000</f>
        <v>1.4505000000000001E-5</v>
      </c>
      <c r="C22" t="s">
        <v>26</v>
      </c>
      <c r="D22" t="s">
        <v>8</v>
      </c>
      <c r="F22" t="s">
        <v>20</v>
      </c>
      <c r="G22" t="s">
        <v>318</v>
      </c>
      <c r="H22" t="s">
        <v>319</v>
      </c>
    </row>
    <row r="23" spans="1:8" x14ac:dyDescent="0.3">
      <c r="A23" t="s">
        <v>320</v>
      </c>
      <c r="B23" s="6">
        <f>0.002/80000</f>
        <v>2.4999999999999999E-8</v>
      </c>
      <c r="C23" t="s">
        <v>26</v>
      </c>
      <c r="D23" t="s">
        <v>115</v>
      </c>
      <c r="F23" t="s">
        <v>20</v>
      </c>
      <c r="G23" t="s">
        <v>318</v>
      </c>
      <c r="H23" t="s">
        <v>321</v>
      </c>
    </row>
    <row r="24" spans="1:8" x14ac:dyDescent="0.3">
      <c r="A24" t="s">
        <v>322</v>
      </c>
      <c r="B24" s="6">
        <f>0.68034/80000</f>
        <v>8.5042499999999991E-6</v>
      </c>
      <c r="C24" t="s">
        <v>26</v>
      </c>
      <c r="D24" t="s">
        <v>8</v>
      </c>
      <c r="F24" t="s">
        <v>20</v>
      </c>
      <c r="G24" t="s">
        <v>318</v>
      </c>
      <c r="H24" t="s">
        <v>323</v>
      </c>
    </row>
    <row r="25" spans="1:8" x14ac:dyDescent="0.3">
      <c r="A25" t="s">
        <v>265</v>
      </c>
      <c r="B25" s="6">
        <f>0.175*0.184*1.316</f>
        <v>4.2375200000000002E-2</v>
      </c>
      <c r="D25" t="s">
        <v>8</v>
      </c>
      <c r="E25" t="s">
        <v>37</v>
      </c>
      <c r="F25" t="s">
        <v>36</v>
      </c>
      <c r="G25" t="s">
        <v>360</v>
      </c>
    </row>
    <row r="26" spans="1:8" x14ac:dyDescent="0.3">
      <c r="A26" t="s">
        <v>327</v>
      </c>
      <c r="B26" s="6">
        <v>5.7330000000000002E-5</v>
      </c>
      <c r="D26" t="s">
        <v>8</v>
      </c>
      <c r="E26" t="s">
        <v>169</v>
      </c>
      <c r="F26" t="s">
        <v>36</v>
      </c>
      <c r="G26" t="s">
        <v>334</v>
      </c>
    </row>
    <row r="27" spans="1:8" x14ac:dyDescent="0.3">
      <c r="A27" t="s">
        <v>155</v>
      </c>
      <c r="B27" s="6">
        <v>3.1E-6</v>
      </c>
      <c r="D27" t="s">
        <v>8</v>
      </c>
      <c r="E27" t="s">
        <v>170</v>
      </c>
      <c r="F27" t="s">
        <v>36</v>
      </c>
      <c r="G27" t="s">
        <v>334</v>
      </c>
    </row>
    <row r="28" spans="1:8" x14ac:dyDescent="0.3">
      <c r="A28" t="s">
        <v>328</v>
      </c>
      <c r="B28" s="6">
        <v>9.0073860565664E-3</v>
      </c>
      <c r="D28" t="s">
        <v>115</v>
      </c>
      <c r="E28" t="s">
        <v>114</v>
      </c>
      <c r="F28" t="s">
        <v>36</v>
      </c>
      <c r="G28" t="s">
        <v>334</v>
      </c>
    </row>
    <row r="29" spans="1:8" x14ac:dyDescent="0.3">
      <c r="A29" t="s">
        <v>40</v>
      </c>
      <c r="B29" s="6">
        <v>7.7066565905287499E-5</v>
      </c>
      <c r="D29" t="s">
        <v>8</v>
      </c>
      <c r="E29" t="s">
        <v>169</v>
      </c>
      <c r="F29" t="s">
        <v>36</v>
      </c>
      <c r="G29" t="s">
        <v>334</v>
      </c>
    </row>
    <row r="30" spans="1:8" x14ac:dyDescent="0.3">
      <c r="A30" t="s">
        <v>193</v>
      </c>
      <c r="B30" s="6">
        <v>3.9690000000000001E-5</v>
      </c>
      <c r="D30" t="s">
        <v>8</v>
      </c>
      <c r="E30" t="s">
        <v>169</v>
      </c>
      <c r="F30" t="s">
        <v>36</v>
      </c>
      <c r="G30" t="s">
        <v>334</v>
      </c>
    </row>
    <row r="31" spans="1:8" x14ac:dyDescent="0.3">
      <c r="A31" t="s">
        <v>329</v>
      </c>
      <c r="B31" s="6">
        <v>1.1466E-4</v>
      </c>
      <c r="D31" t="s">
        <v>8</v>
      </c>
      <c r="E31" t="s">
        <v>169</v>
      </c>
      <c r="F31" t="s">
        <v>36</v>
      </c>
      <c r="G31" t="s">
        <v>334</v>
      </c>
    </row>
    <row r="32" spans="1:8" x14ac:dyDescent="0.3">
      <c r="A32" t="s">
        <v>330</v>
      </c>
      <c r="B32" s="6">
        <v>9.7000000000000003E-6</v>
      </c>
      <c r="D32" t="s">
        <v>8</v>
      </c>
      <c r="E32" t="s">
        <v>170</v>
      </c>
      <c r="F32" t="s">
        <v>36</v>
      </c>
      <c r="G32" t="s">
        <v>334</v>
      </c>
    </row>
    <row r="33" spans="1:7" x14ac:dyDescent="0.3">
      <c r="A33" t="s">
        <v>326</v>
      </c>
      <c r="B33" s="6">
        <v>5.8799999999999996E-6</v>
      </c>
      <c r="D33" t="s">
        <v>8</v>
      </c>
      <c r="E33" t="s">
        <v>169</v>
      </c>
      <c r="F33" t="s">
        <v>36</v>
      </c>
      <c r="G33" t="s">
        <v>334</v>
      </c>
    </row>
    <row r="34" spans="1:7" x14ac:dyDescent="0.3">
      <c r="A34" t="s">
        <v>200</v>
      </c>
      <c r="B34" s="6">
        <v>1.1400000000000001E-11</v>
      </c>
      <c r="D34" t="s">
        <v>8</v>
      </c>
      <c r="E34" t="s">
        <v>171</v>
      </c>
      <c r="F34" t="s">
        <v>36</v>
      </c>
      <c r="G34" t="s">
        <v>334</v>
      </c>
    </row>
    <row r="35" spans="1:7" x14ac:dyDescent="0.3">
      <c r="A35" t="s">
        <v>331</v>
      </c>
      <c r="B35" s="6">
        <v>0.18014772113132799</v>
      </c>
      <c r="D35" t="s">
        <v>113</v>
      </c>
      <c r="E35" t="s">
        <v>114</v>
      </c>
      <c r="F35" t="s">
        <v>36</v>
      </c>
      <c r="G35" t="s">
        <v>334</v>
      </c>
    </row>
    <row r="36" spans="1:7" x14ac:dyDescent="0.3">
      <c r="A36" t="s">
        <v>325</v>
      </c>
      <c r="B36" s="6">
        <v>2.7880000000000001E-3</v>
      </c>
      <c r="D36" t="s">
        <v>8</v>
      </c>
      <c r="E36" t="s">
        <v>169</v>
      </c>
      <c r="F36" t="s">
        <v>36</v>
      </c>
      <c r="G36" t="s">
        <v>334</v>
      </c>
    </row>
    <row r="37" spans="1:7" x14ac:dyDescent="0.3">
      <c r="A37" t="s">
        <v>154</v>
      </c>
      <c r="B37" s="6">
        <v>6.4700000000000001E-7</v>
      </c>
      <c r="D37" t="s">
        <v>8</v>
      </c>
      <c r="E37" t="s">
        <v>170</v>
      </c>
      <c r="F37" t="s">
        <v>36</v>
      </c>
      <c r="G37" t="s">
        <v>334</v>
      </c>
    </row>
    <row r="38" spans="1:7" x14ac:dyDescent="0.3">
      <c r="A38" t="s">
        <v>198</v>
      </c>
      <c r="B38" s="6">
        <v>9.6599999999999992E-13</v>
      </c>
      <c r="D38" t="s">
        <v>8</v>
      </c>
      <c r="E38" t="s">
        <v>171</v>
      </c>
      <c r="F38" t="s">
        <v>36</v>
      </c>
      <c r="G38" t="s">
        <v>334</v>
      </c>
    </row>
    <row r="39" spans="1:7" x14ac:dyDescent="0.3">
      <c r="A39" t="s">
        <v>138</v>
      </c>
      <c r="B39" s="6">
        <v>1.29E-7</v>
      </c>
      <c r="D39" t="s">
        <v>8</v>
      </c>
      <c r="E39" t="s">
        <v>170</v>
      </c>
      <c r="F39" t="s">
        <v>36</v>
      </c>
      <c r="G39" t="s">
        <v>334</v>
      </c>
    </row>
    <row r="40" spans="1:7" x14ac:dyDescent="0.3">
      <c r="A40" t="s">
        <v>191</v>
      </c>
      <c r="B40" s="6">
        <v>1.3523999999999999E-3</v>
      </c>
      <c r="D40" t="s">
        <v>8</v>
      </c>
      <c r="E40" t="s">
        <v>169</v>
      </c>
      <c r="F40" t="s">
        <v>36</v>
      </c>
      <c r="G40" t="s">
        <v>334</v>
      </c>
    </row>
    <row r="41" spans="1:7" x14ac:dyDescent="0.3">
      <c r="A41" t="s">
        <v>127</v>
      </c>
      <c r="B41" s="6">
        <v>6.6735928571428596E-4</v>
      </c>
      <c r="D41" t="s">
        <v>8</v>
      </c>
      <c r="E41" t="s">
        <v>169</v>
      </c>
      <c r="F41" t="s">
        <v>36</v>
      </c>
      <c r="G41" t="s">
        <v>334</v>
      </c>
    </row>
    <row r="42" spans="1:7" x14ac:dyDescent="0.3">
      <c r="A42" t="s">
        <v>173</v>
      </c>
      <c r="B42" s="6">
        <v>4.9021437578814702E-6</v>
      </c>
      <c r="D42" t="s">
        <v>8</v>
      </c>
      <c r="E42" t="s">
        <v>171</v>
      </c>
      <c r="F42" t="s">
        <v>36</v>
      </c>
      <c r="G42" t="s">
        <v>334</v>
      </c>
    </row>
    <row r="43" spans="1:7" x14ac:dyDescent="0.3">
      <c r="A43" t="s">
        <v>199</v>
      </c>
      <c r="B43" s="6">
        <v>1.1900000000000001E-11</v>
      </c>
      <c r="D43" t="s">
        <v>8</v>
      </c>
      <c r="E43" t="s">
        <v>171</v>
      </c>
      <c r="F43" t="s">
        <v>36</v>
      </c>
      <c r="G43" t="s">
        <v>334</v>
      </c>
    </row>
    <row r="44" spans="1:7" x14ac:dyDescent="0.3">
      <c r="A44" t="s">
        <v>324</v>
      </c>
      <c r="B44" s="6">
        <v>1.0289999999999999E-4</v>
      </c>
      <c r="D44" t="s">
        <v>8</v>
      </c>
      <c r="E44" t="s">
        <v>169</v>
      </c>
      <c r="F44" t="s">
        <v>36</v>
      </c>
      <c r="G44" t="s">
        <v>334</v>
      </c>
    </row>
    <row r="45" spans="1:7" x14ac:dyDescent="0.3">
      <c r="A45" t="s">
        <v>148</v>
      </c>
      <c r="B45" s="6">
        <v>9.6600000000000001E-9</v>
      </c>
      <c r="D45" t="s">
        <v>8</v>
      </c>
      <c r="E45" t="s">
        <v>170</v>
      </c>
      <c r="F45" t="s">
        <v>36</v>
      </c>
      <c r="G45" t="s">
        <v>334</v>
      </c>
    </row>
    <row r="46" spans="1:7" x14ac:dyDescent="0.3">
      <c r="A46" t="s">
        <v>168</v>
      </c>
      <c r="B46" s="6">
        <v>2.4699999999999998E-7</v>
      </c>
      <c r="D46" t="s">
        <v>8</v>
      </c>
      <c r="E46" t="s">
        <v>170</v>
      </c>
      <c r="F46" t="s">
        <v>36</v>
      </c>
      <c r="G46" t="s">
        <v>334</v>
      </c>
    </row>
    <row r="47" spans="1:7" x14ac:dyDescent="0.3">
      <c r="A47" t="s">
        <v>206</v>
      </c>
      <c r="B47" s="6">
        <v>6.4100000000000004E-11</v>
      </c>
      <c r="D47" t="s">
        <v>8</v>
      </c>
      <c r="E47" t="s">
        <v>171</v>
      </c>
      <c r="F47" t="s">
        <v>36</v>
      </c>
      <c r="G47" t="s">
        <v>334</v>
      </c>
    </row>
    <row r="48" spans="1:7" x14ac:dyDescent="0.3">
      <c r="A48" t="s">
        <v>145</v>
      </c>
      <c r="B48" s="6">
        <v>1.1899999999999999E-7</v>
      </c>
      <c r="D48" t="s">
        <v>8</v>
      </c>
      <c r="E48" t="s">
        <v>170</v>
      </c>
      <c r="F48" t="s">
        <v>36</v>
      </c>
      <c r="G48" t="s">
        <v>334</v>
      </c>
    </row>
    <row r="49" spans="1:7" x14ac:dyDescent="0.3">
      <c r="A49" t="s">
        <v>168</v>
      </c>
      <c r="B49" s="6">
        <v>2.4699999999999999E-11</v>
      </c>
      <c r="D49" t="s">
        <v>8</v>
      </c>
      <c r="E49" t="s">
        <v>171</v>
      </c>
      <c r="F49" t="s">
        <v>36</v>
      </c>
      <c r="G49" t="s">
        <v>334</v>
      </c>
    </row>
    <row r="50" spans="1:7" x14ac:dyDescent="0.3">
      <c r="A50" t="s">
        <v>38</v>
      </c>
      <c r="B50" s="6">
        <v>5.2717888840110397E-5</v>
      </c>
      <c r="D50" t="s">
        <v>8</v>
      </c>
      <c r="E50" t="s">
        <v>169</v>
      </c>
      <c r="F50" t="s">
        <v>36</v>
      </c>
      <c r="G50" t="s">
        <v>334</v>
      </c>
    </row>
    <row r="51" spans="1:7" x14ac:dyDescent="0.3">
      <c r="A51" t="s">
        <v>132</v>
      </c>
      <c r="B51" s="6">
        <v>1.14E-7</v>
      </c>
      <c r="D51" t="s">
        <v>8</v>
      </c>
      <c r="E51" t="s">
        <v>170</v>
      </c>
      <c r="F51" t="s">
        <v>36</v>
      </c>
      <c r="G51" t="s">
        <v>334</v>
      </c>
    </row>
    <row r="52" spans="1:7" x14ac:dyDescent="0.3">
      <c r="A52" t="s">
        <v>332</v>
      </c>
      <c r="B52" s="6">
        <v>9.0073860565664E-3</v>
      </c>
      <c r="D52" t="s">
        <v>115</v>
      </c>
      <c r="E52" t="s">
        <v>114</v>
      </c>
      <c r="F52" t="s">
        <v>36</v>
      </c>
      <c r="G52" t="s">
        <v>334</v>
      </c>
    </row>
    <row r="53" spans="1:7" x14ac:dyDescent="0.3">
      <c r="A53" t="s">
        <v>142</v>
      </c>
      <c r="B53" s="6">
        <v>6.4099999999999998E-7</v>
      </c>
      <c r="D53" t="s">
        <v>8</v>
      </c>
      <c r="E53" t="s">
        <v>170</v>
      </c>
      <c r="F53" t="s">
        <v>36</v>
      </c>
      <c r="G53" t="s">
        <v>334</v>
      </c>
    </row>
    <row r="54" spans="1:7" x14ac:dyDescent="0.3">
      <c r="A54" t="s">
        <v>1046</v>
      </c>
      <c r="B54" s="6">
        <v>0.49888461538461598</v>
      </c>
      <c r="D54" t="s">
        <v>8</v>
      </c>
      <c r="E54" t="s">
        <v>1047</v>
      </c>
      <c r="F54" t="s">
        <v>36</v>
      </c>
      <c r="G54" t="s">
        <v>364</v>
      </c>
    </row>
    <row r="55" spans="1:7" x14ac:dyDescent="0.3">
      <c r="A55" t="s">
        <v>202</v>
      </c>
      <c r="B55" s="6">
        <v>1.29E-11</v>
      </c>
      <c r="D55" t="s">
        <v>8</v>
      </c>
      <c r="E55" t="s">
        <v>171</v>
      </c>
      <c r="F55" t="s">
        <v>36</v>
      </c>
      <c r="G55" t="s">
        <v>334</v>
      </c>
    </row>
    <row r="56" spans="1:7" x14ac:dyDescent="0.3">
      <c r="A56" t="s">
        <v>126</v>
      </c>
      <c r="B56" s="6">
        <v>1.44118176905062E-5</v>
      </c>
      <c r="D56" t="s">
        <v>121</v>
      </c>
      <c r="E56" t="s">
        <v>171</v>
      </c>
      <c r="F56" t="s">
        <v>36</v>
      </c>
      <c r="G56" t="s">
        <v>334</v>
      </c>
    </row>
    <row r="57" spans="1:7" x14ac:dyDescent="0.3">
      <c r="A57" t="s">
        <v>108</v>
      </c>
      <c r="B57" s="6">
        <v>4.9478</v>
      </c>
      <c r="D57" t="s">
        <v>19</v>
      </c>
      <c r="E57" t="s">
        <v>112</v>
      </c>
      <c r="F57" t="s">
        <v>36</v>
      </c>
      <c r="G57" t="s">
        <v>334</v>
      </c>
    </row>
    <row r="58" spans="1:7" x14ac:dyDescent="0.3">
      <c r="A58" t="s">
        <v>172</v>
      </c>
      <c r="B58" s="6">
        <v>4.1773322765366796E-3</v>
      </c>
      <c r="D58" t="s">
        <v>8</v>
      </c>
      <c r="E58" t="s">
        <v>179</v>
      </c>
      <c r="F58" t="s">
        <v>36</v>
      </c>
      <c r="G58" t="s">
        <v>334</v>
      </c>
    </row>
    <row r="59" spans="1:7" x14ac:dyDescent="0.3">
      <c r="A59" t="s">
        <v>333</v>
      </c>
      <c r="B59" s="6">
        <v>3.23E-6</v>
      </c>
      <c r="D59" t="s">
        <v>8</v>
      </c>
      <c r="E59" t="s">
        <v>170</v>
      </c>
      <c r="F59" t="s">
        <v>36</v>
      </c>
      <c r="G59" t="s">
        <v>334</v>
      </c>
    </row>
    <row r="61" spans="1:7" ht="15.6" x14ac:dyDescent="0.3">
      <c r="A61" s="1" t="s">
        <v>1</v>
      </c>
      <c r="B61" s="73" t="s">
        <v>266</v>
      </c>
    </row>
    <row r="62" spans="1:7" x14ac:dyDescent="0.3">
      <c r="A62" t="s">
        <v>2</v>
      </c>
      <c r="B62" s="6" t="s">
        <v>264</v>
      </c>
    </row>
    <row r="63" spans="1:7" x14ac:dyDescent="0.3">
      <c r="A63" t="s">
        <v>3</v>
      </c>
      <c r="B63" s="6">
        <v>1</v>
      </c>
    </row>
    <row r="64" spans="1:7" ht="15.6" x14ac:dyDescent="0.3">
      <c r="A64" t="s">
        <v>4</v>
      </c>
      <c r="B64" s="74" t="s">
        <v>267</v>
      </c>
    </row>
    <row r="65" spans="1:8" x14ac:dyDescent="0.3">
      <c r="A65" t="s">
        <v>5</v>
      </c>
      <c r="B65" s="6" t="s">
        <v>6</v>
      </c>
    </row>
    <row r="66" spans="1:8" x14ac:dyDescent="0.3">
      <c r="A66" t="s">
        <v>7</v>
      </c>
      <c r="B66" s="6" t="s">
        <v>8</v>
      </c>
    </row>
    <row r="67" spans="1:8" x14ac:dyDescent="0.3">
      <c r="A67" t="s">
        <v>9</v>
      </c>
      <c r="B67" s="6" t="s">
        <v>260</v>
      </c>
    </row>
    <row r="68" spans="1:8" x14ac:dyDescent="0.3">
      <c r="A68" t="s">
        <v>11</v>
      </c>
      <c r="B68" s="6" t="s">
        <v>366</v>
      </c>
    </row>
    <row r="69" spans="1:8" x14ac:dyDescent="0.3">
      <c r="A69" t="s">
        <v>850</v>
      </c>
      <c r="B69" s="5">
        <f>Summary!R18</f>
        <v>16.600000000000001</v>
      </c>
    </row>
    <row r="70" spans="1:8" x14ac:dyDescent="0.3">
      <c r="A70" t="s">
        <v>856</v>
      </c>
      <c r="B70" s="78">
        <f>Summary!Q18</f>
        <v>0.15</v>
      </c>
    </row>
    <row r="71" spans="1:8" ht="15.6" x14ac:dyDescent="0.3">
      <c r="A71" s="1" t="s">
        <v>12</v>
      </c>
    </row>
    <row r="72" spans="1:8" x14ac:dyDescent="0.3">
      <c r="A72" t="s">
        <v>13</v>
      </c>
      <c r="B72" s="6" t="s">
        <v>14</v>
      </c>
      <c r="C72" t="s">
        <v>2</v>
      </c>
      <c r="D72" t="s">
        <v>7</v>
      </c>
      <c r="E72" t="s">
        <v>15</v>
      </c>
      <c r="F72" t="s">
        <v>5</v>
      </c>
      <c r="G72" t="s">
        <v>11</v>
      </c>
      <c r="H72" t="s">
        <v>4</v>
      </c>
    </row>
    <row r="73" spans="1:8" ht="15.6" x14ac:dyDescent="0.3">
      <c r="A73" s="2" t="s">
        <v>266</v>
      </c>
      <c r="B73" s="6">
        <v>1</v>
      </c>
      <c r="C73" t="s">
        <v>264</v>
      </c>
      <c r="D73" t="s">
        <v>8</v>
      </c>
      <c r="F73" t="s">
        <v>17</v>
      </c>
      <c r="G73" t="s">
        <v>18</v>
      </c>
      <c r="H73" s="2" t="s">
        <v>267</v>
      </c>
    </row>
    <row r="74" spans="1:8" x14ac:dyDescent="0.3">
      <c r="A74" t="s">
        <v>22</v>
      </c>
      <c r="B74" s="6">
        <f>1.9/1000*43</f>
        <v>8.1699999999999995E-2</v>
      </c>
      <c r="C74" t="s">
        <v>26</v>
      </c>
      <c r="D74" t="s">
        <v>19</v>
      </c>
      <c r="F74" t="s">
        <v>20</v>
      </c>
      <c r="G74" t="s">
        <v>1038</v>
      </c>
      <c r="H74" t="s">
        <v>23</v>
      </c>
    </row>
    <row r="75" spans="1:8" x14ac:dyDescent="0.3">
      <c r="A75" t="s">
        <v>54</v>
      </c>
      <c r="B75" s="6">
        <f>0.49/1000</f>
        <v>4.8999999999999998E-4</v>
      </c>
      <c r="C75" t="s">
        <v>26</v>
      </c>
      <c r="D75" t="s">
        <v>8</v>
      </c>
      <c r="F75" t="s">
        <v>20</v>
      </c>
      <c r="G75" t="s">
        <v>56</v>
      </c>
      <c r="H75" t="s">
        <v>55</v>
      </c>
    </row>
    <row r="76" spans="1:8" x14ac:dyDescent="0.3">
      <c r="A76" t="s">
        <v>352</v>
      </c>
      <c r="B76" s="6">
        <f>45/1000</f>
        <v>4.4999999999999998E-2</v>
      </c>
      <c r="C76" t="s">
        <v>581</v>
      </c>
      <c r="D76" t="s">
        <v>41</v>
      </c>
      <c r="F76" t="s">
        <v>20</v>
      </c>
      <c r="G76" t="s">
        <v>263</v>
      </c>
      <c r="H76" t="s">
        <v>353</v>
      </c>
    </row>
    <row r="77" spans="1:8" x14ac:dyDescent="0.3">
      <c r="A77" t="s">
        <v>1046</v>
      </c>
      <c r="B77" s="6">
        <f>0.4155*(44/12)*(1-0.06)</f>
        <v>1.4320899999999999</v>
      </c>
      <c r="D77" t="s">
        <v>8</v>
      </c>
      <c r="E77" t="s">
        <v>1047</v>
      </c>
      <c r="F77" t="s">
        <v>36</v>
      </c>
      <c r="G77" s="8" t="s">
        <v>479</v>
      </c>
    </row>
    <row r="78" spans="1:8" x14ac:dyDescent="0.3">
      <c r="A78" t="s">
        <v>108</v>
      </c>
      <c r="B78" s="6">
        <v>16.77</v>
      </c>
      <c r="D78" t="s">
        <v>19</v>
      </c>
      <c r="E78" t="s">
        <v>112</v>
      </c>
      <c r="F78" t="s">
        <v>36</v>
      </c>
      <c r="G78" s="8" t="s">
        <v>479</v>
      </c>
    </row>
    <row r="79" spans="1:8" x14ac:dyDescent="0.3">
      <c r="A79" t="s">
        <v>194</v>
      </c>
      <c r="B79" s="6">
        <v>1.6930220883534137</v>
      </c>
      <c r="D79" t="s">
        <v>113</v>
      </c>
      <c r="E79" t="s">
        <v>114</v>
      </c>
      <c r="F79" t="s">
        <v>36</v>
      </c>
      <c r="G79" t="s">
        <v>227</v>
      </c>
    </row>
    <row r="80" spans="1:8" x14ac:dyDescent="0.3">
      <c r="A80" t="s">
        <v>195</v>
      </c>
      <c r="B80" s="6">
        <v>3.3860441767068274</v>
      </c>
      <c r="D80" t="s">
        <v>115</v>
      </c>
      <c r="E80" t="s">
        <v>114</v>
      </c>
      <c r="F80" t="s">
        <v>36</v>
      </c>
      <c r="G80" t="s">
        <v>226</v>
      </c>
    </row>
    <row r="81" spans="1:8" x14ac:dyDescent="0.3">
      <c r="A81" t="s">
        <v>196</v>
      </c>
      <c r="B81" s="6">
        <v>3.3860441767068274</v>
      </c>
      <c r="D81" t="s">
        <v>115</v>
      </c>
      <c r="E81" t="s">
        <v>114</v>
      </c>
      <c r="F81" t="s">
        <v>36</v>
      </c>
      <c r="G81" t="s">
        <v>226</v>
      </c>
    </row>
    <row r="83" spans="1:8" ht="15.6" x14ac:dyDescent="0.3">
      <c r="A83" s="1" t="s">
        <v>1</v>
      </c>
      <c r="B83" s="73" t="s">
        <v>287</v>
      </c>
    </row>
    <row r="84" spans="1:8" x14ac:dyDescent="0.3">
      <c r="A84" t="s">
        <v>2</v>
      </c>
      <c r="B84" s="6" t="s">
        <v>264</v>
      </c>
    </row>
    <row r="85" spans="1:8" x14ac:dyDescent="0.3">
      <c r="A85" t="s">
        <v>3</v>
      </c>
      <c r="B85" s="6">
        <v>1</v>
      </c>
    </row>
    <row r="86" spans="1:8" ht="15.6" x14ac:dyDescent="0.3">
      <c r="A86" t="s">
        <v>4</v>
      </c>
      <c r="B86" s="74" t="s">
        <v>286</v>
      </c>
    </row>
    <row r="87" spans="1:8" x14ac:dyDescent="0.3">
      <c r="A87" t="s">
        <v>5</v>
      </c>
      <c r="B87" s="6" t="s">
        <v>6</v>
      </c>
    </row>
    <row r="88" spans="1:8" x14ac:dyDescent="0.3">
      <c r="A88" t="s">
        <v>7</v>
      </c>
      <c r="B88" s="6" t="s">
        <v>8</v>
      </c>
    </row>
    <row r="89" spans="1:8" x14ac:dyDescent="0.3">
      <c r="A89" t="s">
        <v>9</v>
      </c>
      <c r="B89" s="6" t="s">
        <v>260</v>
      </c>
    </row>
    <row r="90" spans="1:8" x14ac:dyDescent="0.3">
      <c r="A90" t="s">
        <v>11</v>
      </c>
      <c r="B90" s="6" t="s">
        <v>297</v>
      </c>
    </row>
    <row r="91" spans="1:8" x14ac:dyDescent="0.3">
      <c r="A91" t="s">
        <v>497</v>
      </c>
      <c r="B91" s="72">
        <f>Summary!O103</f>
        <v>0.34204552267306398</v>
      </c>
    </row>
    <row r="92" spans="1:8" ht="15.6" x14ac:dyDescent="0.3">
      <c r="A92" s="1" t="s">
        <v>12</v>
      </c>
    </row>
    <row r="93" spans="1:8" x14ac:dyDescent="0.3">
      <c r="A93" t="s">
        <v>13</v>
      </c>
      <c r="B93" s="6" t="s">
        <v>14</v>
      </c>
      <c r="C93" t="s">
        <v>2</v>
      </c>
      <c r="D93" t="s">
        <v>7</v>
      </c>
      <c r="E93" t="s">
        <v>15</v>
      </c>
      <c r="F93" t="s">
        <v>5</v>
      </c>
      <c r="G93" t="s">
        <v>11</v>
      </c>
      <c r="H93" t="s">
        <v>4</v>
      </c>
    </row>
    <row r="94" spans="1:8" ht="15.6" x14ac:dyDescent="0.3">
      <c r="A94" s="2" t="s">
        <v>287</v>
      </c>
      <c r="B94" s="6">
        <v>1</v>
      </c>
      <c r="C94" t="s">
        <v>264</v>
      </c>
      <c r="D94" t="s">
        <v>8</v>
      </c>
      <c r="F94" t="s">
        <v>17</v>
      </c>
      <c r="G94" t="s">
        <v>18</v>
      </c>
      <c r="H94" s="2" t="s">
        <v>286</v>
      </c>
    </row>
    <row r="95" spans="1:8" x14ac:dyDescent="0.3">
      <c r="A95" t="s">
        <v>306</v>
      </c>
      <c r="B95" s="6">
        <f>1/(90000000*20)</f>
        <v>5.5555555555555553E-10</v>
      </c>
      <c r="C95" t="s">
        <v>26</v>
      </c>
      <c r="D95" t="s">
        <v>7</v>
      </c>
      <c r="F95" t="s">
        <v>20</v>
      </c>
      <c r="G95" t="s">
        <v>308</v>
      </c>
      <c r="H95" t="s">
        <v>307</v>
      </c>
    </row>
    <row r="96" spans="1:8" ht="15.6" x14ac:dyDescent="0.3">
      <c r="A96" s="2" t="s">
        <v>76</v>
      </c>
      <c r="B96" s="6">
        <f>1/(Parameters!C79*Parameters!B10/1000*Parameters!F85)</f>
        <v>16.407888792403554</v>
      </c>
      <c r="C96" t="s">
        <v>264</v>
      </c>
      <c r="D96" t="s">
        <v>8</v>
      </c>
      <c r="F96" t="s">
        <v>20</v>
      </c>
      <c r="G96" t="s">
        <v>288</v>
      </c>
      <c r="H96" s="2" t="s">
        <v>77</v>
      </c>
    </row>
    <row r="97" spans="1:8" ht="15.6" x14ac:dyDescent="0.3">
      <c r="A97" s="2" t="s">
        <v>252</v>
      </c>
      <c r="B97" s="6">
        <f>0.00494/Parameters!B10*Parameters!F85</f>
        <v>5.6765000221071045E-3</v>
      </c>
      <c r="C97" t="s">
        <v>31</v>
      </c>
      <c r="D97" t="s">
        <v>8</v>
      </c>
      <c r="F97" t="s">
        <v>20</v>
      </c>
      <c r="G97" t="s">
        <v>289</v>
      </c>
      <c r="H97" s="2" t="s">
        <v>253</v>
      </c>
    </row>
    <row r="98" spans="1:8" x14ac:dyDescent="0.3">
      <c r="A98" t="s">
        <v>214</v>
      </c>
      <c r="B98" s="6">
        <f>0.00748/Parameters!B10*Parameters!F85</f>
        <v>8.5951862682917303E-3</v>
      </c>
      <c r="C98" t="s">
        <v>31</v>
      </c>
      <c r="D98" t="s">
        <v>8</v>
      </c>
      <c r="F98" t="s">
        <v>20</v>
      </c>
      <c r="G98" t="s">
        <v>290</v>
      </c>
      <c r="H98" t="s">
        <v>215</v>
      </c>
    </row>
    <row r="99" spans="1:8" ht="15.6" x14ac:dyDescent="0.3">
      <c r="A99" s="2" t="s">
        <v>291</v>
      </c>
      <c r="B99" s="6">
        <f>0.00071/Parameters!B10*Parameters!F85</f>
        <v>8.1585324204373364E-4</v>
      </c>
      <c r="C99" t="s">
        <v>26</v>
      </c>
      <c r="D99" t="s">
        <v>8</v>
      </c>
      <c r="F99" t="s">
        <v>20</v>
      </c>
      <c r="G99" t="s">
        <v>293</v>
      </c>
      <c r="H99" s="2" t="s">
        <v>292</v>
      </c>
    </row>
    <row r="100" spans="1:8" ht="15.6" x14ac:dyDescent="0.3">
      <c r="A100" s="2" t="s">
        <v>294</v>
      </c>
      <c r="B100" s="6">
        <f>0.047/1000/Parameters!B10*Parameters!F85</f>
        <v>5.4007186445148559E-5</v>
      </c>
      <c r="C100" t="s">
        <v>31</v>
      </c>
      <c r="D100" t="s">
        <v>8</v>
      </c>
      <c r="F100" t="s">
        <v>20</v>
      </c>
      <c r="G100" t="s">
        <v>296</v>
      </c>
      <c r="H100" s="2" t="s">
        <v>295</v>
      </c>
    </row>
    <row r="101" spans="1:8" ht="15.6" x14ac:dyDescent="0.3">
      <c r="A101" s="2" t="s">
        <v>298</v>
      </c>
      <c r="B101" s="6">
        <f>0.044/1000/Parameters!B10*Parameters!F85</f>
        <v>5.0559919225245463E-5</v>
      </c>
      <c r="C101" t="s">
        <v>26</v>
      </c>
      <c r="D101" t="s">
        <v>8</v>
      </c>
      <c r="F101" t="s">
        <v>20</v>
      </c>
      <c r="G101" t="s">
        <v>300</v>
      </c>
      <c r="H101" s="2" t="s">
        <v>299</v>
      </c>
    </row>
    <row r="102" spans="1:8" x14ac:dyDescent="0.3">
      <c r="A102" t="s">
        <v>265</v>
      </c>
      <c r="B102" s="6">
        <f>(B54*B96)-Parameters!$B$13</f>
        <v>6.2716432894717986</v>
      </c>
      <c r="D102" t="s">
        <v>8</v>
      </c>
      <c r="E102" t="s">
        <v>37</v>
      </c>
      <c r="F102" t="s">
        <v>36</v>
      </c>
      <c r="G102" t="s">
        <v>428</v>
      </c>
    </row>
    <row r="104" spans="1:8" ht="15.6" x14ac:dyDescent="0.3">
      <c r="A104" s="1" t="s">
        <v>1</v>
      </c>
      <c r="B104" s="73" t="s">
        <v>301</v>
      </c>
    </row>
    <row r="105" spans="1:8" x14ac:dyDescent="0.3">
      <c r="A105" t="s">
        <v>2</v>
      </c>
      <c r="B105" s="6" t="s">
        <v>264</v>
      </c>
    </row>
    <row r="106" spans="1:8" x14ac:dyDescent="0.3">
      <c r="A106" t="s">
        <v>3</v>
      </c>
      <c r="B106" s="6">
        <v>1</v>
      </c>
    </row>
    <row r="107" spans="1:8" ht="15.6" x14ac:dyDescent="0.3">
      <c r="A107" t="s">
        <v>4</v>
      </c>
      <c r="B107" s="74" t="s">
        <v>286</v>
      </c>
    </row>
    <row r="108" spans="1:8" x14ac:dyDescent="0.3">
      <c r="A108" t="s">
        <v>5</v>
      </c>
      <c r="B108" s="6" t="s">
        <v>6</v>
      </c>
    </row>
    <row r="109" spans="1:8" x14ac:dyDescent="0.3">
      <c r="A109" t="s">
        <v>7</v>
      </c>
      <c r="B109" s="6" t="s">
        <v>8</v>
      </c>
    </row>
    <row r="110" spans="1:8" x14ac:dyDescent="0.3">
      <c r="A110" t="s">
        <v>9</v>
      </c>
      <c r="B110" s="6" t="s">
        <v>260</v>
      </c>
    </row>
    <row r="111" spans="1:8" x14ac:dyDescent="0.3">
      <c r="A111" t="s">
        <v>11</v>
      </c>
      <c r="B111" s="6" t="s">
        <v>302</v>
      </c>
    </row>
    <row r="112" spans="1:8" x14ac:dyDescent="0.3">
      <c r="A112" t="s">
        <v>497</v>
      </c>
      <c r="B112" s="72">
        <f>Summary!O46</f>
        <v>0.36031374710792186</v>
      </c>
    </row>
    <row r="113" spans="1:8" ht="15.6" x14ac:dyDescent="0.3">
      <c r="A113" s="1" t="s">
        <v>12</v>
      </c>
    </row>
    <row r="114" spans="1:8" x14ac:dyDescent="0.3">
      <c r="A114" t="s">
        <v>13</v>
      </c>
      <c r="B114" s="6" t="s">
        <v>14</v>
      </c>
      <c r="C114" t="s">
        <v>2</v>
      </c>
      <c r="D114" t="s">
        <v>7</v>
      </c>
      <c r="E114" t="s">
        <v>15</v>
      </c>
      <c r="F114" t="s">
        <v>5</v>
      </c>
      <c r="G114" t="s">
        <v>11</v>
      </c>
      <c r="H114" t="s">
        <v>4</v>
      </c>
    </row>
    <row r="115" spans="1:8" ht="15.6" x14ac:dyDescent="0.3">
      <c r="A115" s="2" t="s">
        <v>301</v>
      </c>
      <c r="B115" s="6">
        <v>1</v>
      </c>
      <c r="C115" t="s">
        <v>264</v>
      </c>
      <c r="D115" t="s">
        <v>8</v>
      </c>
      <c r="F115" t="s">
        <v>17</v>
      </c>
      <c r="G115" t="s">
        <v>18</v>
      </c>
      <c r="H115" s="2" t="s">
        <v>286</v>
      </c>
    </row>
    <row r="116" spans="1:8" x14ac:dyDescent="0.3">
      <c r="A116" t="s">
        <v>306</v>
      </c>
      <c r="B116" s="6">
        <f>1/(90000000*20)</f>
        <v>5.5555555555555553E-10</v>
      </c>
      <c r="C116" t="s">
        <v>26</v>
      </c>
      <c r="D116" t="s">
        <v>7</v>
      </c>
      <c r="F116" t="s">
        <v>20</v>
      </c>
      <c r="G116" t="s">
        <v>308</v>
      </c>
      <c r="H116" t="s">
        <v>307</v>
      </c>
    </row>
    <row r="117" spans="1:8" ht="15.6" x14ac:dyDescent="0.3">
      <c r="A117" s="2" t="s">
        <v>76</v>
      </c>
      <c r="B117" s="6">
        <f>1/(Parameters!C79*Parameters!B10/1000*Parameters!G85)</f>
        <v>15.575994374364498</v>
      </c>
      <c r="C117" t="s">
        <v>264</v>
      </c>
      <c r="D117" t="s">
        <v>8</v>
      </c>
      <c r="F117" t="s">
        <v>20</v>
      </c>
      <c r="G117" t="s">
        <v>288</v>
      </c>
      <c r="H117" s="2" t="s">
        <v>77</v>
      </c>
    </row>
    <row r="118" spans="1:8" ht="15.6" x14ac:dyDescent="0.3">
      <c r="A118" s="2" t="s">
        <v>252</v>
      </c>
      <c r="B118" s="6">
        <f>0.00494/Parameters!B10*Parameters!G85</f>
        <v>5.9796748030483144E-3</v>
      </c>
      <c r="C118" t="s">
        <v>31</v>
      </c>
      <c r="D118" t="s">
        <v>8</v>
      </c>
      <c r="F118" t="s">
        <v>20</v>
      </c>
      <c r="G118" t="s">
        <v>289</v>
      </c>
      <c r="H118" s="2" t="s">
        <v>253</v>
      </c>
    </row>
    <row r="119" spans="1:8" x14ac:dyDescent="0.3">
      <c r="A119" t="s">
        <v>214</v>
      </c>
      <c r="B119" s="6">
        <f>0.00748/Parameters!B10*Parameters!G85</f>
        <v>9.0542444386237653E-3</v>
      </c>
      <c r="C119" t="s">
        <v>31</v>
      </c>
      <c r="D119" t="s">
        <v>8</v>
      </c>
      <c r="F119" t="s">
        <v>20</v>
      </c>
      <c r="G119" t="s">
        <v>290</v>
      </c>
      <c r="H119" t="s">
        <v>215</v>
      </c>
    </row>
    <row r="120" spans="1:8" ht="15.6" x14ac:dyDescent="0.3">
      <c r="A120" s="2" t="s">
        <v>291</v>
      </c>
      <c r="B120" s="6">
        <f>0.00071/Parameters!B10*Parameters!G85</f>
        <v>8.5942694537738938E-4</v>
      </c>
      <c r="C120" t="s">
        <v>26</v>
      </c>
      <c r="D120" t="s">
        <v>8</v>
      </c>
      <c r="F120" t="s">
        <v>20</v>
      </c>
      <c r="G120" t="s">
        <v>293</v>
      </c>
      <c r="H120" s="2" t="s">
        <v>292</v>
      </c>
    </row>
    <row r="121" spans="1:8" ht="15.6" x14ac:dyDescent="0.3">
      <c r="A121" s="2" t="s">
        <v>294</v>
      </c>
      <c r="B121" s="6">
        <f>0.047/1000/Parameters!B10*Parameters!G85</f>
        <v>5.6891642863010276E-5</v>
      </c>
      <c r="C121" t="s">
        <v>31</v>
      </c>
      <c r="D121" t="s">
        <v>8</v>
      </c>
      <c r="F121" t="s">
        <v>20</v>
      </c>
      <c r="G121" t="s">
        <v>296</v>
      </c>
      <c r="H121" s="2" t="s">
        <v>295</v>
      </c>
    </row>
    <row r="122" spans="1:8" ht="15.6" x14ac:dyDescent="0.3">
      <c r="A122" s="2" t="s">
        <v>298</v>
      </c>
      <c r="B122" s="6">
        <f>0.044/1000/Parameters!B10*Parameters!G85</f>
        <v>5.32602614036692E-5</v>
      </c>
      <c r="C122" t="s">
        <v>26</v>
      </c>
      <c r="D122" t="s">
        <v>8</v>
      </c>
      <c r="F122" t="s">
        <v>20</v>
      </c>
      <c r="G122" t="s">
        <v>300</v>
      </c>
      <c r="H122" s="2" t="s">
        <v>299</v>
      </c>
    </row>
    <row r="123" spans="1:8" x14ac:dyDescent="0.3">
      <c r="A123" t="s">
        <v>265</v>
      </c>
      <c r="B123" s="6">
        <f>(B54*B117)-Parameters!$B$13</f>
        <v>5.8566239626877756</v>
      </c>
      <c r="D123" t="s">
        <v>8</v>
      </c>
      <c r="E123" t="s">
        <v>37</v>
      </c>
      <c r="F123" t="s">
        <v>36</v>
      </c>
      <c r="G123" t="s">
        <v>428</v>
      </c>
    </row>
    <row r="125" spans="1:8" ht="15.6" x14ac:dyDescent="0.3">
      <c r="A125" s="1" t="s">
        <v>1</v>
      </c>
      <c r="B125" s="73" t="s">
        <v>518</v>
      </c>
    </row>
    <row r="126" spans="1:8" x14ac:dyDescent="0.3">
      <c r="A126" t="s">
        <v>2</v>
      </c>
      <c r="B126" s="6" t="s">
        <v>264</v>
      </c>
    </row>
    <row r="127" spans="1:8" x14ac:dyDescent="0.3">
      <c r="A127" t="s">
        <v>3</v>
      </c>
      <c r="B127" s="6">
        <v>1</v>
      </c>
    </row>
    <row r="128" spans="1:8" ht="15.6" x14ac:dyDescent="0.3">
      <c r="A128" t="s">
        <v>4</v>
      </c>
      <c r="B128" s="74" t="s">
        <v>286</v>
      </c>
    </row>
    <row r="129" spans="1:8" x14ac:dyDescent="0.3">
      <c r="A129" t="s">
        <v>5</v>
      </c>
      <c r="B129" s="6" t="s">
        <v>6</v>
      </c>
    </row>
    <row r="130" spans="1:8" x14ac:dyDescent="0.3">
      <c r="A130" t="s">
        <v>7</v>
      </c>
      <c r="B130" s="6" t="s">
        <v>8</v>
      </c>
    </row>
    <row r="131" spans="1:8" x14ac:dyDescent="0.3">
      <c r="A131" t="s">
        <v>9</v>
      </c>
      <c r="B131" s="6" t="s">
        <v>260</v>
      </c>
    </row>
    <row r="132" spans="1:8" x14ac:dyDescent="0.3">
      <c r="A132" t="s">
        <v>11</v>
      </c>
      <c r="B132" s="6" t="s">
        <v>536</v>
      </c>
    </row>
    <row r="133" spans="1:8" x14ac:dyDescent="0.3">
      <c r="A133" t="s">
        <v>497</v>
      </c>
      <c r="B133" s="72">
        <f>Summary!O141</f>
        <v>0.37727081632653059</v>
      </c>
    </row>
    <row r="134" spans="1:8" ht="15.6" x14ac:dyDescent="0.3">
      <c r="A134" s="1" t="s">
        <v>12</v>
      </c>
    </row>
    <row r="135" spans="1:8" x14ac:dyDescent="0.3">
      <c r="A135" t="s">
        <v>13</v>
      </c>
      <c r="B135" s="6" t="s">
        <v>14</v>
      </c>
      <c r="C135" t="s">
        <v>2</v>
      </c>
      <c r="D135" t="s">
        <v>7</v>
      </c>
      <c r="E135" t="s">
        <v>15</v>
      </c>
      <c r="F135" t="s">
        <v>5</v>
      </c>
      <c r="G135" t="s">
        <v>11</v>
      </c>
      <c r="H135" t="s">
        <v>4</v>
      </c>
    </row>
    <row r="136" spans="1:8" ht="15.6" x14ac:dyDescent="0.3">
      <c r="A136" s="2" t="s">
        <v>518</v>
      </c>
      <c r="B136" s="6">
        <v>1</v>
      </c>
      <c r="C136" t="s">
        <v>264</v>
      </c>
      <c r="D136" t="s">
        <v>8</v>
      </c>
      <c r="F136" t="s">
        <v>17</v>
      </c>
      <c r="G136" t="s">
        <v>18</v>
      </c>
      <c r="H136" s="2" t="s">
        <v>286</v>
      </c>
    </row>
    <row r="137" spans="1:8" x14ac:dyDescent="0.3">
      <c r="A137" t="s">
        <v>306</v>
      </c>
      <c r="B137" s="6">
        <f>1/(90000000*20)</f>
        <v>5.5555555555555553E-10</v>
      </c>
      <c r="C137" t="s">
        <v>26</v>
      </c>
      <c r="D137" t="s">
        <v>7</v>
      </c>
      <c r="F137" t="s">
        <v>20</v>
      </c>
      <c r="G137" t="s">
        <v>308</v>
      </c>
      <c r="H137" t="s">
        <v>307</v>
      </c>
    </row>
    <row r="138" spans="1:8" ht="15.6" x14ac:dyDescent="0.3">
      <c r="A138" s="2" t="s">
        <v>76</v>
      </c>
      <c r="B138" s="6">
        <f>1/(Parameters!C79*Parameters!B10/1000)</f>
        <v>14.875905198831346</v>
      </c>
      <c r="C138" t="s">
        <v>264</v>
      </c>
      <c r="D138" t="s">
        <v>8</v>
      </c>
      <c r="F138" t="s">
        <v>20</v>
      </c>
      <c r="G138" t="s">
        <v>288</v>
      </c>
      <c r="H138" s="2" t="s">
        <v>77</v>
      </c>
    </row>
    <row r="139" spans="1:8" ht="15.6" x14ac:dyDescent="0.3">
      <c r="A139" s="2" t="s">
        <v>252</v>
      </c>
      <c r="B139" s="6">
        <f>0.00494/Parameters!B30</f>
        <v>1.2539746635000003E-3</v>
      </c>
      <c r="C139" t="s">
        <v>31</v>
      </c>
      <c r="D139" t="s">
        <v>8</v>
      </c>
      <c r="F139" t="s">
        <v>20</v>
      </c>
      <c r="G139" t="s">
        <v>289</v>
      </c>
      <c r="H139" s="2" t="s">
        <v>253</v>
      </c>
    </row>
    <row r="140" spans="1:8" x14ac:dyDescent="0.3">
      <c r="A140" t="s">
        <v>214</v>
      </c>
      <c r="B140" s="6">
        <f>0.00748/Parameters!B30</f>
        <v>1.8987308670000002E-3</v>
      </c>
      <c r="C140" t="s">
        <v>31</v>
      </c>
      <c r="D140" t="s">
        <v>8</v>
      </c>
      <c r="F140" t="s">
        <v>20</v>
      </c>
      <c r="G140" t="s">
        <v>290</v>
      </c>
      <c r="H140" t="s">
        <v>215</v>
      </c>
    </row>
    <row r="141" spans="1:8" ht="15.6" x14ac:dyDescent="0.3">
      <c r="A141" s="2" t="s">
        <v>291</v>
      </c>
      <c r="B141" s="6">
        <f>0.00071/Parameters!B30</f>
        <v>1.8022712775000004E-4</v>
      </c>
      <c r="C141" t="s">
        <v>26</v>
      </c>
      <c r="D141" t="s">
        <v>8</v>
      </c>
      <c r="F141" t="s">
        <v>20</v>
      </c>
      <c r="G141" t="s">
        <v>293</v>
      </c>
      <c r="H141" s="2" t="s">
        <v>292</v>
      </c>
    </row>
    <row r="142" spans="1:8" ht="15.6" x14ac:dyDescent="0.3">
      <c r="A142" s="2" t="s">
        <v>294</v>
      </c>
      <c r="B142" s="6">
        <f>0.047/1000/Parameters!B30</f>
        <v>1.1930528175000002E-5</v>
      </c>
      <c r="C142" t="s">
        <v>31</v>
      </c>
      <c r="D142" t="s">
        <v>8</v>
      </c>
      <c r="F142" t="s">
        <v>20</v>
      </c>
      <c r="G142" t="s">
        <v>296</v>
      </c>
      <c r="H142" s="2" t="s">
        <v>295</v>
      </c>
    </row>
    <row r="143" spans="1:8" ht="15.6" x14ac:dyDescent="0.3">
      <c r="A143" s="2" t="s">
        <v>298</v>
      </c>
      <c r="B143" s="6">
        <f>0.044/1000/Parameters!B30</f>
        <v>1.1169005100000001E-5</v>
      </c>
      <c r="C143" t="s">
        <v>26</v>
      </c>
      <c r="D143" t="s">
        <v>8</v>
      </c>
      <c r="F143" t="s">
        <v>20</v>
      </c>
      <c r="G143" t="s">
        <v>300</v>
      </c>
      <c r="H143" s="2" t="s">
        <v>299</v>
      </c>
    </row>
    <row r="144" spans="1:8" x14ac:dyDescent="0.3">
      <c r="A144" t="s">
        <v>265</v>
      </c>
      <c r="B144" s="6">
        <f>(B54*B138)-Parameters!$B$13</f>
        <v>5.5073602436169855</v>
      </c>
      <c r="D144" t="s">
        <v>8</v>
      </c>
      <c r="E144" t="s">
        <v>37</v>
      </c>
      <c r="F144" t="s">
        <v>36</v>
      </c>
      <c r="G144" t="s">
        <v>428</v>
      </c>
    </row>
    <row r="145" spans="1:8" ht="15.6" x14ac:dyDescent="0.3">
      <c r="A145" s="2" t="s">
        <v>28</v>
      </c>
      <c r="B145" s="6">
        <f>26.1*B138/1000*-1</f>
        <v>-0.38826112568949817</v>
      </c>
      <c r="C145" t="s">
        <v>264</v>
      </c>
      <c r="D145" t="s">
        <v>29</v>
      </c>
      <c r="F145" t="s">
        <v>20</v>
      </c>
      <c r="G145" t="s">
        <v>537</v>
      </c>
      <c r="H145" s="2" t="s">
        <v>30</v>
      </c>
    </row>
    <row r="147" spans="1:8" ht="15.6" x14ac:dyDescent="0.3">
      <c r="A147" s="1" t="s">
        <v>1</v>
      </c>
      <c r="B147" s="73" t="s">
        <v>303</v>
      </c>
    </row>
    <row r="148" spans="1:8" x14ac:dyDescent="0.3">
      <c r="A148" t="s">
        <v>2</v>
      </c>
      <c r="B148" s="6" t="s">
        <v>264</v>
      </c>
    </row>
    <row r="149" spans="1:8" x14ac:dyDescent="0.3">
      <c r="A149" t="s">
        <v>3</v>
      </c>
      <c r="B149" s="6">
        <v>1</v>
      </c>
    </row>
    <row r="150" spans="1:8" ht="15.6" x14ac:dyDescent="0.3">
      <c r="A150" t="s">
        <v>4</v>
      </c>
      <c r="B150" s="74" t="s">
        <v>304</v>
      </c>
    </row>
    <row r="151" spans="1:8" x14ac:dyDescent="0.3">
      <c r="A151" t="s">
        <v>5</v>
      </c>
      <c r="B151" s="6" t="s">
        <v>6</v>
      </c>
    </row>
    <row r="152" spans="1:8" x14ac:dyDescent="0.3">
      <c r="A152" t="s">
        <v>7</v>
      </c>
      <c r="B152" s="6" t="s">
        <v>8</v>
      </c>
    </row>
    <row r="153" spans="1:8" x14ac:dyDescent="0.3">
      <c r="A153" t="s">
        <v>9</v>
      </c>
      <c r="B153" s="6" t="s">
        <v>1035</v>
      </c>
    </row>
    <row r="154" spans="1:8" x14ac:dyDescent="0.3">
      <c r="A154" t="s">
        <v>11</v>
      </c>
      <c r="B154" s="6" t="s">
        <v>305</v>
      </c>
    </row>
    <row r="155" spans="1:8" x14ac:dyDescent="0.3">
      <c r="A155" t="s">
        <v>497</v>
      </c>
      <c r="B155" s="72">
        <f>Summary!O104</f>
        <v>0.64283077198483141</v>
      </c>
    </row>
    <row r="156" spans="1:8" ht="15.6" x14ac:dyDescent="0.3">
      <c r="A156" s="1" t="s">
        <v>12</v>
      </c>
    </row>
    <row r="157" spans="1:8" x14ac:dyDescent="0.3">
      <c r="A157" t="s">
        <v>13</v>
      </c>
      <c r="B157" s="6" t="s">
        <v>14</v>
      </c>
      <c r="C157" t="s">
        <v>2</v>
      </c>
      <c r="D157" t="s">
        <v>7</v>
      </c>
      <c r="E157" t="s">
        <v>15</v>
      </c>
      <c r="F157" t="s">
        <v>5</v>
      </c>
      <c r="G157" t="s">
        <v>11</v>
      </c>
      <c r="H157" t="s">
        <v>4</v>
      </c>
    </row>
    <row r="158" spans="1:8" ht="15.6" x14ac:dyDescent="0.3">
      <c r="A158" s="2" t="s">
        <v>303</v>
      </c>
      <c r="B158" s="6">
        <v>1</v>
      </c>
      <c r="C158" t="s">
        <v>264</v>
      </c>
      <c r="D158" t="s">
        <v>8</v>
      </c>
      <c r="F158" t="s">
        <v>17</v>
      </c>
      <c r="G158" t="s">
        <v>18</v>
      </c>
      <c r="H158" s="2" t="s">
        <v>304</v>
      </c>
    </row>
    <row r="159" spans="1:8" ht="15.6" x14ac:dyDescent="0.3">
      <c r="A159" s="2" t="s">
        <v>266</v>
      </c>
      <c r="B159" s="6">
        <f>0.15*Parameters!B5*Parameters!F93</f>
        <v>3.2744078855022276</v>
      </c>
      <c r="C159" t="s">
        <v>264</v>
      </c>
      <c r="D159" t="s">
        <v>8</v>
      </c>
      <c r="F159" t="s">
        <v>20</v>
      </c>
      <c r="G159" t="s">
        <v>502</v>
      </c>
      <c r="H159" s="2" t="s">
        <v>267</v>
      </c>
    </row>
    <row r="160" spans="1:8" x14ac:dyDescent="0.3">
      <c r="A160" t="s">
        <v>306</v>
      </c>
      <c r="B160" s="6">
        <f>1/(90000000*20)</f>
        <v>5.5555555555555553E-10</v>
      </c>
      <c r="C160" t="s">
        <v>26</v>
      </c>
      <c r="D160" t="s">
        <v>7</v>
      </c>
      <c r="F160" t="s">
        <v>20</v>
      </c>
      <c r="G160" t="s">
        <v>308</v>
      </c>
      <c r="H160" t="s">
        <v>307</v>
      </c>
    </row>
    <row r="161" spans="1:8" ht="15.6" x14ac:dyDescent="0.3">
      <c r="A161" s="2" t="s">
        <v>294</v>
      </c>
      <c r="B161" s="6">
        <f>0.01/1000*Parameters!B5*Parameters!F93</f>
        <v>2.1829385903348185E-4</v>
      </c>
      <c r="C161" t="s">
        <v>31</v>
      </c>
      <c r="D161" t="s">
        <v>8</v>
      </c>
      <c r="F161" t="s">
        <v>20</v>
      </c>
      <c r="G161" t="s">
        <v>311</v>
      </c>
      <c r="H161" s="2" t="s">
        <v>295</v>
      </c>
    </row>
    <row r="162" spans="1:8" ht="15.6" x14ac:dyDescent="0.3">
      <c r="A162" s="2" t="s">
        <v>252</v>
      </c>
      <c r="B162" s="6">
        <f>0.13/1000*Parameters!B5*Parameters!F93</f>
        <v>2.837820167435264E-3</v>
      </c>
      <c r="C162" t="s">
        <v>31</v>
      </c>
      <c r="D162" t="s">
        <v>8</v>
      </c>
      <c r="F162" t="s">
        <v>20</v>
      </c>
      <c r="G162" t="s">
        <v>312</v>
      </c>
      <c r="H162" s="2" t="s">
        <v>253</v>
      </c>
    </row>
    <row r="163" spans="1:8" ht="15.6" x14ac:dyDescent="0.3">
      <c r="A163" s="2" t="s">
        <v>309</v>
      </c>
      <c r="B163" s="6">
        <f>68.68/1000000*Parameters!B5*Parameters!F93</f>
        <v>1.4992422238419535E-3</v>
      </c>
      <c r="C163" t="s">
        <v>31</v>
      </c>
      <c r="D163" t="s">
        <v>8</v>
      </c>
      <c r="F163" t="s">
        <v>20</v>
      </c>
      <c r="G163" t="s">
        <v>313</v>
      </c>
      <c r="H163" s="2" t="s">
        <v>310</v>
      </c>
    </row>
    <row r="164" spans="1:8" ht="15.6" x14ac:dyDescent="0.3">
      <c r="A164" s="2" t="s">
        <v>315</v>
      </c>
      <c r="B164" s="6">
        <f>0.85/1000*Parameters!B5*Parameters!F93</f>
        <v>1.8554978017845954E-2</v>
      </c>
      <c r="C164" t="s">
        <v>31</v>
      </c>
      <c r="D164" t="s">
        <v>8</v>
      </c>
      <c r="F164" t="s">
        <v>20</v>
      </c>
      <c r="G164" t="s">
        <v>1034</v>
      </c>
      <c r="H164" s="2" t="s">
        <v>316</v>
      </c>
    </row>
    <row r="165" spans="1:8" ht="15.6" x14ac:dyDescent="0.3">
      <c r="A165" s="2" t="s">
        <v>254</v>
      </c>
      <c r="B165" s="6">
        <f>0.75/1000*Parameters!B5*Parameters!F93</f>
        <v>1.6372039427511136E-2</v>
      </c>
      <c r="C165" t="s">
        <v>31</v>
      </c>
      <c r="D165" t="s">
        <v>8</v>
      </c>
      <c r="F165" t="s">
        <v>20</v>
      </c>
      <c r="G165" t="s">
        <v>1036</v>
      </c>
      <c r="H165" s="2" t="s">
        <v>256</v>
      </c>
    </row>
    <row r="166" spans="1:8" x14ac:dyDescent="0.3">
      <c r="A166" t="s">
        <v>265</v>
      </c>
      <c r="B166" s="6">
        <f>(B77*B159)-Parameters!$B$13</f>
        <v>2.775246788748885</v>
      </c>
      <c r="D166" t="s">
        <v>8</v>
      </c>
      <c r="E166" t="s">
        <v>37</v>
      </c>
      <c r="F166" t="s">
        <v>36</v>
      </c>
      <c r="G166" t="s">
        <v>428</v>
      </c>
    </row>
    <row r="168" spans="1:8" ht="15.6" x14ac:dyDescent="0.3">
      <c r="A168" s="1" t="s">
        <v>1</v>
      </c>
      <c r="B168" s="73" t="s">
        <v>335</v>
      </c>
    </row>
    <row r="169" spans="1:8" x14ac:dyDescent="0.3">
      <c r="A169" t="s">
        <v>2</v>
      </c>
      <c r="B169" s="6" t="s">
        <v>264</v>
      </c>
    </row>
    <row r="170" spans="1:8" x14ac:dyDescent="0.3">
      <c r="A170" t="s">
        <v>3</v>
      </c>
      <c r="B170" s="6">
        <v>1</v>
      </c>
    </row>
    <row r="171" spans="1:8" ht="15.6" x14ac:dyDescent="0.3">
      <c r="A171" t="s">
        <v>4</v>
      </c>
      <c r="B171" s="74" t="s">
        <v>304</v>
      </c>
    </row>
    <row r="172" spans="1:8" x14ac:dyDescent="0.3">
      <c r="A172" t="s">
        <v>5</v>
      </c>
      <c r="B172" s="6" t="s">
        <v>6</v>
      </c>
    </row>
    <row r="173" spans="1:8" x14ac:dyDescent="0.3">
      <c r="A173" t="s">
        <v>7</v>
      </c>
      <c r="B173" s="6" t="s">
        <v>8</v>
      </c>
    </row>
    <row r="174" spans="1:8" x14ac:dyDescent="0.3">
      <c r="A174" t="s">
        <v>9</v>
      </c>
      <c r="B174" s="6" t="s">
        <v>260</v>
      </c>
    </row>
    <row r="175" spans="1:8" x14ac:dyDescent="0.3">
      <c r="A175" t="s">
        <v>11</v>
      </c>
      <c r="B175" s="6" t="s">
        <v>336</v>
      </c>
    </row>
    <row r="176" spans="1:8" x14ac:dyDescent="0.3">
      <c r="A176" t="s">
        <v>497</v>
      </c>
      <c r="B176" s="72">
        <f>Summary!O47</f>
        <v>0.55032625843716321</v>
      </c>
    </row>
    <row r="177" spans="1:8" ht="15.6" x14ac:dyDescent="0.3">
      <c r="A177" s="1" t="s">
        <v>12</v>
      </c>
    </row>
    <row r="178" spans="1:8" x14ac:dyDescent="0.3">
      <c r="A178" t="s">
        <v>13</v>
      </c>
      <c r="B178" s="6" t="s">
        <v>14</v>
      </c>
      <c r="C178" t="s">
        <v>2</v>
      </c>
      <c r="D178" t="s">
        <v>7</v>
      </c>
      <c r="E178" t="s">
        <v>15</v>
      </c>
      <c r="F178" t="s">
        <v>5</v>
      </c>
      <c r="G178" t="s">
        <v>11</v>
      </c>
      <c r="H178" t="s">
        <v>4</v>
      </c>
    </row>
    <row r="179" spans="1:8" ht="15.6" x14ac:dyDescent="0.3">
      <c r="A179" s="2" t="s">
        <v>335</v>
      </c>
      <c r="B179" s="6">
        <v>1</v>
      </c>
      <c r="C179" t="s">
        <v>264</v>
      </c>
      <c r="D179" t="s">
        <v>8</v>
      </c>
      <c r="F179" t="s">
        <v>17</v>
      </c>
      <c r="G179" t="s">
        <v>18</v>
      </c>
      <c r="H179" s="2" t="s">
        <v>304</v>
      </c>
    </row>
    <row r="180" spans="1:8" ht="15.6" x14ac:dyDescent="0.3">
      <c r="A180" s="2" t="s">
        <v>266</v>
      </c>
      <c r="B180" s="6">
        <f>0.15*Parameters!B5*Parameters!G93</f>
        <v>3.8248041349292712</v>
      </c>
      <c r="C180" t="s">
        <v>264</v>
      </c>
      <c r="D180" t="s">
        <v>8</v>
      </c>
      <c r="F180" t="s">
        <v>20</v>
      </c>
      <c r="G180" t="s">
        <v>18</v>
      </c>
      <c r="H180" s="2" t="s">
        <v>267</v>
      </c>
    </row>
    <row r="181" spans="1:8" x14ac:dyDescent="0.3">
      <c r="A181" t="s">
        <v>306</v>
      </c>
      <c r="B181" s="6">
        <f>1/(90000000*20)</f>
        <v>5.5555555555555553E-10</v>
      </c>
      <c r="C181" t="s">
        <v>26</v>
      </c>
      <c r="D181" t="s">
        <v>7</v>
      </c>
      <c r="F181" t="s">
        <v>20</v>
      </c>
      <c r="G181" t="s">
        <v>308</v>
      </c>
      <c r="H181" t="s">
        <v>307</v>
      </c>
    </row>
    <row r="182" spans="1:8" ht="15.6" x14ac:dyDescent="0.3">
      <c r="A182" s="2" t="s">
        <v>294</v>
      </c>
      <c r="B182" s="6">
        <f>0.01/1000*Parameters!B5*Parameters!G93</f>
        <v>2.5498694232861809E-4</v>
      </c>
      <c r="C182" t="s">
        <v>31</v>
      </c>
      <c r="D182" t="s">
        <v>8</v>
      </c>
      <c r="F182" t="s">
        <v>20</v>
      </c>
      <c r="G182" t="s">
        <v>311</v>
      </c>
      <c r="H182" s="2" t="s">
        <v>295</v>
      </c>
    </row>
    <row r="183" spans="1:8" ht="15.6" x14ac:dyDescent="0.3">
      <c r="A183" s="2" t="s">
        <v>252</v>
      </c>
      <c r="B183" s="6">
        <f>0.13/1000*Parameters!B5*Parameters!G93</f>
        <v>3.3148302502720352E-3</v>
      </c>
      <c r="C183" t="s">
        <v>31</v>
      </c>
      <c r="D183" t="s">
        <v>8</v>
      </c>
      <c r="F183" t="s">
        <v>20</v>
      </c>
      <c r="G183" t="s">
        <v>312</v>
      </c>
      <c r="H183" s="2" t="s">
        <v>253</v>
      </c>
    </row>
    <row r="184" spans="1:8" ht="15.6" x14ac:dyDescent="0.3">
      <c r="A184" s="2" t="s">
        <v>309</v>
      </c>
      <c r="B184" s="6">
        <f>68.68/1000000*Parameters!B5*Parameters!G93</f>
        <v>1.7512503199129492E-3</v>
      </c>
      <c r="C184" t="s">
        <v>31</v>
      </c>
      <c r="D184" t="s">
        <v>8</v>
      </c>
      <c r="F184" t="s">
        <v>20</v>
      </c>
      <c r="G184" t="s">
        <v>313</v>
      </c>
      <c r="H184" s="2" t="s">
        <v>310</v>
      </c>
    </row>
    <row r="185" spans="1:8" ht="15.6" x14ac:dyDescent="0.3">
      <c r="A185" s="2" t="s">
        <v>315</v>
      </c>
      <c r="B185" s="6">
        <f>0.85/1000*Parameters!B5*Parameters!G93</f>
        <v>2.1673890097932535E-2</v>
      </c>
      <c r="C185" t="s">
        <v>31</v>
      </c>
      <c r="D185" t="s">
        <v>8</v>
      </c>
      <c r="F185" t="s">
        <v>20</v>
      </c>
      <c r="G185" t="s">
        <v>314</v>
      </c>
      <c r="H185" s="2" t="s">
        <v>316</v>
      </c>
    </row>
    <row r="186" spans="1:8" ht="15.6" x14ac:dyDescent="0.3">
      <c r="A186" s="2" t="s">
        <v>254</v>
      </c>
      <c r="B186" s="6">
        <f>0.75/1000*Parameters!B5*Parameters!G93</f>
        <v>1.9124020674646355E-2</v>
      </c>
      <c r="C186" t="s">
        <v>31</v>
      </c>
      <c r="D186" t="s">
        <v>8</v>
      </c>
      <c r="F186" t="s">
        <v>20</v>
      </c>
      <c r="G186" t="s">
        <v>1036</v>
      </c>
      <c r="H186" s="2" t="s">
        <v>256</v>
      </c>
    </row>
    <row r="187" spans="1:8" x14ac:dyDescent="0.3">
      <c r="A187" t="s">
        <v>265</v>
      </c>
      <c r="B187" s="6">
        <f>(B77*B180)-Parameters!$B$13</f>
        <v>3.5634637535908595</v>
      </c>
      <c r="D187" t="s">
        <v>8</v>
      </c>
      <c r="E187" t="s">
        <v>37</v>
      </c>
      <c r="F187" t="s">
        <v>36</v>
      </c>
      <c r="G187" t="s">
        <v>428</v>
      </c>
    </row>
    <row r="189" spans="1:8" ht="15.6" x14ac:dyDescent="0.3">
      <c r="A189" s="1" t="s">
        <v>1</v>
      </c>
      <c r="B189" s="73" t="s">
        <v>538</v>
      </c>
    </row>
    <row r="190" spans="1:8" x14ac:dyDescent="0.3">
      <c r="A190" t="s">
        <v>2</v>
      </c>
      <c r="B190" s="6" t="s">
        <v>264</v>
      </c>
    </row>
    <row r="191" spans="1:8" x14ac:dyDescent="0.3">
      <c r="A191" t="s">
        <v>3</v>
      </c>
      <c r="B191" s="6">
        <v>1</v>
      </c>
    </row>
    <row r="192" spans="1:8" ht="15.6" x14ac:dyDescent="0.3">
      <c r="A192" t="s">
        <v>4</v>
      </c>
      <c r="B192" s="74" t="s">
        <v>304</v>
      </c>
    </row>
    <row r="193" spans="1:8" x14ac:dyDescent="0.3">
      <c r="A193" t="s">
        <v>5</v>
      </c>
      <c r="B193" s="6" t="s">
        <v>6</v>
      </c>
    </row>
    <row r="194" spans="1:8" x14ac:dyDescent="0.3">
      <c r="A194" t="s">
        <v>7</v>
      </c>
      <c r="B194" s="6" t="s">
        <v>8</v>
      </c>
    </row>
    <row r="195" spans="1:8" x14ac:dyDescent="0.3">
      <c r="A195" t="s">
        <v>9</v>
      </c>
      <c r="B195" s="6" t="s">
        <v>260</v>
      </c>
    </row>
    <row r="196" spans="1:8" x14ac:dyDescent="0.3">
      <c r="A196" t="s">
        <v>11</v>
      </c>
      <c r="B196" s="6" t="s">
        <v>539</v>
      </c>
    </row>
    <row r="197" spans="1:8" x14ac:dyDescent="0.3">
      <c r="A197" t="s">
        <v>497</v>
      </c>
      <c r="B197" s="72">
        <f>Summary!O142</f>
        <v>0.47247814788566023</v>
      </c>
    </row>
    <row r="198" spans="1:8" ht="15.6" x14ac:dyDescent="0.3">
      <c r="A198" s="1" t="s">
        <v>12</v>
      </c>
    </row>
    <row r="199" spans="1:8" x14ac:dyDescent="0.3">
      <c r="A199" t="s">
        <v>13</v>
      </c>
      <c r="B199" s="6" t="s">
        <v>14</v>
      </c>
      <c r="C199" t="s">
        <v>2</v>
      </c>
      <c r="D199" t="s">
        <v>7</v>
      </c>
      <c r="E199" t="s">
        <v>15</v>
      </c>
      <c r="F199" t="s">
        <v>5</v>
      </c>
      <c r="G199" t="s">
        <v>11</v>
      </c>
      <c r="H199" t="s">
        <v>4</v>
      </c>
    </row>
    <row r="200" spans="1:8" ht="15.6" x14ac:dyDescent="0.3">
      <c r="A200" s="2" t="s">
        <v>538</v>
      </c>
      <c r="B200" s="6">
        <v>1</v>
      </c>
      <c r="C200" t="s">
        <v>264</v>
      </c>
      <c r="D200" t="s">
        <v>8</v>
      </c>
      <c r="F200" t="s">
        <v>17</v>
      </c>
      <c r="G200" t="s">
        <v>18</v>
      </c>
      <c r="H200" s="2" t="s">
        <v>304</v>
      </c>
    </row>
    <row r="201" spans="1:8" ht="15.6" x14ac:dyDescent="0.3">
      <c r="A201" s="2" t="s">
        <v>266</v>
      </c>
      <c r="B201" s="6">
        <f>0.15*Parameters!B5</f>
        <v>4.4550000000000001</v>
      </c>
      <c r="C201" t="s">
        <v>264</v>
      </c>
      <c r="D201" t="s">
        <v>8</v>
      </c>
      <c r="F201" t="s">
        <v>20</v>
      </c>
      <c r="G201" t="s">
        <v>18</v>
      </c>
      <c r="H201" s="2" t="s">
        <v>267</v>
      </c>
    </row>
    <row r="202" spans="1:8" x14ac:dyDescent="0.3">
      <c r="A202" t="s">
        <v>306</v>
      </c>
      <c r="B202" s="6">
        <f>1/(90000000*20)</f>
        <v>5.5555555555555553E-10</v>
      </c>
      <c r="C202" t="s">
        <v>26</v>
      </c>
      <c r="D202" t="s">
        <v>7</v>
      </c>
      <c r="F202" t="s">
        <v>20</v>
      </c>
      <c r="G202" t="s">
        <v>308</v>
      </c>
      <c r="H202" t="s">
        <v>307</v>
      </c>
    </row>
    <row r="203" spans="1:8" ht="15.6" x14ac:dyDescent="0.3">
      <c r="A203" s="2" t="s">
        <v>294</v>
      </c>
      <c r="B203" s="6">
        <f>0.01/1000*Parameters!B24*Parameters!G112</f>
        <v>0</v>
      </c>
      <c r="C203" t="s">
        <v>31</v>
      </c>
      <c r="D203" t="s">
        <v>8</v>
      </c>
      <c r="F203" t="s">
        <v>20</v>
      </c>
      <c r="G203" t="s">
        <v>311</v>
      </c>
      <c r="H203" s="2" t="s">
        <v>295</v>
      </c>
    </row>
    <row r="204" spans="1:8" ht="15.6" x14ac:dyDescent="0.3">
      <c r="A204" s="2" t="s">
        <v>252</v>
      </c>
      <c r="B204" s="6">
        <f>0.13/1000*Parameters!B24*Parameters!G112</f>
        <v>0</v>
      </c>
      <c r="C204" t="s">
        <v>31</v>
      </c>
      <c r="D204" t="s">
        <v>8</v>
      </c>
      <c r="F204" t="s">
        <v>20</v>
      </c>
      <c r="G204" t="s">
        <v>312</v>
      </c>
      <c r="H204" s="2" t="s">
        <v>253</v>
      </c>
    </row>
    <row r="205" spans="1:8" ht="15.6" x14ac:dyDescent="0.3">
      <c r="A205" s="2" t="s">
        <v>309</v>
      </c>
      <c r="B205" s="6">
        <f>68.68/1000000*Parameters!B24*Parameters!G112</f>
        <v>0</v>
      </c>
      <c r="C205" t="s">
        <v>31</v>
      </c>
      <c r="D205" t="s">
        <v>8</v>
      </c>
      <c r="F205" t="s">
        <v>20</v>
      </c>
      <c r="G205" t="s">
        <v>313</v>
      </c>
      <c r="H205" s="2" t="s">
        <v>310</v>
      </c>
    </row>
    <row r="206" spans="1:8" ht="15.6" x14ac:dyDescent="0.3">
      <c r="A206" s="2" t="s">
        <v>315</v>
      </c>
      <c r="B206" s="6">
        <f>0.85/1000*Parameters!B24*Parameters!G112</f>
        <v>0</v>
      </c>
      <c r="C206" t="s">
        <v>31</v>
      </c>
      <c r="D206" t="s">
        <v>8</v>
      </c>
      <c r="F206" t="s">
        <v>20</v>
      </c>
      <c r="G206" t="s">
        <v>314</v>
      </c>
      <c r="H206" s="2" t="s">
        <v>316</v>
      </c>
    </row>
    <row r="207" spans="1:8" ht="15.6" x14ac:dyDescent="0.3">
      <c r="A207" s="2" t="s">
        <v>254</v>
      </c>
      <c r="B207" s="6">
        <f>0.75/1000*Parameters!B24*Parameters!G112</f>
        <v>0</v>
      </c>
      <c r="C207" t="s">
        <v>31</v>
      </c>
      <c r="D207" t="s">
        <v>8</v>
      </c>
      <c r="F207" t="s">
        <v>20</v>
      </c>
      <c r="G207" t="s">
        <v>1036</v>
      </c>
      <c r="H207" s="2" t="s">
        <v>256</v>
      </c>
    </row>
    <row r="208" spans="1:8" x14ac:dyDescent="0.3">
      <c r="A208" t="s">
        <v>265</v>
      </c>
      <c r="B208" s="6">
        <f>(B77*B201)-Parameters!$B$13</f>
        <v>4.4659609499999995</v>
      </c>
      <c r="D208" t="s">
        <v>8</v>
      </c>
      <c r="E208" t="s">
        <v>37</v>
      </c>
      <c r="F208" t="s">
        <v>36</v>
      </c>
      <c r="G208" t="s">
        <v>428</v>
      </c>
    </row>
    <row r="209" spans="1:10" ht="15.6" x14ac:dyDescent="0.3">
      <c r="A209" s="2" t="s">
        <v>28</v>
      </c>
      <c r="B209" s="6">
        <f>0.13*Parameters!B5/3.6*-1</f>
        <v>-1.0725</v>
      </c>
      <c r="C209" t="s">
        <v>264</v>
      </c>
      <c r="D209" t="s">
        <v>29</v>
      </c>
      <c r="F209" t="s">
        <v>20</v>
      </c>
      <c r="G209" t="s">
        <v>540</v>
      </c>
      <c r="H209" s="2" t="s">
        <v>30</v>
      </c>
    </row>
    <row r="211" spans="1:10" ht="15.6" x14ac:dyDescent="0.3">
      <c r="A211" s="1" t="s">
        <v>1</v>
      </c>
      <c r="B211" s="73" t="s">
        <v>356</v>
      </c>
    </row>
    <row r="212" spans="1:10" x14ac:dyDescent="0.3">
      <c r="A212" t="s">
        <v>2</v>
      </c>
      <c r="B212" s="6" t="s">
        <v>264</v>
      </c>
    </row>
    <row r="213" spans="1:10" x14ac:dyDescent="0.3">
      <c r="A213" t="s">
        <v>3</v>
      </c>
      <c r="B213" s="6">
        <v>1</v>
      </c>
    </row>
    <row r="214" spans="1:10" ht="15.6" x14ac:dyDescent="0.3">
      <c r="A214" t="s">
        <v>4</v>
      </c>
      <c r="B214" s="74" t="s">
        <v>337</v>
      </c>
    </row>
    <row r="215" spans="1:10" x14ac:dyDescent="0.3">
      <c r="A215" t="s">
        <v>5</v>
      </c>
      <c r="B215" s="6" t="s">
        <v>6</v>
      </c>
    </row>
    <row r="216" spans="1:10" x14ac:dyDescent="0.3">
      <c r="A216" t="s">
        <v>7</v>
      </c>
      <c r="B216" s="6" t="s">
        <v>8</v>
      </c>
    </row>
    <row r="217" spans="1:10" x14ac:dyDescent="0.3">
      <c r="A217" t="s">
        <v>9</v>
      </c>
      <c r="B217" s="6" t="s">
        <v>260</v>
      </c>
    </row>
    <row r="218" spans="1:10" x14ac:dyDescent="0.3">
      <c r="A218" t="s">
        <v>11</v>
      </c>
      <c r="B218" s="6" t="s">
        <v>362</v>
      </c>
    </row>
    <row r="219" spans="1:10" ht="15.6" x14ac:dyDescent="0.3">
      <c r="A219" s="1" t="s">
        <v>12</v>
      </c>
    </row>
    <row r="220" spans="1:10" x14ac:dyDescent="0.3">
      <c r="A220" t="s">
        <v>13</v>
      </c>
      <c r="B220" s="6" t="s">
        <v>14</v>
      </c>
      <c r="C220" t="s">
        <v>2</v>
      </c>
      <c r="D220" t="s">
        <v>7</v>
      </c>
      <c r="E220" t="s">
        <v>15</v>
      </c>
      <c r="F220" t="s">
        <v>5</v>
      </c>
      <c r="G220" t="s">
        <v>338</v>
      </c>
      <c r="H220" t="s">
        <v>339</v>
      </c>
      <c r="I220" t="s">
        <v>11</v>
      </c>
      <c r="J220" t="s">
        <v>4</v>
      </c>
    </row>
    <row r="221" spans="1:10" x14ac:dyDescent="0.3">
      <c r="A221" s="36" t="s">
        <v>356</v>
      </c>
      <c r="B221" s="37">
        <v>1</v>
      </c>
      <c r="C221" t="s">
        <v>264</v>
      </c>
      <c r="D221" s="36" t="s">
        <v>8</v>
      </c>
      <c r="E221" s="36"/>
      <c r="F221" s="36" t="s">
        <v>17</v>
      </c>
      <c r="G221" s="36"/>
      <c r="H221" s="36"/>
      <c r="I221" s="36" t="s">
        <v>18</v>
      </c>
      <c r="J221" s="36" t="s">
        <v>337</v>
      </c>
    </row>
    <row r="222" spans="1:10" ht="15.6" x14ac:dyDescent="0.3">
      <c r="A222" s="2" t="s">
        <v>287</v>
      </c>
      <c r="B222" s="6">
        <v>1.00057</v>
      </c>
      <c r="C222" t="s">
        <v>264</v>
      </c>
      <c r="D222" t="s">
        <v>8</v>
      </c>
      <c r="F222" s="36" t="s">
        <v>20</v>
      </c>
      <c r="G222" t="s">
        <v>18</v>
      </c>
      <c r="I222" s="36"/>
      <c r="J222" s="2" t="s">
        <v>286</v>
      </c>
    </row>
    <row r="223" spans="1:10" x14ac:dyDescent="0.3">
      <c r="A223" s="36" t="s">
        <v>28</v>
      </c>
      <c r="B223" s="37">
        <v>6.7000000000000002E-3</v>
      </c>
      <c r="C223" t="s">
        <v>264</v>
      </c>
      <c r="D223" s="36" t="s">
        <v>29</v>
      </c>
      <c r="E223" s="36"/>
      <c r="F223" s="36" t="s">
        <v>20</v>
      </c>
      <c r="G223" s="36"/>
      <c r="H223" s="36"/>
      <c r="I223" s="36"/>
      <c r="J223" s="36" t="s">
        <v>30</v>
      </c>
    </row>
    <row r="224" spans="1:10" x14ac:dyDescent="0.3">
      <c r="A224" s="36" t="s">
        <v>340</v>
      </c>
      <c r="B224" s="37">
        <v>-1.6799999999999999E-4</v>
      </c>
      <c r="C224" s="36" t="s">
        <v>31</v>
      </c>
      <c r="D224" s="36" t="s">
        <v>8</v>
      </c>
      <c r="E224" s="36"/>
      <c r="F224" s="36" t="s">
        <v>20</v>
      </c>
      <c r="G224" s="36"/>
      <c r="H224" s="36"/>
      <c r="I224" s="36"/>
      <c r="J224" s="36" t="s">
        <v>341</v>
      </c>
    </row>
    <row r="225" spans="1:10" x14ac:dyDescent="0.3">
      <c r="A225" s="36" t="s">
        <v>342</v>
      </c>
      <c r="B225" s="37">
        <v>5.8399999999999999E-4</v>
      </c>
      <c r="C225" s="36" t="s">
        <v>31</v>
      </c>
      <c r="D225" s="36" t="s">
        <v>19</v>
      </c>
      <c r="E225" s="36"/>
      <c r="F225" s="36" t="s">
        <v>20</v>
      </c>
      <c r="G225" s="36"/>
      <c r="H225" s="36"/>
      <c r="I225" s="36"/>
      <c r="J225" s="36" t="s">
        <v>343</v>
      </c>
    </row>
    <row r="226" spans="1:10" x14ac:dyDescent="0.3">
      <c r="A226" s="36" t="s">
        <v>344</v>
      </c>
      <c r="B226" s="37">
        <v>2.5999999999999998E-10</v>
      </c>
      <c r="C226" s="36" t="s">
        <v>31</v>
      </c>
      <c r="D226" s="36" t="s">
        <v>7</v>
      </c>
      <c r="E226" s="36"/>
      <c r="F226" s="36" t="s">
        <v>20</v>
      </c>
      <c r="G226" s="36"/>
      <c r="H226" s="36"/>
      <c r="I226" s="36"/>
      <c r="J226" s="36" t="s">
        <v>345</v>
      </c>
    </row>
    <row r="227" spans="1:10" x14ac:dyDescent="0.3">
      <c r="A227" s="36" t="s">
        <v>346</v>
      </c>
      <c r="B227" s="37">
        <v>-6.2700000000000001E-6</v>
      </c>
      <c r="C227" s="36" t="s">
        <v>31</v>
      </c>
      <c r="D227" s="36" t="s">
        <v>8</v>
      </c>
      <c r="E227" s="36"/>
      <c r="F227" s="36" t="s">
        <v>20</v>
      </c>
      <c r="G227" s="36"/>
      <c r="H227" s="36"/>
      <c r="I227" s="36"/>
      <c r="J227" s="36" t="s">
        <v>347</v>
      </c>
    </row>
    <row r="228" spans="1:10" x14ac:dyDescent="0.3">
      <c r="A228" s="36" t="s">
        <v>348</v>
      </c>
      <c r="B228" s="37">
        <v>-7.4999999999999993E-5</v>
      </c>
      <c r="C228" s="36" t="s">
        <v>31</v>
      </c>
      <c r="D228" s="36" t="s">
        <v>121</v>
      </c>
      <c r="E228" s="36"/>
      <c r="F228" s="36" t="s">
        <v>20</v>
      </c>
      <c r="G228" s="36"/>
      <c r="H228" s="36"/>
      <c r="I228" s="36"/>
      <c r="J228" s="36" t="s">
        <v>349</v>
      </c>
    </row>
    <row r="229" spans="1:10" x14ac:dyDescent="0.3">
      <c r="A229" s="36" t="s">
        <v>350</v>
      </c>
      <c r="B229" s="37">
        <v>6.8900000000000005E-4</v>
      </c>
      <c r="C229" s="36" t="s">
        <v>264</v>
      </c>
      <c r="D229" s="36" t="s">
        <v>8</v>
      </c>
      <c r="E229" s="36"/>
      <c r="F229" s="36" t="s">
        <v>20</v>
      </c>
      <c r="G229" s="36"/>
      <c r="H229" s="36"/>
      <c r="I229" s="36"/>
      <c r="J229" s="36" t="s">
        <v>351</v>
      </c>
    </row>
    <row r="230" spans="1:10" x14ac:dyDescent="0.3">
      <c r="A230" s="36" t="s">
        <v>100</v>
      </c>
      <c r="B230" s="37">
        <v>3.3599999999999998E-2</v>
      </c>
      <c r="C230" s="36" t="s">
        <v>31</v>
      </c>
      <c r="D230" s="36" t="s">
        <v>41</v>
      </c>
      <c r="E230" s="36"/>
      <c r="F230" s="36" t="s">
        <v>20</v>
      </c>
      <c r="G230" s="36"/>
      <c r="H230" s="36"/>
      <c r="I230" s="36"/>
      <c r="J230" s="36" t="s">
        <v>103</v>
      </c>
    </row>
    <row r="231" spans="1:10" x14ac:dyDescent="0.3">
      <c r="A231" s="36" t="s">
        <v>352</v>
      </c>
      <c r="B231" s="37">
        <v>3.2599999999999997E-2</v>
      </c>
      <c r="C231" s="36" t="s">
        <v>581</v>
      </c>
      <c r="D231" s="36" t="s">
        <v>41</v>
      </c>
      <c r="E231" s="36"/>
      <c r="F231" s="36" t="s">
        <v>20</v>
      </c>
      <c r="G231" s="36"/>
      <c r="H231" s="36"/>
      <c r="I231" s="36"/>
      <c r="J231" s="36" t="s">
        <v>353</v>
      </c>
    </row>
    <row r="232" spans="1:10" x14ac:dyDescent="0.3">
      <c r="A232" s="36" t="s">
        <v>354</v>
      </c>
      <c r="B232" s="37">
        <v>-6.8899999999999999E-7</v>
      </c>
      <c r="C232" s="36" t="s">
        <v>31</v>
      </c>
      <c r="D232" s="36" t="s">
        <v>121</v>
      </c>
      <c r="E232" s="36"/>
      <c r="F232" s="36" t="s">
        <v>20</v>
      </c>
      <c r="G232" s="36"/>
      <c r="H232" s="36"/>
      <c r="I232" s="36"/>
      <c r="J232" s="36" t="s">
        <v>355</v>
      </c>
    </row>
    <row r="234" spans="1:10" ht="15.6" x14ac:dyDescent="0.3">
      <c r="A234" s="1" t="s">
        <v>1</v>
      </c>
      <c r="B234" s="73" t="s">
        <v>357</v>
      </c>
    </row>
    <row r="235" spans="1:10" x14ac:dyDescent="0.3">
      <c r="A235" t="s">
        <v>2</v>
      </c>
      <c r="B235" s="6" t="s">
        <v>264</v>
      </c>
    </row>
    <row r="236" spans="1:10" x14ac:dyDescent="0.3">
      <c r="A236" t="s">
        <v>3</v>
      </c>
      <c r="B236" s="6">
        <v>1</v>
      </c>
    </row>
    <row r="237" spans="1:10" ht="15.6" x14ac:dyDescent="0.3">
      <c r="A237" t="s">
        <v>4</v>
      </c>
      <c r="B237" s="74" t="s">
        <v>337</v>
      </c>
    </row>
    <row r="238" spans="1:10" x14ac:dyDescent="0.3">
      <c r="A238" t="s">
        <v>5</v>
      </c>
      <c r="B238" s="6" t="s">
        <v>6</v>
      </c>
    </row>
    <row r="239" spans="1:10" x14ac:dyDescent="0.3">
      <c r="A239" t="s">
        <v>7</v>
      </c>
      <c r="B239" s="6" t="s">
        <v>8</v>
      </c>
    </row>
    <row r="240" spans="1:10" x14ac:dyDescent="0.3">
      <c r="A240" t="s">
        <v>9</v>
      </c>
      <c r="B240" s="6" t="s">
        <v>260</v>
      </c>
    </row>
    <row r="241" spans="1:10" x14ac:dyDescent="0.3">
      <c r="A241" t="s">
        <v>11</v>
      </c>
      <c r="B241" s="6" t="s">
        <v>361</v>
      </c>
    </row>
    <row r="242" spans="1:10" ht="15.6" x14ac:dyDescent="0.3">
      <c r="A242" s="1" t="s">
        <v>12</v>
      </c>
    </row>
    <row r="243" spans="1:10" x14ac:dyDescent="0.3">
      <c r="A243" t="s">
        <v>13</v>
      </c>
      <c r="B243" s="6" t="s">
        <v>14</v>
      </c>
      <c r="C243" t="s">
        <v>2</v>
      </c>
      <c r="D243" t="s">
        <v>7</v>
      </c>
      <c r="E243" t="s">
        <v>15</v>
      </c>
      <c r="F243" t="s">
        <v>5</v>
      </c>
      <c r="G243" t="s">
        <v>338</v>
      </c>
      <c r="H243" t="s">
        <v>339</v>
      </c>
      <c r="I243" t="s">
        <v>11</v>
      </c>
      <c r="J243" t="s">
        <v>4</v>
      </c>
    </row>
    <row r="244" spans="1:10" x14ac:dyDescent="0.3">
      <c r="A244" s="36" t="s">
        <v>357</v>
      </c>
      <c r="B244" s="37">
        <v>1</v>
      </c>
      <c r="C244" t="s">
        <v>264</v>
      </c>
      <c r="D244" s="36" t="s">
        <v>8</v>
      </c>
      <c r="E244" s="36"/>
      <c r="F244" s="36" t="s">
        <v>17</v>
      </c>
      <c r="G244" s="36"/>
      <c r="H244" s="36"/>
      <c r="I244" s="36" t="s">
        <v>18</v>
      </c>
      <c r="J244" s="36" t="s">
        <v>337</v>
      </c>
    </row>
    <row r="245" spans="1:10" ht="15.6" x14ac:dyDescent="0.3">
      <c r="A245" s="2" t="s">
        <v>301</v>
      </c>
      <c r="B245" s="6">
        <v>1.00057</v>
      </c>
      <c r="C245" t="s">
        <v>264</v>
      </c>
      <c r="D245" t="s">
        <v>8</v>
      </c>
      <c r="F245" s="36" t="s">
        <v>20</v>
      </c>
      <c r="G245" t="s">
        <v>18</v>
      </c>
      <c r="I245" s="36"/>
      <c r="J245" s="2" t="s">
        <v>286</v>
      </c>
    </row>
    <row r="246" spans="1:10" x14ac:dyDescent="0.3">
      <c r="A246" s="36" t="s">
        <v>28</v>
      </c>
      <c r="B246" s="37">
        <v>6.7000000000000002E-3</v>
      </c>
      <c r="C246" t="s">
        <v>264</v>
      </c>
      <c r="D246" s="36" t="s">
        <v>29</v>
      </c>
      <c r="E246" s="36"/>
      <c r="F246" s="36" t="s">
        <v>20</v>
      </c>
      <c r="G246" s="36"/>
      <c r="H246" s="36"/>
      <c r="I246" s="36"/>
      <c r="J246" s="36" t="s">
        <v>30</v>
      </c>
    </row>
    <row r="247" spans="1:10" x14ac:dyDescent="0.3">
      <c r="A247" s="36" t="s">
        <v>340</v>
      </c>
      <c r="B247" s="37">
        <v>-1.6799999999999999E-4</v>
      </c>
      <c r="C247" s="36" t="s">
        <v>31</v>
      </c>
      <c r="D247" s="36" t="s">
        <v>8</v>
      </c>
      <c r="E247" s="36"/>
      <c r="F247" s="36" t="s">
        <v>20</v>
      </c>
      <c r="G247" s="36"/>
      <c r="H247" s="36"/>
      <c r="I247" s="36"/>
      <c r="J247" s="36" t="s">
        <v>341</v>
      </c>
    </row>
    <row r="248" spans="1:10" x14ac:dyDescent="0.3">
      <c r="A248" s="36" t="s">
        <v>342</v>
      </c>
      <c r="B248" s="37">
        <v>5.8399999999999999E-4</v>
      </c>
      <c r="C248" s="36" t="s">
        <v>31</v>
      </c>
      <c r="D248" s="36" t="s">
        <v>19</v>
      </c>
      <c r="E248" s="36"/>
      <c r="F248" s="36" t="s">
        <v>20</v>
      </c>
      <c r="G248" s="36"/>
      <c r="H248" s="36"/>
      <c r="I248" s="36"/>
      <c r="J248" s="36" t="s">
        <v>343</v>
      </c>
    </row>
    <row r="249" spans="1:10" x14ac:dyDescent="0.3">
      <c r="A249" s="36" t="s">
        <v>344</v>
      </c>
      <c r="B249" s="37">
        <v>2.5999999999999998E-10</v>
      </c>
      <c r="C249" s="36" t="s">
        <v>31</v>
      </c>
      <c r="D249" s="36" t="s">
        <v>7</v>
      </c>
      <c r="E249" s="36"/>
      <c r="F249" s="36" t="s">
        <v>20</v>
      </c>
      <c r="G249" s="36"/>
      <c r="H249" s="36"/>
      <c r="I249" s="36"/>
      <c r="J249" s="36" t="s">
        <v>345</v>
      </c>
    </row>
    <row r="250" spans="1:10" x14ac:dyDescent="0.3">
      <c r="A250" s="36" t="s">
        <v>346</v>
      </c>
      <c r="B250" s="37">
        <v>-6.2700000000000001E-6</v>
      </c>
      <c r="C250" s="36" t="s">
        <v>31</v>
      </c>
      <c r="D250" s="36" t="s">
        <v>8</v>
      </c>
      <c r="E250" s="36"/>
      <c r="F250" s="36" t="s">
        <v>20</v>
      </c>
      <c r="G250" s="36"/>
      <c r="H250" s="36"/>
      <c r="I250" s="36"/>
      <c r="J250" s="36" t="s">
        <v>347</v>
      </c>
    </row>
    <row r="251" spans="1:10" x14ac:dyDescent="0.3">
      <c r="A251" s="36" t="s">
        <v>348</v>
      </c>
      <c r="B251" s="37">
        <v>-7.4999999999999993E-5</v>
      </c>
      <c r="C251" s="36" t="s">
        <v>31</v>
      </c>
      <c r="D251" s="36" t="s">
        <v>121</v>
      </c>
      <c r="E251" s="36"/>
      <c r="F251" s="36" t="s">
        <v>20</v>
      </c>
      <c r="G251" s="36"/>
      <c r="H251" s="36"/>
      <c r="I251" s="36"/>
      <c r="J251" s="36" t="s">
        <v>349</v>
      </c>
    </row>
    <row r="252" spans="1:10" x14ac:dyDescent="0.3">
      <c r="A252" s="36" t="s">
        <v>350</v>
      </c>
      <c r="B252" s="37">
        <v>6.8900000000000005E-4</v>
      </c>
      <c r="C252" s="36" t="s">
        <v>264</v>
      </c>
      <c r="D252" s="36" t="s">
        <v>8</v>
      </c>
      <c r="E252" s="36"/>
      <c r="F252" s="36" t="s">
        <v>20</v>
      </c>
      <c r="G252" s="36"/>
      <c r="H252" s="36"/>
      <c r="I252" s="36"/>
      <c r="J252" s="36" t="s">
        <v>351</v>
      </c>
    </row>
    <row r="253" spans="1:10" x14ac:dyDescent="0.3">
      <c r="A253" s="36" t="s">
        <v>100</v>
      </c>
      <c r="B253" s="37">
        <v>3.3599999999999998E-2</v>
      </c>
      <c r="C253" s="36" t="s">
        <v>31</v>
      </c>
      <c r="D253" s="36" t="s">
        <v>41</v>
      </c>
      <c r="E253" s="36"/>
      <c r="F253" s="36" t="s">
        <v>20</v>
      </c>
      <c r="G253" s="36"/>
      <c r="H253" s="36"/>
      <c r="I253" s="36"/>
      <c r="J253" s="36" t="s">
        <v>103</v>
      </c>
    </row>
    <row r="254" spans="1:10" x14ac:dyDescent="0.3">
      <c r="A254" s="36" t="s">
        <v>352</v>
      </c>
      <c r="B254" s="37">
        <v>3.2599999999999997E-2</v>
      </c>
      <c r="C254" s="36" t="s">
        <v>581</v>
      </c>
      <c r="D254" s="36" t="s">
        <v>41</v>
      </c>
      <c r="E254" s="36"/>
      <c r="F254" s="36" t="s">
        <v>20</v>
      </c>
      <c r="G254" s="36"/>
      <c r="H254" s="36"/>
      <c r="I254" s="36"/>
      <c r="J254" s="36" t="s">
        <v>353</v>
      </c>
    </row>
    <row r="255" spans="1:10" x14ac:dyDescent="0.3">
      <c r="A255" s="36" t="s">
        <v>354</v>
      </c>
      <c r="B255" s="37">
        <v>-6.8899999999999999E-7</v>
      </c>
      <c r="C255" s="36" t="s">
        <v>31</v>
      </c>
      <c r="D255" s="36" t="s">
        <v>121</v>
      </c>
      <c r="E255" s="36"/>
      <c r="F255" s="36" t="s">
        <v>20</v>
      </c>
      <c r="G255" s="36"/>
      <c r="H255" s="36"/>
      <c r="I255" s="36"/>
      <c r="J255" s="36" t="s">
        <v>355</v>
      </c>
    </row>
    <row r="257" spans="1:10" ht="15.6" x14ac:dyDescent="0.3">
      <c r="A257" s="1" t="s">
        <v>1</v>
      </c>
      <c r="B257" s="73" t="s">
        <v>519</v>
      </c>
    </row>
    <row r="258" spans="1:10" x14ac:dyDescent="0.3">
      <c r="A258" t="s">
        <v>2</v>
      </c>
      <c r="B258" s="6" t="s">
        <v>264</v>
      </c>
    </row>
    <row r="259" spans="1:10" x14ac:dyDescent="0.3">
      <c r="A259" t="s">
        <v>3</v>
      </c>
      <c r="B259" s="6">
        <v>1</v>
      </c>
    </row>
    <row r="260" spans="1:10" ht="15.6" x14ac:dyDescent="0.3">
      <c r="A260" t="s">
        <v>4</v>
      </c>
      <c r="B260" s="74" t="s">
        <v>337</v>
      </c>
    </row>
    <row r="261" spans="1:10" x14ac:dyDescent="0.3">
      <c r="A261" t="s">
        <v>5</v>
      </c>
      <c r="B261" s="6" t="s">
        <v>6</v>
      </c>
    </row>
    <row r="262" spans="1:10" x14ac:dyDescent="0.3">
      <c r="A262" t="s">
        <v>7</v>
      </c>
      <c r="B262" s="6" t="s">
        <v>8</v>
      </c>
    </row>
    <row r="263" spans="1:10" x14ac:dyDescent="0.3">
      <c r="A263" t="s">
        <v>9</v>
      </c>
      <c r="B263" s="6" t="s">
        <v>260</v>
      </c>
    </row>
    <row r="264" spans="1:10" x14ac:dyDescent="0.3">
      <c r="A264" t="s">
        <v>11</v>
      </c>
      <c r="B264" s="6" t="s">
        <v>507</v>
      </c>
    </row>
    <row r="265" spans="1:10" ht="15.6" x14ac:dyDescent="0.3">
      <c r="A265" s="1" t="s">
        <v>12</v>
      </c>
    </row>
    <row r="266" spans="1:10" x14ac:dyDescent="0.3">
      <c r="A266" t="s">
        <v>13</v>
      </c>
      <c r="B266" s="6" t="s">
        <v>14</v>
      </c>
      <c r="C266" t="s">
        <v>2</v>
      </c>
      <c r="D266" t="s">
        <v>7</v>
      </c>
      <c r="E266" t="s">
        <v>15</v>
      </c>
      <c r="F266" t="s">
        <v>5</v>
      </c>
      <c r="G266" t="s">
        <v>338</v>
      </c>
      <c r="H266" t="s">
        <v>339</v>
      </c>
      <c r="I266" t="s">
        <v>11</v>
      </c>
      <c r="J266" t="s">
        <v>4</v>
      </c>
    </row>
    <row r="267" spans="1:10" x14ac:dyDescent="0.3">
      <c r="A267" s="36" t="s">
        <v>519</v>
      </c>
      <c r="B267" s="37">
        <v>1</v>
      </c>
      <c r="C267" t="s">
        <v>264</v>
      </c>
      <c r="D267" s="36" t="s">
        <v>8</v>
      </c>
      <c r="E267" s="36"/>
      <c r="F267" s="36" t="s">
        <v>17</v>
      </c>
      <c r="G267" s="36"/>
      <c r="H267" s="36"/>
      <c r="I267" s="36" t="s">
        <v>18</v>
      </c>
      <c r="J267" s="36" t="s">
        <v>337</v>
      </c>
    </row>
    <row r="268" spans="1:10" ht="15.6" x14ac:dyDescent="0.3">
      <c r="A268" s="2" t="s">
        <v>518</v>
      </c>
      <c r="B268" s="6">
        <v>1.00057</v>
      </c>
      <c r="C268" t="s">
        <v>264</v>
      </c>
      <c r="D268" t="s">
        <v>8</v>
      </c>
      <c r="F268" s="36" t="s">
        <v>20</v>
      </c>
      <c r="G268" t="s">
        <v>18</v>
      </c>
      <c r="I268" s="36"/>
      <c r="J268" s="2" t="s">
        <v>286</v>
      </c>
    </row>
    <row r="269" spans="1:10" x14ac:dyDescent="0.3">
      <c r="A269" s="36" t="s">
        <v>28</v>
      </c>
      <c r="B269" s="37">
        <v>6.7000000000000002E-3</v>
      </c>
      <c r="C269" t="s">
        <v>264</v>
      </c>
      <c r="D269" s="36" t="s">
        <v>29</v>
      </c>
      <c r="E269" s="36"/>
      <c r="F269" s="36" t="s">
        <v>20</v>
      </c>
      <c r="G269" s="36"/>
      <c r="H269" s="36"/>
      <c r="I269" s="36"/>
      <c r="J269" s="36" t="s">
        <v>30</v>
      </c>
    </row>
    <row r="270" spans="1:10" x14ac:dyDescent="0.3">
      <c r="A270" s="36" t="s">
        <v>340</v>
      </c>
      <c r="B270" s="37">
        <v>-1.6799999999999999E-4</v>
      </c>
      <c r="C270" s="36" t="s">
        <v>31</v>
      </c>
      <c r="D270" s="36" t="s">
        <v>8</v>
      </c>
      <c r="E270" s="36"/>
      <c r="F270" s="36" t="s">
        <v>20</v>
      </c>
      <c r="G270" s="36"/>
      <c r="H270" s="36"/>
      <c r="I270" s="36"/>
      <c r="J270" s="36" t="s">
        <v>341</v>
      </c>
    </row>
    <row r="271" spans="1:10" x14ac:dyDescent="0.3">
      <c r="A271" s="36" t="s">
        <v>342</v>
      </c>
      <c r="B271" s="37">
        <v>5.8399999999999999E-4</v>
      </c>
      <c r="C271" s="36" t="s">
        <v>31</v>
      </c>
      <c r="D271" s="36" t="s">
        <v>19</v>
      </c>
      <c r="E271" s="36"/>
      <c r="F271" s="36" t="s">
        <v>20</v>
      </c>
      <c r="G271" s="36"/>
      <c r="H271" s="36"/>
      <c r="I271" s="36"/>
      <c r="J271" s="36" t="s">
        <v>343</v>
      </c>
    </row>
    <row r="272" spans="1:10" x14ac:dyDescent="0.3">
      <c r="A272" s="36" t="s">
        <v>344</v>
      </c>
      <c r="B272" s="37">
        <v>2.5999999999999998E-10</v>
      </c>
      <c r="C272" s="36" t="s">
        <v>31</v>
      </c>
      <c r="D272" s="36" t="s">
        <v>7</v>
      </c>
      <c r="E272" s="36"/>
      <c r="F272" s="36" t="s">
        <v>20</v>
      </c>
      <c r="G272" s="36"/>
      <c r="H272" s="36"/>
      <c r="I272" s="36"/>
      <c r="J272" s="36" t="s">
        <v>345</v>
      </c>
    </row>
    <row r="273" spans="1:10" x14ac:dyDescent="0.3">
      <c r="A273" s="36" t="s">
        <v>346</v>
      </c>
      <c r="B273" s="37">
        <v>-6.2700000000000001E-6</v>
      </c>
      <c r="C273" s="36" t="s">
        <v>31</v>
      </c>
      <c r="D273" s="36" t="s">
        <v>8</v>
      </c>
      <c r="E273" s="36"/>
      <c r="F273" s="36" t="s">
        <v>20</v>
      </c>
      <c r="G273" s="36"/>
      <c r="H273" s="36"/>
      <c r="I273" s="36"/>
      <c r="J273" s="36" t="s">
        <v>347</v>
      </c>
    </row>
    <row r="274" spans="1:10" x14ac:dyDescent="0.3">
      <c r="A274" s="36" t="s">
        <v>348</v>
      </c>
      <c r="B274" s="37">
        <v>-7.4999999999999993E-5</v>
      </c>
      <c r="C274" s="36" t="s">
        <v>31</v>
      </c>
      <c r="D274" s="36" t="s">
        <v>121</v>
      </c>
      <c r="E274" s="36"/>
      <c r="F274" s="36" t="s">
        <v>20</v>
      </c>
      <c r="G274" s="36"/>
      <c r="H274" s="36"/>
      <c r="I274" s="36"/>
      <c r="J274" s="36" t="s">
        <v>349</v>
      </c>
    </row>
    <row r="275" spans="1:10" x14ac:dyDescent="0.3">
      <c r="A275" s="36" t="s">
        <v>350</v>
      </c>
      <c r="B275" s="37">
        <v>6.8900000000000005E-4</v>
      </c>
      <c r="C275" s="36" t="s">
        <v>264</v>
      </c>
      <c r="D275" s="36" t="s">
        <v>8</v>
      </c>
      <c r="E275" s="36"/>
      <c r="F275" s="36" t="s">
        <v>20</v>
      </c>
      <c r="G275" s="36"/>
      <c r="H275" s="36"/>
      <c r="I275" s="36"/>
      <c r="J275" s="36" t="s">
        <v>351</v>
      </c>
    </row>
    <row r="276" spans="1:10" x14ac:dyDescent="0.3">
      <c r="A276" s="36" t="s">
        <v>100</v>
      </c>
      <c r="B276" s="37">
        <v>3.3599999999999998E-2</v>
      </c>
      <c r="C276" s="36" t="s">
        <v>31</v>
      </c>
      <c r="D276" s="36" t="s">
        <v>41</v>
      </c>
      <c r="E276" s="36"/>
      <c r="F276" s="36" t="s">
        <v>20</v>
      </c>
      <c r="G276" s="36"/>
      <c r="H276" s="36"/>
      <c r="I276" s="36"/>
      <c r="J276" s="36" t="s">
        <v>103</v>
      </c>
    </row>
    <row r="277" spans="1:10" x14ac:dyDescent="0.3">
      <c r="A277" s="36" t="s">
        <v>352</v>
      </c>
      <c r="B277" s="37">
        <v>3.2599999999999997E-2</v>
      </c>
      <c r="C277" s="36" t="s">
        <v>581</v>
      </c>
      <c r="D277" s="36" t="s">
        <v>41</v>
      </c>
      <c r="E277" s="36"/>
      <c r="F277" s="36" t="s">
        <v>20</v>
      </c>
      <c r="G277" s="36"/>
      <c r="H277" s="36"/>
      <c r="I277" s="36"/>
      <c r="J277" s="36" t="s">
        <v>353</v>
      </c>
    </row>
    <row r="278" spans="1:10" x14ac:dyDescent="0.3">
      <c r="A278" s="36" t="s">
        <v>354</v>
      </c>
      <c r="B278" s="37">
        <v>-6.8899999999999999E-7</v>
      </c>
      <c r="C278" s="36" t="s">
        <v>31</v>
      </c>
      <c r="D278" s="36" t="s">
        <v>121</v>
      </c>
      <c r="E278" s="36"/>
      <c r="F278" s="36" t="s">
        <v>20</v>
      </c>
      <c r="G278" s="36"/>
      <c r="H278" s="36"/>
      <c r="I278" s="36"/>
      <c r="J278" s="36" t="s">
        <v>355</v>
      </c>
    </row>
    <row r="280" spans="1:10" ht="15.6" x14ac:dyDescent="0.3">
      <c r="A280" s="1" t="s">
        <v>1</v>
      </c>
      <c r="B280" s="73" t="s">
        <v>358</v>
      </c>
    </row>
    <row r="281" spans="1:10" x14ac:dyDescent="0.3">
      <c r="A281" t="s">
        <v>2</v>
      </c>
      <c r="B281" s="6" t="s">
        <v>264</v>
      </c>
    </row>
    <row r="282" spans="1:10" x14ac:dyDescent="0.3">
      <c r="A282" t="s">
        <v>3</v>
      </c>
      <c r="B282" s="6">
        <v>1</v>
      </c>
    </row>
    <row r="283" spans="1:10" ht="15.6" x14ac:dyDescent="0.3">
      <c r="A283" t="s">
        <v>4</v>
      </c>
      <c r="B283" s="74" t="s">
        <v>337</v>
      </c>
    </row>
    <row r="284" spans="1:10" x14ac:dyDescent="0.3">
      <c r="A284" t="s">
        <v>5</v>
      </c>
      <c r="B284" s="6" t="s">
        <v>6</v>
      </c>
    </row>
    <row r="285" spans="1:10" x14ac:dyDescent="0.3">
      <c r="A285" t="s">
        <v>7</v>
      </c>
      <c r="B285" s="6" t="s">
        <v>8</v>
      </c>
    </row>
    <row r="286" spans="1:10" x14ac:dyDescent="0.3">
      <c r="A286" t="s">
        <v>9</v>
      </c>
      <c r="B286" s="6" t="s">
        <v>260</v>
      </c>
    </row>
    <row r="287" spans="1:10" x14ac:dyDescent="0.3">
      <c r="A287" t="s">
        <v>11</v>
      </c>
      <c r="B287" s="6" t="s">
        <v>362</v>
      </c>
    </row>
    <row r="288" spans="1:10" ht="15.6" x14ac:dyDescent="0.3">
      <c r="A288" s="1" t="s">
        <v>12</v>
      </c>
    </row>
    <row r="289" spans="1:10" x14ac:dyDescent="0.3">
      <c r="A289" t="s">
        <v>13</v>
      </c>
      <c r="B289" s="6" t="s">
        <v>14</v>
      </c>
      <c r="C289" t="s">
        <v>2</v>
      </c>
      <c r="D289" t="s">
        <v>7</v>
      </c>
      <c r="E289" t="s">
        <v>15</v>
      </c>
      <c r="F289" t="s">
        <v>5</v>
      </c>
      <c r="G289" t="s">
        <v>338</v>
      </c>
      <c r="H289" t="s">
        <v>339</v>
      </c>
      <c r="I289" t="s">
        <v>11</v>
      </c>
      <c r="J289" t="s">
        <v>4</v>
      </c>
    </row>
    <row r="290" spans="1:10" x14ac:dyDescent="0.3">
      <c r="A290" s="36" t="s">
        <v>358</v>
      </c>
      <c r="B290" s="37">
        <v>1</v>
      </c>
      <c r="C290" t="s">
        <v>264</v>
      </c>
      <c r="D290" s="36" t="s">
        <v>8</v>
      </c>
      <c r="E290" s="36"/>
      <c r="F290" s="36" t="s">
        <v>17</v>
      </c>
      <c r="G290" s="36"/>
      <c r="H290" s="36"/>
      <c r="I290" s="36" t="s">
        <v>18</v>
      </c>
      <c r="J290" s="36" t="s">
        <v>337</v>
      </c>
    </row>
    <row r="291" spans="1:10" ht="15.6" x14ac:dyDescent="0.3">
      <c r="A291" s="2" t="s">
        <v>303</v>
      </c>
      <c r="B291" s="6">
        <v>1.00057</v>
      </c>
      <c r="C291" t="s">
        <v>264</v>
      </c>
      <c r="D291" t="s">
        <v>8</v>
      </c>
      <c r="F291" s="36" t="s">
        <v>20</v>
      </c>
      <c r="G291" t="s">
        <v>18</v>
      </c>
      <c r="I291" s="36"/>
      <c r="J291" s="2" t="s">
        <v>304</v>
      </c>
    </row>
    <row r="292" spans="1:10" x14ac:dyDescent="0.3">
      <c r="A292" s="36" t="s">
        <v>28</v>
      </c>
      <c r="B292" s="37">
        <v>6.7000000000000002E-3</v>
      </c>
      <c r="C292" t="s">
        <v>264</v>
      </c>
      <c r="D292" s="36" t="s">
        <v>29</v>
      </c>
      <c r="E292" s="36"/>
      <c r="F292" s="36" t="s">
        <v>20</v>
      </c>
      <c r="G292" s="36"/>
      <c r="H292" s="36"/>
      <c r="I292" s="36"/>
      <c r="J292" s="36" t="s">
        <v>30</v>
      </c>
    </row>
    <row r="293" spans="1:10" x14ac:dyDescent="0.3">
      <c r="A293" s="36" t="s">
        <v>340</v>
      </c>
      <c r="B293" s="37">
        <v>-1.6799999999999999E-4</v>
      </c>
      <c r="C293" s="36" t="s">
        <v>31</v>
      </c>
      <c r="D293" s="36" t="s">
        <v>8</v>
      </c>
      <c r="E293" s="36"/>
      <c r="F293" s="36" t="s">
        <v>20</v>
      </c>
      <c r="G293" s="36"/>
      <c r="H293" s="36"/>
      <c r="I293" s="36"/>
      <c r="J293" s="36" t="s">
        <v>341</v>
      </c>
    </row>
    <row r="294" spans="1:10" x14ac:dyDescent="0.3">
      <c r="A294" s="36" t="s">
        <v>342</v>
      </c>
      <c r="B294" s="37">
        <v>5.8399999999999999E-4</v>
      </c>
      <c r="C294" s="36" t="s">
        <v>31</v>
      </c>
      <c r="D294" s="36" t="s">
        <v>19</v>
      </c>
      <c r="E294" s="36"/>
      <c r="F294" s="36" t="s">
        <v>20</v>
      </c>
      <c r="G294" s="36"/>
      <c r="H294" s="36"/>
      <c r="I294" s="36"/>
      <c r="J294" s="36" t="s">
        <v>343</v>
      </c>
    </row>
    <row r="295" spans="1:10" x14ac:dyDescent="0.3">
      <c r="A295" s="36" t="s">
        <v>344</v>
      </c>
      <c r="B295" s="37">
        <v>2.5999999999999998E-10</v>
      </c>
      <c r="C295" s="36" t="s">
        <v>31</v>
      </c>
      <c r="D295" s="36" t="s">
        <v>7</v>
      </c>
      <c r="E295" s="36"/>
      <c r="F295" s="36" t="s">
        <v>20</v>
      </c>
      <c r="G295" s="36"/>
      <c r="H295" s="36"/>
      <c r="I295" s="36"/>
      <c r="J295" s="36" t="s">
        <v>345</v>
      </c>
    </row>
    <row r="296" spans="1:10" x14ac:dyDescent="0.3">
      <c r="A296" s="36" t="s">
        <v>346</v>
      </c>
      <c r="B296" s="37">
        <v>-6.2700000000000001E-6</v>
      </c>
      <c r="C296" s="36" t="s">
        <v>31</v>
      </c>
      <c r="D296" s="36" t="s">
        <v>8</v>
      </c>
      <c r="E296" s="36"/>
      <c r="F296" s="36" t="s">
        <v>20</v>
      </c>
      <c r="G296" s="36"/>
      <c r="H296" s="36"/>
      <c r="I296" s="36"/>
      <c r="J296" s="36" t="s">
        <v>347</v>
      </c>
    </row>
    <row r="297" spans="1:10" x14ac:dyDescent="0.3">
      <c r="A297" s="36" t="s">
        <v>348</v>
      </c>
      <c r="B297" s="37">
        <v>-7.4999999999999993E-5</v>
      </c>
      <c r="C297" s="36" t="s">
        <v>31</v>
      </c>
      <c r="D297" s="36" t="s">
        <v>121</v>
      </c>
      <c r="E297" s="36"/>
      <c r="F297" s="36" t="s">
        <v>20</v>
      </c>
      <c r="G297" s="36"/>
      <c r="H297" s="36"/>
      <c r="I297" s="36"/>
      <c r="J297" s="36" t="s">
        <v>349</v>
      </c>
    </row>
    <row r="298" spans="1:10" x14ac:dyDescent="0.3">
      <c r="A298" s="36" t="s">
        <v>350</v>
      </c>
      <c r="B298" s="37">
        <v>6.8900000000000005E-4</v>
      </c>
      <c r="C298" s="36" t="s">
        <v>264</v>
      </c>
      <c r="D298" s="36" t="s">
        <v>8</v>
      </c>
      <c r="E298" s="36"/>
      <c r="F298" s="36" t="s">
        <v>20</v>
      </c>
      <c r="G298" s="36"/>
      <c r="H298" s="36"/>
      <c r="I298" s="36"/>
      <c r="J298" s="36" t="s">
        <v>351</v>
      </c>
    </row>
    <row r="299" spans="1:10" x14ac:dyDescent="0.3">
      <c r="A299" s="36" t="s">
        <v>100</v>
      </c>
      <c r="B299" s="37">
        <v>3.3599999999999998E-2</v>
      </c>
      <c r="C299" s="36" t="s">
        <v>31</v>
      </c>
      <c r="D299" s="36" t="s">
        <v>41</v>
      </c>
      <c r="E299" s="36"/>
      <c r="F299" s="36" t="s">
        <v>20</v>
      </c>
      <c r="G299" s="36"/>
      <c r="H299" s="36"/>
      <c r="I299" s="36"/>
      <c r="J299" s="36" t="s">
        <v>103</v>
      </c>
    </row>
    <row r="300" spans="1:10" x14ac:dyDescent="0.3">
      <c r="A300" s="36" t="s">
        <v>352</v>
      </c>
      <c r="B300" s="37">
        <v>3.2599999999999997E-2</v>
      </c>
      <c r="C300" s="36" t="s">
        <v>581</v>
      </c>
      <c r="D300" s="36" t="s">
        <v>41</v>
      </c>
      <c r="E300" s="36"/>
      <c r="F300" s="36" t="s">
        <v>20</v>
      </c>
      <c r="G300" s="36"/>
      <c r="H300" s="36"/>
      <c r="I300" s="36"/>
      <c r="J300" s="36" t="s">
        <v>353</v>
      </c>
    </row>
    <row r="301" spans="1:10" x14ac:dyDescent="0.3">
      <c r="A301" s="36" t="s">
        <v>354</v>
      </c>
      <c r="B301" s="37">
        <v>-6.8899999999999999E-7</v>
      </c>
      <c r="C301" s="36" t="s">
        <v>31</v>
      </c>
      <c r="D301" s="36" t="s">
        <v>121</v>
      </c>
      <c r="E301" s="36"/>
      <c r="F301" s="36" t="s">
        <v>20</v>
      </c>
      <c r="G301" s="36"/>
      <c r="H301" s="36"/>
      <c r="I301" s="36"/>
      <c r="J301" s="36" t="s">
        <v>355</v>
      </c>
    </row>
    <row r="303" spans="1:10" ht="15.6" x14ac:dyDescent="0.3">
      <c r="A303" s="1" t="s">
        <v>1</v>
      </c>
      <c r="B303" s="73" t="s">
        <v>359</v>
      </c>
    </row>
    <row r="304" spans="1:10" x14ac:dyDescent="0.3">
      <c r="A304" t="s">
        <v>2</v>
      </c>
      <c r="B304" s="6" t="s">
        <v>264</v>
      </c>
    </row>
    <row r="305" spans="1:10" x14ac:dyDescent="0.3">
      <c r="A305" t="s">
        <v>3</v>
      </c>
      <c r="B305" s="6">
        <v>1</v>
      </c>
    </row>
    <row r="306" spans="1:10" ht="15.6" x14ac:dyDescent="0.3">
      <c r="A306" t="s">
        <v>4</v>
      </c>
      <c r="B306" s="74" t="s">
        <v>337</v>
      </c>
    </row>
    <row r="307" spans="1:10" x14ac:dyDescent="0.3">
      <c r="A307" t="s">
        <v>5</v>
      </c>
      <c r="B307" s="6" t="s">
        <v>6</v>
      </c>
    </row>
    <row r="308" spans="1:10" x14ac:dyDescent="0.3">
      <c r="A308" t="s">
        <v>7</v>
      </c>
      <c r="B308" s="6" t="s">
        <v>8</v>
      </c>
    </row>
    <row r="309" spans="1:10" x14ac:dyDescent="0.3">
      <c r="A309" t="s">
        <v>9</v>
      </c>
      <c r="B309" s="6" t="s">
        <v>260</v>
      </c>
    </row>
    <row r="310" spans="1:10" x14ac:dyDescent="0.3">
      <c r="A310" t="s">
        <v>11</v>
      </c>
      <c r="B310" s="6" t="s">
        <v>361</v>
      </c>
    </row>
    <row r="311" spans="1:10" ht="15.6" x14ac:dyDescent="0.3">
      <c r="A311" s="1" t="s">
        <v>12</v>
      </c>
    </row>
    <row r="312" spans="1:10" x14ac:dyDescent="0.3">
      <c r="A312" t="s">
        <v>13</v>
      </c>
      <c r="B312" s="6" t="s">
        <v>14</v>
      </c>
      <c r="C312" t="s">
        <v>2</v>
      </c>
      <c r="D312" t="s">
        <v>7</v>
      </c>
      <c r="E312" t="s">
        <v>15</v>
      </c>
      <c r="F312" t="s">
        <v>5</v>
      </c>
      <c r="G312" t="s">
        <v>338</v>
      </c>
      <c r="H312" t="s">
        <v>339</v>
      </c>
      <c r="I312" t="s">
        <v>11</v>
      </c>
      <c r="J312" t="s">
        <v>4</v>
      </c>
    </row>
    <row r="313" spans="1:10" x14ac:dyDescent="0.3">
      <c r="A313" s="36" t="s">
        <v>359</v>
      </c>
      <c r="B313" s="37">
        <v>1</v>
      </c>
      <c r="C313" t="s">
        <v>264</v>
      </c>
      <c r="D313" s="36" t="s">
        <v>8</v>
      </c>
      <c r="E313" s="36"/>
      <c r="F313" s="36" t="s">
        <v>17</v>
      </c>
      <c r="G313" s="36"/>
      <c r="H313" s="36"/>
      <c r="I313" s="36" t="s">
        <v>18</v>
      </c>
      <c r="J313" s="36" t="s">
        <v>337</v>
      </c>
    </row>
    <row r="314" spans="1:10" ht="15.6" x14ac:dyDescent="0.3">
      <c r="A314" s="2" t="s">
        <v>335</v>
      </c>
      <c r="B314" s="6">
        <v>1.00057</v>
      </c>
      <c r="C314" t="s">
        <v>264</v>
      </c>
      <c r="D314" t="s">
        <v>8</v>
      </c>
      <c r="F314" s="36" t="s">
        <v>20</v>
      </c>
      <c r="G314" t="s">
        <v>18</v>
      </c>
      <c r="I314" s="36"/>
      <c r="J314" s="2" t="s">
        <v>304</v>
      </c>
    </row>
    <row r="315" spans="1:10" x14ac:dyDescent="0.3">
      <c r="A315" s="36" t="s">
        <v>28</v>
      </c>
      <c r="B315" s="37">
        <v>6.7000000000000002E-3</v>
      </c>
      <c r="C315" t="s">
        <v>264</v>
      </c>
      <c r="D315" s="36" t="s">
        <v>29</v>
      </c>
      <c r="E315" s="36"/>
      <c r="F315" s="36" t="s">
        <v>20</v>
      </c>
      <c r="G315" s="36"/>
      <c r="H315" s="36"/>
      <c r="I315" s="36"/>
      <c r="J315" s="36" t="s">
        <v>30</v>
      </c>
    </row>
    <row r="316" spans="1:10" x14ac:dyDescent="0.3">
      <c r="A316" s="36" t="s">
        <v>340</v>
      </c>
      <c r="B316" s="37">
        <v>-1.6799999999999999E-4</v>
      </c>
      <c r="C316" s="36" t="s">
        <v>31</v>
      </c>
      <c r="D316" s="36" t="s">
        <v>8</v>
      </c>
      <c r="E316" s="36"/>
      <c r="F316" s="36" t="s">
        <v>20</v>
      </c>
      <c r="G316" s="36"/>
      <c r="H316" s="36"/>
      <c r="I316" s="36"/>
      <c r="J316" s="36" t="s">
        <v>341</v>
      </c>
    </row>
    <row r="317" spans="1:10" x14ac:dyDescent="0.3">
      <c r="A317" s="36" t="s">
        <v>342</v>
      </c>
      <c r="B317" s="37">
        <v>5.8399999999999999E-4</v>
      </c>
      <c r="C317" s="36" t="s">
        <v>31</v>
      </c>
      <c r="D317" s="36" t="s">
        <v>19</v>
      </c>
      <c r="E317" s="36"/>
      <c r="F317" s="36" t="s">
        <v>20</v>
      </c>
      <c r="G317" s="36"/>
      <c r="H317" s="36"/>
      <c r="I317" s="36"/>
      <c r="J317" s="36" t="s">
        <v>343</v>
      </c>
    </row>
    <row r="318" spans="1:10" x14ac:dyDescent="0.3">
      <c r="A318" s="36" t="s">
        <v>344</v>
      </c>
      <c r="B318" s="37">
        <v>2.5999999999999998E-10</v>
      </c>
      <c r="C318" s="36" t="s">
        <v>31</v>
      </c>
      <c r="D318" s="36" t="s">
        <v>7</v>
      </c>
      <c r="E318" s="36"/>
      <c r="F318" s="36" t="s">
        <v>20</v>
      </c>
      <c r="G318" s="36"/>
      <c r="H318" s="36"/>
      <c r="I318" s="36"/>
      <c r="J318" s="36" t="s">
        <v>345</v>
      </c>
    </row>
    <row r="319" spans="1:10" x14ac:dyDescent="0.3">
      <c r="A319" s="36" t="s">
        <v>346</v>
      </c>
      <c r="B319" s="37">
        <v>-6.2700000000000001E-6</v>
      </c>
      <c r="C319" s="36" t="s">
        <v>31</v>
      </c>
      <c r="D319" s="36" t="s">
        <v>8</v>
      </c>
      <c r="E319" s="36"/>
      <c r="F319" s="36" t="s">
        <v>20</v>
      </c>
      <c r="G319" s="36"/>
      <c r="H319" s="36"/>
      <c r="I319" s="36"/>
      <c r="J319" s="36" t="s">
        <v>347</v>
      </c>
    </row>
    <row r="320" spans="1:10" x14ac:dyDescent="0.3">
      <c r="A320" s="36" t="s">
        <v>348</v>
      </c>
      <c r="B320" s="37">
        <v>-7.4999999999999993E-5</v>
      </c>
      <c r="C320" s="36" t="s">
        <v>31</v>
      </c>
      <c r="D320" s="36" t="s">
        <v>121</v>
      </c>
      <c r="E320" s="36"/>
      <c r="F320" s="36" t="s">
        <v>20</v>
      </c>
      <c r="G320" s="36"/>
      <c r="H320" s="36"/>
      <c r="I320" s="36"/>
      <c r="J320" s="36" t="s">
        <v>349</v>
      </c>
    </row>
    <row r="321" spans="1:10" x14ac:dyDescent="0.3">
      <c r="A321" s="36" t="s">
        <v>350</v>
      </c>
      <c r="B321" s="37">
        <v>6.8900000000000005E-4</v>
      </c>
      <c r="C321" s="36" t="s">
        <v>264</v>
      </c>
      <c r="D321" s="36" t="s">
        <v>8</v>
      </c>
      <c r="E321" s="36"/>
      <c r="F321" s="36" t="s">
        <v>20</v>
      </c>
      <c r="G321" s="36"/>
      <c r="H321" s="36"/>
      <c r="I321" s="36"/>
      <c r="J321" s="36" t="s">
        <v>351</v>
      </c>
    </row>
    <row r="322" spans="1:10" x14ac:dyDescent="0.3">
      <c r="A322" s="36" t="s">
        <v>100</v>
      </c>
      <c r="B322" s="37">
        <v>3.3599999999999998E-2</v>
      </c>
      <c r="C322" s="36" t="s">
        <v>31</v>
      </c>
      <c r="D322" s="36" t="s">
        <v>41</v>
      </c>
      <c r="E322" s="36"/>
      <c r="F322" s="36" t="s">
        <v>20</v>
      </c>
      <c r="G322" s="36"/>
      <c r="H322" s="36"/>
      <c r="I322" s="36"/>
      <c r="J322" s="36" t="s">
        <v>103</v>
      </c>
    </row>
    <row r="323" spans="1:10" x14ac:dyDescent="0.3">
      <c r="A323" s="36" t="s">
        <v>352</v>
      </c>
      <c r="B323" s="37">
        <v>3.2599999999999997E-2</v>
      </c>
      <c r="C323" s="36" t="s">
        <v>581</v>
      </c>
      <c r="D323" s="36" t="s">
        <v>41</v>
      </c>
      <c r="E323" s="36"/>
      <c r="F323" s="36" t="s">
        <v>20</v>
      </c>
      <c r="G323" s="36"/>
      <c r="H323" s="36"/>
      <c r="I323" s="36"/>
      <c r="J323" s="36" t="s">
        <v>353</v>
      </c>
    </row>
    <row r="324" spans="1:10" x14ac:dyDescent="0.3">
      <c r="A324" s="36" t="s">
        <v>354</v>
      </c>
      <c r="B324" s="37">
        <v>-6.8899999999999999E-7</v>
      </c>
      <c r="C324" s="36" t="s">
        <v>31</v>
      </c>
      <c r="D324" s="36" t="s">
        <v>121</v>
      </c>
      <c r="E324" s="36"/>
      <c r="F324" s="36" t="s">
        <v>20</v>
      </c>
      <c r="G324" s="36"/>
      <c r="H324" s="36"/>
      <c r="I324" s="36"/>
      <c r="J324" s="36" t="s">
        <v>355</v>
      </c>
    </row>
    <row r="326" spans="1:10" ht="15.6" x14ac:dyDescent="0.3">
      <c r="A326" s="1" t="s">
        <v>1</v>
      </c>
      <c r="B326" s="73" t="s">
        <v>541</v>
      </c>
    </row>
    <row r="327" spans="1:10" x14ac:dyDescent="0.3">
      <c r="A327" t="s">
        <v>2</v>
      </c>
      <c r="B327" s="6" t="s">
        <v>264</v>
      </c>
    </row>
    <row r="328" spans="1:10" x14ac:dyDescent="0.3">
      <c r="A328" t="s">
        <v>3</v>
      </c>
      <c r="B328" s="6">
        <v>1</v>
      </c>
    </row>
    <row r="329" spans="1:10" ht="15.6" x14ac:dyDescent="0.3">
      <c r="A329" t="s">
        <v>4</v>
      </c>
      <c r="B329" s="74" t="s">
        <v>337</v>
      </c>
    </row>
    <row r="330" spans="1:10" x14ac:dyDescent="0.3">
      <c r="A330" t="s">
        <v>5</v>
      </c>
      <c r="B330" s="6" t="s">
        <v>6</v>
      </c>
    </row>
    <row r="331" spans="1:10" x14ac:dyDescent="0.3">
      <c r="A331" t="s">
        <v>7</v>
      </c>
      <c r="B331" s="6" t="s">
        <v>8</v>
      </c>
    </row>
    <row r="332" spans="1:10" x14ac:dyDescent="0.3">
      <c r="A332" t="s">
        <v>9</v>
      </c>
      <c r="B332" s="6" t="s">
        <v>260</v>
      </c>
    </row>
    <row r="333" spans="1:10" x14ac:dyDescent="0.3">
      <c r="A333" t="s">
        <v>11</v>
      </c>
      <c r="B333" s="6" t="s">
        <v>507</v>
      </c>
    </row>
    <row r="334" spans="1:10" ht="15.6" x14ac:dyDescent="0.3">
      <c r="A334" s="1" t="s">
        <v>12</v>
      </c>
    </row>
    <row r="335" spans="1:10" x14ac:dyDescent="0.3">
      <c r="A335" t="s">
        <v>13</v>
      </c>
      <c r="B335" s="6" t="s">
        <v>14</v>
      </c>
      <c r="C335" t="s">
        <v>2</v>
      </c>
      <c r="D335" t="s">
        <v>7</v>
      </c>
      <c r="E335" t="s">
        <v>15</v>
      </c>
      <c r="F335" t="s">
        <v>5</v>
      </c>
      <c r="G335" t="s">
        <v>338</v>
      </c>
      <c r="H335" t="s">
        <v>339</v>
      </c>
      <c r="I335" t="s">
        <v>11</v>
      </c>
      <c r="J335" t="s">
        <v>4</v>
      </c>
    </row>
    <row r="336" spans="1:10" x14ac:dyDescent="0.3">
      <c r="A336" s="36" t="s">
        <v>541</v>
      </c>
      <c r="B336" s="37">
        <v>1</v>
      </c>
      <c r="C336" t="s">
        <v>264</v>
      </c>
      <c r="D336" s="36" t="s">
        <v>8</v>
      </c>
      <c r="E336" s="36"/>
      <c r="F336" s="36" t="s">
        <v>17</v>
      </c>
      <c r="G336" s="36"/>
      <c r="H336" s="36"/>
      <c r="I336" s="36" t="s">
        <v>18</v>
      </c>
      <c r="J336" s="36" t="s">
        <v>337</v>
      </c>
    </row>
    <row r="337" spans="1:10" ht="15.6" x14ac:dyDescent="0.3">
      <c r="A337" s="2" t="s">
        <v>538</v>
      </c>
      <c r="B337" s="6">
        <v>1.00057</v>
      </c>
      <c r="C337" t="s">
        <v>264</v>
      </c>
      <c r="D337" t="s">
        <v>8</v>
      </c>
      <c r="F337" s="36" t="s">
        <v>20</v>
      </c>
      <c r="G337" t="s">
        <v>18</v>
      </c>
      <c r="I337" s="36"/>
      <c r="J337" s="2" t="s">
        <v>304</v>
      </c>
    </row>
    <row r="338" spans="1:10" x14ac:dyDescent="0.3">
      <c r="A338" s="36" t="s">
        <v>28</v>
      </c>
      <c r="B338" s="37">
        <v>6.7000000000000002E-3</v>
      </c>
      <c r="C338" t="s">
        <v>264</v>
      </c>
      <c r="D338" s="36" t="s">
        <v>29</v>
      </c>
      <c r="E338" s="36"/>
      <c r="F338" s="36" t="s">
        <v>20</v>
      </c>
      <c r="G338" s="36"/>
      <c r="H338" s="36"/>
      <c r="I338" s="36"/>
      <c r="J338" s="36" t="s">
        <v>30</v>
      </c>
    </row>
    <row r="339" spans="1:10" x14ac:dyDescent="0.3">
      <c r="A339" s="36" t="s">
        <v>340</v>
      </c>
      <c r="B339" s="37">
        <v>-1.6799999999999999E-4</v>
      </c>
      <c r="C339" s="36" t="s">
        <v>31</v>
      </c>
      <c r="D339" s="36" t="s">
        <v>8</v>
      </c>
      <c r="E339" s="36"/>
      <c r="F339" s="36" t="s">
        <v>20</v>
      </c>
      <c r="G339" s="36"/>
      <c r="H339" s="36"/>
      <c r="I339" s="36"/>
      <c r="J339" s="36" t="s">
        <v>341</v>
      </c>
    </row>
    <row r="340" spans="1:10" x14ac:dyDescent="0.3">
      <c r="A340" s="36" t="s">
        <v>342</v>
      </c>
      <c r="B340" s="37">
        <v>5.8399999999999999E-4</v>
      </c>
      <c r="C340" s="36" t="s">
        <v>31</v>
      </c>
      <c r="D340" s="36" t="s">
        <v>19</v>
      </c>
      <c r="E340" s="36"/>
      <c r="F340" s="36" t="s">
        <v>20</v>
      </c>
      <c r="G340" s="36"/>
      <c r="H340" s="36"/>
      <c r="I340" s="36"/>
      <c r="J340" s="36" t="s">
        <v>343</v>
      </c>
    </row>
    <row r="341" spans="1:10" x14ac:dyDescent="0.3">
      <c r="A341" s="36" t="s">
        <v>344</v>
      </c>
      <c r="B341" s="37">
        <v>2.5999999999999998E-10</v>
      </c>
      <c r="C341" s="36" t="s">
        <v>31</v>
      </c>
      <c r="D341" s="36" t="s">
        <v>7</v>
      </c>
      <c r="E341" s="36"/>
      <c r="F341" s="36" t="s">
        <v>20</v>
      </c>
      <c r="G341" s="36"/>
      <c r="H341" s="36"/>
      <c r="I341" s="36"/>
      <c r="J341" s="36" t="s">
        <v>345</v>
      </c>
    </row>
    <row r="342" spans="1:10" x14ac:dyDescent="0.3">
      <c r="A342" s="36" t="s">
        <v>346</v>
      </c>
      <c r="B342" s="37">
        <v>-6.2700000000000001E-6</v>
      </c>
      <c r="C342" s="36" t="s">
        <v>31</v>
      </c>
      <c r="D342" s="36" t="s">
        <v>8</v>
      </c>
      <c r="E342" s="36"/>
      <c r="F342" s="36" t="s">
        <v>20</v>
      </c>
      <c r="G342" s="36"/>
      <c r="H342" s="36"/>
      <c r="I342" s="36"/>
      <c r="J342" s="36" t="s">
        <v>347</v>
      </c>
    </row>
    <row r="343" spans="1:10" x14ac:dyDescent="0.3">
      <c r="A343" s="36" t="s">
        <v>348</v>
      </c>
      <c r="B343" s="37">
        <v>-7.4999999999999993E-5</v>
      </c>
      <c r="C343" s="36" t="s">
        <v>31</v>
      </c>
      <c r="D343" s="36" t="s">
        <v>121</v>
      </c>
      <c r="E343" s="36"/>
      <c r="F343" s="36" t="s">
        <v>20</v>
      </c>
      <c r="G343" s="36"/>
      <c r="H343" s="36"/>
      <c r="I343" s="36"/>
      <c r="J343" s="36" t="s">
        <v>349</v>
      </c>
    </row>
    <row r="344" spans="1:10" x14ac:dyDescent="0.3">
      <c r="A344" s="36" t="s">
        <v>350</v>
      </c>
      <c r="B344" s="37">
        <v>6.8900000000000005E-4</v>
      </c>
      <c r="C344" s="36" t="s">
        <v>264</v>
      </c>
      <c r="D344" s="36" t="s">
        <v>8</v>
      </c>
      <c r="E344" s="36"/>
      <c r="F344" s="36" t="s">
        <v>20</v>
      </c>
      <c r="G344" s="36"/>
      <c r="H344" s="36"/>
      <c r="I344" s="36"/>
      <c r="J344" s="36" t="s">
        <v>351</v>
      </c>
    </row>
    <row r="345" spans="1:10" x14ac:dyDescent="0.3">
      <c r="A345" s="36" t="s">
        <v>100</v>
      </c>
      <c r="B345" s="37">
        <v>3.3599999999999998E-2</v>
      </c>
      <c r="C345" s="36" t="s">
        <v>31</v>
      </c>
      <c r="D345" s="36" t="s">
        <v>41</v>
      </c>
      <c r="E345" s="36"/>
      <c r="F345" s="36" t="s">
        <v>20</v>
      </c>
      <c r="G345" s="36"/>
      <c r="H345" s="36"/>
      <c r="I345" s="36"/>
      <c r="J345" s="36" t="s">
        <v>103</v>
      </c>
    </row>
    <row r="346" spans="1:10" x14ac:dyDescent="0.3">
      <c r="A346" s="36" t="s">
        <v>352</v>
      </c>
      <c r="B346" s="37">
        <v>3.2599999999999997E-2</v>
      </c>
      <c r="C346" s="36" t="s">
        <v>581</v>
      </c>
      <c r="D346" s="36" t="s">
        <v>41</v>
      </c>
      <c r="E346" s="36"/>
      <c r="F346" s="36" t="s">
        <v>20</v>
      </c>
      <c r="G346" s="36"/>
      <c r="H346" s="36"/>
      <c r="I346" s="36"/>
      <c r="J346" s="36" t="s">
        <v>353</v>
      </c>
    </row>
    <row r="347" spans="1:10" x14ac:dyDescent="0.3">
      <c r="A347" s="36" t="s">
        <v>354</v>
      </c>
      <c r="B347" s="37">
        <v>-6.8899999999999999E-7</v>
      </c>
      <c r="C347" s="36" t="s">
        <v>31</v>
      </c>
      <c r="D347" s="36" t="s">
        <v>121</v>
      </c>
      <c r="E347" s="36"/>
      <c r="F347" s="36" t="s">
        <v>20</v>
      </c>
      <c r="G347" s="36"/>
      <c r="H347" s="36"/>
      <c r="I347" s="36"/>
      <c r="J347" s="36" t="s">
        <v>355</v>
      </c>
    </row>
  </sheetData>
  <autoFilter ref="A1:J347"/>
  <hyperlinks>
    <hyperlink ref="G78" r:id="rId1"/>
    <hyperlink ref="G77"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abSelected="1" topLeftCell="A63" workbookViewId="0">
      <selection activeCell="B83" sqref="B83"/>
    </sheetView>
  </sheetViews>
  <sheetFormatPr defaultRowHeight="14.4" x14ac:dyDescent="0.3"/>
  <cols>
    <col min="1" max="1" width="50.6640625" bestFit="1" customWidth="1"/>
    <col min="2" max="2" width="12.33203125" style="6" bestFit="1" customWidth="1"/>
    <col min="7" max="7" width="35" customWidth="1"/>
  </cols>
  <sheetData>
    <row r="1" spans="1:8" ht="15.6" x14ac:dyDescent="0.3">
      <c r="A1" s="1" t="s">
        <v>1</v>
      </c>
      <c r="B1" s="73" t="s">
        <v>576</v>
      </c>
    </row>
    <row r="2" spans="1:8" x14ac:dyDescent="0.3">
      <c r="A2" t="s">
        <v>2</v>
      </c>
      <c r="B2" s="6" t="s">
        <v>577</v>
      </c>
    </row>
    <row r="3" spans="1:8" x14ac:dyDescent="0.3">
      <c r="A3" t="s">
        <v>3</v>
      </c>
      <c r="B3" s="6">
        <v>1</v>
      </c>
    </row>
    <row r="4" spans="1:8" ht="15.6" x14ac:dyDescent="0.3">
      <c r="A4" t="s">
        <v>4</v>
      </c>
      <c r="B4" s="74" t="s">
        <v>578</v>
      </c>
    </row>
    <row r="5" spans="1:8" x14ac:dyDescent="0.3">
      <c r="A5" t="s">
        <v>5</v>
      </c>
      <c r="B5" s="6" t="s">
        <v>6</v>
      </c>
    </row>
    <row r="6" spans="1:8" x14ac:dyDescent="0.3">
      <c r="A6" t="s">
        <v>7</v>
      </c>
      <c r="B6" s="6" t="s">
        <v>8</v>
      </c>
    </row>
    <row r="7" spans="1:8" x14ac:dyDescent="0.3">
      <c r="A7" t="s">
        <v>9</v>
      </c>
      <c r="B7" s="6" t="s">
        <v>579</v>
      </c>
    </row>
    <row r="8" spans="1:8" x14ac:dyDescent="0.3">
      <c r="A8" t="s">
        <v>11</v>
      </c>
      <c r="B8" s="6" t="s">
        <v>1021</v>
      </c>
    </row>
    <row r="9" spans="1:8" x14ac:dyDescent="0.3">
      <c r="A9" t="s">
        <v>850</v>
      </c>
      <c r="B9" s="6">
        <v>18.850000000000001</v>
      </c>
    </row>
    <row r="10" spans="1:8" x14ac:dyDescent="0.3">
      <c r="A10" t="s">
        <v>856</v>
      </c>
      <c r="B10" s="78">
        <f>Summary!Q19</f>
        <v>0.4</v>
      </c>
    </row>
    <row r="11" spans="1:8" x14ac:dyDescent="0.3">
      <c r="A11" t="s">
        <v>587</v>
      </c>
      <c r="B11" s="6">
        <v>549</v>
      </c>
    </row>
    <row r="12" spans="1:8" x14ac:dyDescent="0.3">
      <c r="A12" t="s">
        <v>590</v>
      </c>
      <c r="B12" s="6">
        <v>5.2</v>
      </c>
    </row>
    <row r="13" spans="1:8" ht="15.6" x14ac:dyDescent="0.3">
      <c r="A13" s="1" t="s">
        <v>12</v>
      </c>
    </row>
    <row r="14" spans="1:8" x14ac:dyDescent="0.3">
      <c r="A14" t="s">
        <v>13</v>
      </c>
      <c r="B14" s="6" t="s">
        <v>14</v>
      </c>
      <c r="C14" t="s">
        <v>2</v>
      </c>
      <c r="D14" t="s">
        <v>7</v>
      </c>
      <c r="E14" t="s">
        <v>15</v>
      </c>
      <c r="F14" t="s">
        <v>5</v>
      </c>
      <c r="G14" t="s">
        <v>11</v>
      </c>
      <c r="H14" t="s">
        <v>4</v>
      </c>
    </row>
    <row r="15" spans="1:8" ht="15.6" x14ac:dyDescent="0.3">
      <c r="A15" s="2" t="s">
        <v>576</v>
      </c>
      <c r="B15" s="6">
        <v>1</v>
      </c>
      <c r="C15" t="s">
        <v>577</v>
      </c>
      <c r="D15" t="s">
        <v>8</v>
      </c>
      <c r="F15" t="s">
        <v>17</v>
      </c>
      <c r="G15" t="s">
        <v>585</v>
      </c>
      <c r="H15" s="2" t="s">
        <v>578</v>
      </c>
    </row>
    <row r="16" spans="1:8" ht="15.6" x14ac:dyDescent="0.3">
      <c r="A16" s="2" t="s">
        <v>576</v>
      </c>
      <c r="B16" s="6">
        <v>0.14000000000000001</v>
      </c>
      <c r="C16" t="s">
        <v>577</v>
      </c>
      <c r="D16" t="s">
        <v>8</v>
      </c>
      <c r="F16" t="s">
        <v>20</v>
      </c>
      <c r="G16" t="s">
        <v>857</v>
      </c>
      <c r="H16" s="2" t="s">
        <v>578</v>
      </c>
    </row>
    <row r="17" spans="1:8" x14ac:dyDescent="0.3">
      <c r="A17" t="s">
        <v>22</v>
      </c>
      <c r="B17" s="6">
        <f>16.6/1000*43</f>
        <v>0.71379999999999999</v>
      </c>
      <c r="C17" t="s">
        <v>26</v>
      </c>
      <c r="D17" t="s">
        <v>19</v>
      </c>
      <c r="F17" t="s">
        <v>20</v>
      </c>
      <c r="G17" t="s">
        <v>580</v>
      </c>
      <c r="H17" t="s">
        <v>23</v>
      </c>
    </row>
    <row r="18" spans="1:8" x14ac:dyDescent="0.3">
      <c r="A18" t="s">
        <v>28</v>
      </c>
      <c r="B18" s="6">
        <f>4858*Parameters!$B$3/1000/3.6</f>
        <v>1.4237393228333332E-3</v>
      </c>
      <c r="C18" t="s">
        <v>581</v>
      </c>
      <c r="D18" t="s">
        <v>29</v>
      </c>
      <c r="F18" t="s">
        <v>20</v>
      </c>
      <c r="G18" t="s">
        <v>582</v>
      </c>
      <c r="H18" t="s">
        <v>30</v>
      </c>
    </row>
    <row r="19" spans="1:8" x14ac:dyDescent="0.3">
      <c r="A19" t="s">
        <v>352</v>
      </c>
      <c r="B19" s="6">
        <f>50/1000</f>
        <v>0.05</v>
      </c>
      <c r="C19" t="s">
        <v>581</v>
      </c>
      <c r="D19" t="s">
        <v>41</v>
      </c>
      <c r="F19" t="s">
        <v>20</v>
      </c>
      <c r="G19" t="s">
        <v>584</v>
      </c>
      <c r="H19" t="s">
        <v>353</v>
      </c>
    </row>
    <row r="20" spans="1:8" x14ac:dyDescent="0.3">
      <c r="A20" t="s">
        <v>42</v>
      </c>
      <c r="B20" s="6">
        <f>1.06/1000</f>
        <v>1.06E-3</v>
      </c>
      <c r="C20" t="s">
        <v>577</v>
      </c>
      <c r="D20" t="s">
        <v>8</v>
      </c>
      <c r="F20" t="s">
        <v>20</v>
      </c>
      <c r="H20" t="s">
        <v>43</v>
      </c>
    </row>
    <row r="21" spans="1:8" x14ac:dyDescent="0.3">
      <c r="A21" t="s">
        <v>44</v>
      </c>
      <c r="B21" s="6">
        <f>1.79/1000</f>
        <v>1.7900000000000001E-3</v>
      </c>
      <c r="C21" t="s">
        <v>577</v>
      </c>
      <c r="D21" t="s">
        <v>8</v>
      </c>
      <c r="F21" t="s">
        <v>20</v>
      </c>
      <c r="H21" t="s">
        <v>45</v>
      </c>
    </row>
    <row r="22" spans="1:8" x14ac:dyDescent="0.3">
      <c r="A22" t="s">
        <v>46</v>
      </c>
      <c r="B22" s="6">
        <f>1.42/1000</f>
        <v>1.4199999999999998E-3</v>
      </c>
      <c r="C22" t="s">
        <v>577</v>
      </c>
      <c r="D22" t="s">
        <v>8</v>
      </c>
      <c r="F22" t="s">
        <v>20</v>
      </c>
      <c r="H22" t="s">
        <v>47</v>
      </c>
    </row>
    <row r="23" spans="1:8" x14ac:dyDescent="0.3">
      <c r="A23" t="s">
        <v>593</v>
      </c>
      <c r="B23" s="6">
        <f>346.2/1000000</f>
        <v>3.4620000000000001E-4</v>
      </c>
      <c r="C23" t="s">
        <v>26</v>
      </c>
      <c r="D23" t="s">
        <v>8</v>
      </c>
      <c r="F23" t="s">
        <v>20</v>
      </c>
      <c r="G23" t="s">
        <v>595</v>
      </c>
      <c r="H23" t="s">
        <v>594</v>
      </c>
    </row>
    <row r="24" spans="1:8" x14ac:dyDescent="0.3">
      <c r="A24" t="s">
        <v>54</v>
      </c>
      <c r="B24" s="6">
        <f>0.744/1000*Parameters!$B$6</f>
        <v>3.3747839999999997E-4</v>
      </c>
      <c r="C24" t="s">
        <v>26</v>
      </c>
      <c r="D24" t="s">
        <v>8</v>
      </c>
      <c r="F24" t="s">
        <v>20</v>
      </c>
      <c r="G24" t="s">
        <v>583</v>
      </c>
      <c r="H24" t="s">
        <v>55</v>
      </c>
    </row>
    <row r="25" spans="1:8" x14ac:dyDescent="0.3">
      <c r="A25" t="s">
        <v>1046</v>
      </c>
      <c r="B25" s="6">
        <f>1.83*(1-0.4)</f>
        <v>1.0980000000000001</v>
      </c>
      <c r="D25" t="s">
        <v>8</v>
      </c>
      <c r="E25" t="s">
        <v>1047</v>
      </c>
      <c r="F25" t="s">
        <v>36</v>
      </c>
      <c r="G25" s="69" t="s">
        <v>586</v>
      </c>
    </row>
    <row r="26" spans="1:8" x14ac:dyDescent="0.3">
      <c r="A26" t="s">
        <v>108</v>
      </c>
      <c r="B26" s="6">
        <f>B9*(1-0.4)</f>
        <v>11.31</v>
      </c>
      <c r="D26" t="s">
        <v>19</v>
      </c>
      <c r="E26" t="s">
        <v>112</v>
      </c>
      <c r="F26" t="s">
        <v>36</v>
      </c>
      <c r="G26" s="8" t="s">
        <v>592</v>
      </c>
    </row>
    <row r="27" spans="1:8" x14ac:dyDescent="0.3">
      <c r="A27" t="s">
        <v>194</v>
      </c>
      <c r="B27" s="6">
        <f>(1/(B12*1000/(1-0.4)/10000))*5</f>
        <v>5.7692307692307683</v>
      </c>
      <c r="D27" t="s">
        <v>113</v>
      </c>
      <c r="E27" t="s">
        <v>114</v>
      </c>
      <c r="F27" t="s">
        <v>36</v>
      </c>
      <c r="G27" t="s">
        <v>863</v>
      </c>
    </row>
    <row r="28" spans="1:8" x14ac:dyDescent="0.3">
      <c r="A28" t="s">
        <v>195</v>
      </c>
      <c r="B28" s="6">
        <f>1/(B12*1000/(1-0.4)/10000)</f>
        <v>1.1538461538461537</v>
      </c>
      <c r="D28" t="s">
        <v>115</v>
      </c>
      <c r="E28" t="s">
        <v>114</v>
      </c>
      <c r="F28" t="s">
        <v>36</v>
      </c>
      <c r="G28" t="s">
        <v>591</v>
      </c>
    </row>
    <row r="29" spans="1:8" x14ac:dyDescent="0.3">
      <c r="A29" t="s">
        <v>196</v>
      </c>
      <c r="B29" s="6">
        <f>1/(B12*1000/(1-0.4)/10000)</f>
        <v>1.1538461538461537</v>
      </c>
      <c r="D29" t="s">
        <v>115</v>
      </c>
      <c r="E29" t="s">
        <v>114</v>
      </c>
      <c r="F29" t="s">
        <v>36</v>
      </c>
      <c r="G29" t="s">
        <v>591</v>
      </c>
    </row>
    <row r="30" spans="1:8" x14ac:dyDescent="0.3">
      <c r="A30" t="s">
        <v>350</v>
      </c>
      <c r="B30" s="6">
        <v>7.7879884897428794E-2</v>
      </c>
      <c r="C30" t="s">
        <v>633</v>
      </c>
      <c r="D30" s="6" t="s">
        <v>8</v>
      </c>
      <c r="F30" t="s">
        <v>20</v>
      </c>
      <c r="G30" t="s">
        <v>618</v>
      </c>
      <c r="H30" t="s">
        <v>351</v>
      </c>
    </row>
    <row r="31" spans="1:8" x14ac:dyDescent="0.3">
      <c r="A31" t="s">
        <v>214</v>
      </c>
      <c r="B31" s="6">
        <v>1.6877209859665999E-2</v>
      </c>
      <c r="C31" t="s">
        <v>31</v>
      </c>
      <c r="D31" s="6" t="s">
        <v>8</v>
      </c>
      <c r="F31" t="s">
        <v>20</v>
      </c>
      <c r="G31" t="s">
        <v>618</v>
      </c>
      <c r="H31" t="s">
        <v>215</v>
      </c>
    </row>
    <row r="32" spans="1:8" x14ac:dyDescent="0.3">
      <c r="A32" t="s">
        <v>598</v>
      </c>
      <c r="B32" s="6">
        <v>5.9070234508830999E-3</v>
      </c>
      <c r="C32" t="s">
        <v>26</v>
      </c>
      <c r="D32" s="6" t="s">
        <v>7</v>
      </c>
      <c r="F32" t="s">
        <v>20</v>
      </c>
      <c r="G32" t="s">
        <v>618</v>
      </c>
      <c r="H32" t="s">
        <v>597</v>
      </c>
    </row>
    <row r="33" spans="1:8" x14ac:dyDescent="0.3">
      <c r="A33" t="s">
        <v>600</v>
      </c>
      <c r="B33" s="6">
        <v>2.5315814789498999E-3</v>
      </c>
      <c r="C33" t="s">
        <v>31</v>
      </c>
      <c r="D33" s="6" t="s">
        <v>8</v>
      </c>
      <c r="F33" t="s">
        <v>20</v>
      </c>
      <c r="G33" t="s">
        <v>618</v>
      </c>
      <c r="H33" t="s">
        <v>599</v>
      </c>
    </row>
    <row r="34" spans="1:8" x14ac:dyDescent="0.3">
      <c r="A34" t="s">
        <v>602</v>
      </c>
      <c r="B34" s="6">
        <v>4.8184434149346402E-5</v>
      </c>
      <c r="C34" t="s">
        <v>26</v>
      </c>
      <c r="D34" s="6" t="s">
        <v>8</v>
      </c>
      <c r="F34" t="s">
        <v>20</v>
      </c>
      <c r="G34" t="s">
        <v>618</v>
      </c>
      <c r="H34" t="s">
        <v>601</v>
      </c>
    </row>
    <row r="35" spans="1:8" x14ac:dyDescent="0.3">
      <c r="A35" t="s">
        <v>605</v>
      </c>
      <c r="B35" s="6">
        <v>4.0299999999999997E-5</v>
      </c>
      <c r="C35" t="s">
        <v>26</v>
      </c>
      <c r="D35" s="6" t="s">
        <v>603</v>
      </c>
      <c r="F35" t="s">
        <v>20</v>
      </c>
      <c r="G35" t="s">
        <v>618</v>
      </c>
      <c r="H35" t="s">
        <v>604</v>
      </c>
    </row>
    <row r="36" spans="1:8" x14ac:dyDescent="0.3">
      <c r="A36" t="s">
        <v>607</v>
      </c>
      <c r="B36" s="6">
        <v>3.6699999999999998E-5</v>
      </c>
      <c r="C36" t="s">
        <v>26</v>
      </c>
      <c r="D36" s="6" t="s">
        <v>119</v>
      </c>
      <c r="F36" t="s">
        <v>20</v>
      </c>
      <c r="G36" t="s">
        <v>618</v>
      </c>
      <c r="H36" t="s">
        <v>606</v>
      </c>
    </row>
    <row r="37" spans="1:8" x14ac:dyDescent="0.3">
      <c r="A37" t="s">
        <v>186</v>
      </c>
      <c r="B37" s="6">
        <v>2.6299999999999999E-5</v>
      </c>
      <c r="C37" t="s">
        <v>640</v>
      </c>
      <c r="D37" s="6" t="s">
        <v>119</v>
      </c>
      <c r="F37" t="s">
        <v>20</v>
      </c>
      <c r="G37" t="s">
        <v>618</v>
      </c>
      <c r="H37" t="s">
        <v>186</v>
      </c>
    </row>
    <row r="38" spans="1:8" x14ac:dyDescent="0.3">
      <c r="A38" t="s">
        <v>593</v>
      </c>
      <c r="B38" s="6">
        <v>2.6117482257833102E-5</v>
      </c>
      <c r="C38" t="s">
        <v>26</v>
      </c>
      <c r="D38" s="6" t="s">
        <v>8</v>
      </c>
      <c r="F38" t="s">
        <v>20</v>
      </c>
      <c r="G38" t="s">
        <v>618</v>
      </c>
      <c r="H38" t="s">
        <v>594</v>
      </c>
    </row>
    <row r="39" spans="1:8" x14ac:dyDescent="0.3">
      <c r="A39" t="s">
        <v>609</v>
      </c>
      <c r="B39" s="6">
        <v>1.3839312084926099E-5</v>
      </c>
      <c r="C39" t="s">
        <v>26</v>
      </c>
      <c r="D39" s="6" t="s">
        <v>8</v>
      </c>
      <c r="F39" t="s">
        <v>20</v>
      </c>
      <c r="G39" t="s">
        <v>618</v>
      </c>
      <c r="H39" t="s">
        <v>608</v>
      </c>
    </row>
    <row r="40" spans="1:8" x14ac:dyDescent="0.3">
      <c r="A40" t="s">
        <v>611</v>
      </c>
      <c r="B40" s="6">
        <v>8.7761491270263204E-6</v>
      </c>
      <c r="C40" t="s">
        <v>26</v>
      </c>
      <c r="D40" s="6" t="s">
        <v>8</v>
      </c>
      <c r="F40" t="s">
        <v>20</v>
      </c>
      <c r="G40" t="s">
        <v>618</v>
      </c>
      <c r="H40" t="s">
        <v>610</v>
      </c>
    </row>
    <row r="41" spans="1:8" x14ac:dyDescent="0.3">
      <c r="A41" t="s">
        <v>613</v>
      </c>
      <c r="B41" s="6">
        <v>1.7799999999999999E-6</v>
      </c>
      <c r="C41" t="s">
        <v>26</v>
      </c>
      <c r="D41" s="6" t="s">
        <v>119</v>
      </c>
      <c r="F41" t="s">
        <v>20</v>
      </c>
      <c r="G41" t="s">
        <v>618</v>
      </c>
      <c r="H41" t="s">
        <v>612</v>
      </c>
    </row>
    <row r="42" spans="1:8" x14ac:dyDescent="0.3">
      <c r="A42" t="s">
        <v>615</v>
      </c>
      <c r="B42" s="6">
        <v>1.0899999999999999E-6</v>
      </c>
      <c r="C42" t="s">
        <v>26</v>
      </c>
      <c r="D42" s="6" t="s">
        <v>119</v>
      </c>
      <c r="F42" t="s">
        <v>20</v>
      </c>
      <c r="G42" t="s">
        <v>618</v>
      </c>
      <c r="H42" t="s">
        <v>614</v>
      </c>
    </row>
    <row r="43" spans="1:8" x14ac:dyDescent="0.3">
      <c r="A43" t="s">
        <v>127</v>
      </c>
      <c r="B43" s="6">
        <f>48.7/1000000</f>
        <v>4.8700000000000005E-5</v>
      </c>
      <c r="D43" t="s">
        <v>8</v>
      </c>
      <c r="E43" t="s">
        <v>169</v>
      </c>
      <c r="F43" t="s">
        <v>36</v>
      </c>
      <c r="G43" t="s">
        <v>596</v>
      </c>
    </row>
    <row r="44" spans="1:8" x14ac:dyDescent="0.3">
      <c r="A44" t="s">
        <v>40</v>
      </c>
      <c r="B44" s="6">
        <f>17.9/1000000</f>
        <v>1.7899999999999998E-5</v>
      </c>
      <c r="D44" t="s">
        <v>8</v>
      </c>
      <c r="E44" t="s">
        <v>169</v>
      </c>
      <c r="F44" t="s">
        <v>36</v>
      </c>
      <c r="G44" t="s">
        <v>596</v>
      </c>
    </row>
    <row r="45" spans="1:8" x14ac:dyDescent="0.3">
      <c r="A45" t="s">
        <v>38</v>
      </c>
      <c r="B45" s="6">
        <f>2.56/1000000</f>
        <v>2.5600000000000001E-6</v>
      </c>
      <c r="D45" t="s">
        <v>8</v>
      </c>
      <c r="E45" t="s">
        <v>169</v>
      </c>
      <c r="F45" t="s">
        <v>36</v>
      </c>
      <c r="G45" t="s">
        <v>596</v>
      </c>
    </row>
    <row r="46" spans="1:8" x14ac:dyDescent="0.3">
      <c r="A46" t="s">
        <v>325</v>
      </c>
      <c r="B46" s="6">
        <v>8.2726189772973392E-3</v>
      </c>
      <c r="D46" t="s">
        <v>8</v>
      </c>
      <c r="E46" t="s">
        <v>169</v>
      </c>
      <c r="F46" t="s">
        <v>36</v>
      </c>
      <c r="G46" t="s">
        <v>618</v>
      </c>
    </row>
    <row r="47" spans="1:8" x14ac:dyDescent="0.3">
      <c r="A47" t="s">
        <v>172</v>
      </c>
      <c r="B47" s="6">
        <v>5.0339325658422195E-4</v>
      </c>
      <c r="D47" t="s">
        <v>8</v>
      </c>
      <c r="E47" t="s">
        <v>179</v>
      </c>
      <c r="F47" t="s">
        <v>36</v>
      </c>
      <c r="G47" t="s">
        <v>618</v>
      </c>
    </row>
    <row r="48" spans="1:8" x14ac:dyDescent="0.3">
      <c r="A48" t="s">
        <v>126</v>
      </c>
      <c r="B48" s="6">
        <v>7.7879884897428801E-5</v>
      </c>
      <c r="D48" t="s">
        <v>121</v>
      </c>
      <c r="E48" t="s">
        <v>169</v>
      </c>
      <c r="F48" t="s">
        <v>36</v>
      </c>
      <c r="G48" t="s">
        <v>618</v>
      </c>
    </row>
    <row r="49" spans="1:7" x14ac:dyDescent="0.3">
      <c r="A49" t="s">
        <v>155</v>
      </c>
      <c r="B49" s="6">
        <v>2.6117482257833102E-5</v>
      </c>
      <c r="D49" t="s">
        <v>8</v>
      </c>
      <c r="E49" t="s">
        <v>170</v>
      </c>
      <c r="F49" t="s">
        <v>36</v>
      </c>
      <c r="G49" t="s">
        <v>618</v>
      </c>
    </row>
    <row r="50" spans="1:7" x14ac:dyDescent="0.3">
      <c r="A50" t="s">
        <v>173</v>
      </c>
      <c r="B50" s="6">
        <v>8.0579124579124596E-6</v>
      </c>
      <c r="D50" t="s">
        <v>8</v>
      </c>
      <c r="E50" t="s">
        <v>171</v>
      </c>
      <c r="F50" t="s">
        <v>36</v>
      </c>
      <c r="G50" t="s">
        <v>618</v>
      </c>
    </row>
    <row r="51" spans="1:7" x14ac:dyDescent="0.3">
      <c r="A51" t="s">
        <v>168</v>
      </c>
      <c r="B51" s="6">
        <v>5.1053559825489697E-7</v>
      </c>
      <c r="D51" t="s">
        <v>8</v>
      </c>
      <c r="E51" t="s">
        <v>973</v>
      </c>
      <c r="F51" t="s">
        <v>36</v>
      </c>
      <c r="G51" t="s">
        <v>618</v>
      </c>
    </row>
    <row r="52" spans="1:7" x14ac:dyDescent="0.3">
      <c r="A52" t="s">
        <v>619</v>
      </c>
      <c r="B52" s="6">
        <v>4.2193024649165002E-7</v>
      </c>
      <c r="D52" t="s">
        <v>8</v>
      </c>
      <c r="E52" t="s">
        <v>170</v>
      </c>
      <c r="F52" t="s">
        <v>36</v>
      </c>
      <c r="G52" t="s">
        <v>618</v>
      </c>
    </row>
    <row r="53" spans="1:7" x14ac:dyDescent="0.3">
      <c r="A53" t="s">
        <v>145</v>
      </c>
      <c r="B53" s="6">
        <v>3.7045475641966902E-7</v>
      </c>
      <c r="D53" t="s">
        <v>8</v>
      </c>
      <c r="E53" t="s">
        <v>973</v>
      </c>
      <c r="F53" t="s">
        <v>36</v>
      </c>
      <c r="G53" t="s">
        <v>618</v>
      </c>
    </row>
    <row r="54" spans="1:7" x14ac:dyDescent="0.3">
      <c r="A54" t="s">
        <v>333</v>
      </c>
      <c r="B54" s="6">
        <v>3.6496966321527698E-7</v>
      </c>
      <c r="D54" t="s">
        <v>8</v>
      </c>
      <c r="E54" t="s">
        <v>170</v>
      </c>
      <c r="F54" t="s">
        <v>36</v>
      </c>
      <c r="G54" t="s">
        <v>618</v>
      </c>
    </row>
    <row r="55" spans="1:7" x14ac:dyDescent="0.3">
      <c r="A55" t="s">
        <v>138</v>
      </c>
      <c r="B55" s="6">
        <v>7.1728141903580497E-8</v>
      </c>
      <c r="D55" t="s">
        <v>8</v>
      </c>
      <c r="E55" t="s">
        <v>973</v>
      </c>
      <c r="F55" t="s">
        <v>36</v>
      </c>
      <c r="G55" t="s">
        <v>618</v>
      </c>
    </row>
    <row r="56" spans="1:7" x14ac:dyDescent="0.3">
      <c r="A56" t="s">
        <v>148</v>
      </c>
      <c r="B56" s="6">
        <v>2.0969933250635001E-8</v>
      </c>
      <c r="D56" t="s">
        <v>8</v>
      </c>
      <c r="E56" t="s">
        <v>973</v>
      </c>
      <c r="F56" t="s">
        <v>36</v>
      </c>
      <c r="G56" t="s">
        <v>618</v>
      </c>
    </row>
    <row r="57" spans="1:7" x14ac:dyDescent="0.3">
      <c r="A57" t="s">
        <v>168</v>
      </c>
      <c r="B57" s="6">
        <v>5.1053559825489597E-11</v>
      </c>
      <c r="D57" t="s">
        <v>8</v>
      </c>
      <c r="E57" t="s">
        <v>171</v>
      </c>
      <c r="F57" t="s">
        <v>36</v>
      </c>
      <c r="G57" t="s">
        <v>618</v>
      </c>
    </row>
    <row r="58" spans="1:7" x14ac:dyDescent="0.3">
      <c r="A58" t="s">
        <v>199</v>
      </c>
      <c r="B58" s="6">
        <v>3.7045475641966901E-11</v>
      </c>
      <c r="D58" t="s">
        <v>8</v>
      </c>
      <c r="E58" t="s">
        <v>171</v>
      </c>
      <c r="F58" t="s">
        <v>36</v>
      </c>
      <c r="G58" t="s">
        <v>618</v>
      </c>
    </row>
    <row r="59" spans="1:7" x14ac:dyDescent="0.3">
      <c r="A59" t="s">
        <v>202</v>
      </c>
      <c r="B59" s="6">
        <v>7.1728141903580504E-12</v>
      </c>
      <c r="D59" t="s">
        <v>8</v>
      </c>
      <c r="E59" t="s">
        <v>171</v>
      </c>
      <c r="F59" t="s">
        <v>36</v>
      </c>
      <c r="G59" t="s">
        <v>618</v>
      </c>
    </row>
    <row r="60" spans="1:7" x14ac:dyDescent="0.3">
      <c r="A60" t="s">
        <v>198</v>
      </c>
      <c r="B60" s="6">
        <v>2.0969933250635001E-12</v>
      </c>
      <c r="D60" t="s">
        <v>8</v>
      </c>
      <c r="E60" t="s">
        <v>171</v>
      </c>
      <c r="F60" t="s">
        <v>36</v>
      </c>
      <c r="G60" t="s">
        <v>618</v>
      </c>
    </row>
    <row r="61" spans="1:7" x14ac:dyDescent="0.3">
      <c r="A61" t="s">
        <v>200</v>
      </c>
      <c r="B61" s="6">
        <v>-9.704395669307951E-10</v>
      </c>
      <c r="D61" t="s">
        <v>8</v>
      </c>
      <c r="E61" t="s">
        <v>171</v>
      </c>
      <c r="F61" t="s">
        <v>36</v>
      </c>
      <c r="G61" t="s">
        <v>618</v>
      </c>
    </row>
    <row r="62" spans="1:7" x14ac:dyDescent="0.3">
      <c r="A62" t="s">
        <v>206</v>
      </c>
      <c r="B62" s="6">
        <v>-4.4724606128114898E-9</v>
      </c>
      <c r="D62" t="s">
        <v>8</v>
      </c>
      <c r="E62" t="s">
        <v>171</v>
      </c>
      <c r="F62" t="s">
        <v>36</v>
      </c>
      <c r="G62" t="s">
        <v>618</v>
      </c>
    </row>
    <row r="63" spans="1:7" x14ac:dyDescent="0.3">
      <c r="A63" t="s">
        <v>132</v>
      </c>
      <c r="B63" s="6">
        <v>-9.7043956693079499E-6</v>
      </c>
      <c r="D63" t="s">
        <v>8</v>
      </c>
      <c r="E63" t="s">
        <v>973</v>
      </c>
      <c r="F63" t="s">
        <v>36</v>
      </c>
      <c r="G63" t="s">
        <v>618</v>
      </c>
    </row>
    <row r="64" spans="1:7" x14ac:dyDescent="0.3">
      <c r="A64" t="s">
        <v>142</v>
      </c>
      <c r="B64" s="6">
        <v>-4.4724606128114897E-5</v>
      </c>
      <c r="D64" t="s">
        <v>8</v>
      </c>
      <c r="E64" t="s">
        <v>973</v>
      </c>
      <c r="F64" t="s">
        <v>36</v>
      </c>
      <c r="G64" t="s">
        <v>618</v>
      </c>
    </row>
    <row r="66" spans="1:8" ht="15.6" x14ac:dyDescent="0.3">
      <c r="A66" s="1" t="s">
        <v>1</v>
      </c>
      <c r="B66" s="73" t="s">
        <v>620</v>
      </c>
    </row>
    <row r="67" spans="1:8" x14ac:dyDescent="0.3">
      <c r="A67" t="s">
        <v>2</v>
      </c>
      <c r="B67" s="6" t="s">
        <v>577</v>
      </c>
    </row>
    <row r="68" spans="1:8" x14ac:dyDescent="0.3">
      <c r="A68" t="s">
        <v>3</v>
      </c>
      <c r="B68" s="6">
        <v>1</v>
      </c>
    </row>
    <row r="69" spans="1:8" ht="15.6" x14ac:dyDescent="0.3">
      <c r="A69" t="s">
        <v>4</v>
      </c>
      <c r="B69" s="74" t="s">
        <v>621</v>
      </c>
    </row>
    <row r="70" spans="1:8" x14ac:dyDescent="0.3">
      <c r="A70" t="s">
        <v>5</v>
      </c>
      <c r="B70" s="6" t="s">
        <v>6</v>
      </c>
    </row>
    <row r="71" spans="1:8" x14ac:dyDescent="0.3">
      <c r="A71" t="s">
        <v>7</v>
      </c>
      <c r="B71" s="6" t="s">
        <v>8</v>
      </c>
    </row>
    <row r="72" spans="1:8" x14ac:dyDescent="0.3">
      <c r="A72" t="s">
        <v>9</v>
      </c>
      <c r="B72" s="6" t="s">
        <v>579</v>
      </c>
    </row>
    <row r="73" spans="1:8" x14ac:dyDescent="0.3">
      <c r="A73" t="s">
        <v>11</v>
      </c>
      <c r="B73" s="6" t="s">
        <v>627</v>
      </c>
    </row>
    <row r="74" spans="1:8" x14ac:dyDescent="0.3">
      <c r="A74" t="s">
        <v>497</v>
      </c>
      <c r="B74" s="72">
        <f>Summary!O48</f>
        <v>0.45749036497564666</v>
      </c>
    </row>
    <row r="75" spans="1:8" ht="15.6" x14ac:dyDescent="0.3">
      <c r="A75" s="1" t="s">
        <v>12</v>
      </c>
    </row>
    <row r="76" spans="1:8" x14ac:dyDescent="0.3">
      <c r="A76" t="s">
        <v>13</v>
      </c>
      <c r="B76" s="6" t="s">
        <v>14</v>
      </c>
      <c r="C76" t="s">
        <v>2</v>
      </c>
      <c r="D76" t="s">
        <v>7</v>
      </c>
      <c r="E76" t="s">
        <v>15</v>
      </c>
      <c r="F76" t="s">
        <v>5</v>
      </c>
      <c r="G76" t="s">
        <v>11</v>
      </c>
      <c r="H76" t="s">
        <v>4</v>
      </c>
    </row>
    <row r="77" spans="1:8" ht="15.6" x14ac:dyDescent="0.3">
      <c r="A77" s="2" t="s">
        <v>620</v>
      </c>
      <c r="B77" s="6">
        <v>1</v>
      </c>
      <c r="C77" t="s">
        <v>577</v>
      </c>
      <c r="D77" t="s">
        <v>8</v>
      </c>
      <c r="F77" t="s">
        <v>17</v>
      </c>
      <c r="G77" t="s">
        <v>18</v>
      </c>
      <c r="H77" s="2" t="s">
        <v>621</v>
      </c>
    </row>
    <row r="78" spans="1:8" ht="15.6" x14ac:dyDescent="0.3">
      <c r="A78" s="2" t="s">
        <v>576</v>
      </c>
      <c r="B78" s="76">
        <v>5.74</v>
      </c>
      <c r="C78" t="s">
        <v>577</v>
      </c>
      <c r="D78" t="s">
        <v>8</v>
      </c>
      <c r="F78" t="s">
        <v>20</v>
      </c>
      <c r="H78" s="2" t="s">
        <v>578</v>
      </c>
    </row>
    <row r="79" spans="1:8" ht="15.6" x14ac:dyDescent="0.3">
      <c r="A79" s="70" t="s">
        <v>622</v>
      </c>
      <c r="B79" s="77">
        <f>1.64/1000</f>
        <v>1.64E-3</v>
      </c>
      <c r="C79" t="s">
        <v>26</v>
      </c>
      <c r="D79" t="s">
        <v>8</v>
      </c>
      <c r="F79" t="s">
        <v>20</v>
      </c>
      <c r="H79" s="71" t="s">
        <v>623</v>
      </c>
    </row>
    <row r="80" spans="1:8" ht="15.6" x14ac:dyDescent="0.3">
      <c r="A80" s="70" t="s">
        <v>252</v>
      </c>
      <c r="B80" s="77">
        <f>92.9/1000</f>
        <v>9.290000000000001E-2</v>
      </c>
      <c r="C80" t="s">
        <v>581</v>
      </c>
      <c r="D80" t="s">
        <v>8</v>
      </c>
      <c r="F80" t="s">
        <v>20</v>
      </c>
      <c r="H80" t="s">
        <v>253</v>
      </c>
    </row>
    <row r="81" spans="1:8" ht="15.6" x14ac:dyDescent="0.3">
      <c r="A81" s="70" t="s">
        <v>214</v>
      </c>
      <c r="B81" s="77">
        <f>67.7/1000</f>
        <v>6.7699999999999996E-2</v>
      </c>
      <c r="C81" t="s">
        <v>581</v>
      </c>
      <c r="D81" t="s">
        <v>8</v>
      </c>
      <c r="F81" t="s">
        <v>20</v>
      </c>
      <c r="H81" t="s">
        <v>215</v>
      </c>
    </row>
    <row r="82" spans="1:8" ht="15.6" x14ac:dyDescent="0.3">
      <c r="A82" s="70" t="s">
        <v>624</v>
      </c>
      <c r="B82" s="77">
        <f>1.14/1000</f>
        <v>1.14E-3</v>
      </c>
      <c r="C82" t="s">
        <v>581</v>
      </c>
      <c r="D82" t="s">
        <v>8</v>
      </c>
      <c r="F82" t="s">
        <v>20</v>
      </c>
      <c r="H82" s="71" t="s">
        <v>625</v>
      </c>
    </row>
    <row r="83" spans="1:8" ht="15.6" x14ac:dyDescent="0.3">
      <c r="A83" s="70" t="s">
        <v>626</v>
      </c>
      <c r="B83" s="77">
        <f>374.1/1000/1000</f>
        <v>3.7410000000000004E-4</v>
      </c>
      <c r="C83" t="s">
        <v>26</v>
      </c>
      <c r="D83" t="s">
        <v>8</v>
      </c>
      <c r="F83" t="s">
        <v>20</v>
      </c>
      <c r="H83" t="s">
        <v>316</v>
      </c>
    </row>
    <row r="84" spans="1:8" ht="15.6" x14ac:dyDescent="0.3">
      <c r="A84" s="70" t="s">
        <v>631</v>
      </c>
      <c r="B84" s="77">
        <v>-0.22520000000000001</v>
      </c>
      <c r="C84" t="s">
        <v>633</v>
      </c>
      <c r="D84" t="s">
        <v>8</v>
      </c>
      <c r="F84" t="s">
        <v>20</v>
      </c>
      <c r="H84" t="s">
        <v>632</v>
      </c>
    </row>
    <row r="85" spans="1:8" ht="31.2" x14ac:dyDescent="0.3">
      <c r="A85" s="70" t="s">
        <v>634</v>
      </c>
      <c r="B85" s="77">
        <v>-0.1295</v>
      </c>
      <c r="C85" t="s">
        <v>633</v>
      </c>
      <c r="D85" t="s">
        <v>8</v>
      </c>
      <c r="F85" t="s">
        <v>20</v>
      </c>
      <c r="H85" t="s">
        <v>635</v>
      </c>
    </row>
    <row r="86" spans="1:8" ht="15.6" x14ac:dyDescent="0.3">
      <c r="A86" s="70" t="s">
        <v>636</v>
      </c>
      <c r="B86" s="77">
        <f>8.07/1000</f>
        <v>8.0700000000000008E-3</v>
      </c>
      <c r="D86" t="s">
        <v>8</v>
      </c>
      <c r="E86" t="s">
        <v>37</v>
      </c>
      <c r="F86" t="s">
        <v>36</v>
      </c>
    </row>
    <row r="87" spans="1:8" ht="15.6" x14ac:dyDescent="0.3">
      <c r="A87" s="70" t="s">
        <v>258</v>
      </c>
      <c r="B87" s="77">
        <f>0.849/1000</f>
        <v>8.4899999999999993E-4</v>
      </c>
      <c r="D87" t="s">
        <v>8</v>
      </c>
      <c r="E87" t="s">
        <v>37</v>
      </c>
      <c r="F87" t="s">
        <v>36</v>
      </c>
    </row>
    <row r="88" spans="1:8" ht="15.6" x14ac:dyDescent="0.3">
      <c r="A88" s="70" t="s">
        <v>637</v>
      </c>
      <c r="B88" s="77">
        <f>0.06/1000</f>
        <v>5.9999999999999995E-5</v>
      </c>
      <c r="D88" t="s">
        <v>8</v>
      </c>
      <c r="E88" t="s">
        <v>37</v>
      </c>
      <c r="F88" t="s">
        <v>36</v>
      </c>
    </row>
    <row r="89" spans="1:8" ht="15.6" x14ac:dyDescent="0.3">
      <c r="A89" s="70" t="s">
        <v>638</v>
      </c>
      <c r="B89" s="77">
        <f>0.06/1000</f>
        <v>5.9999999999999995E-5</v>
      </c>
      <c r="D89" t="s">
        <v>8</v>
      </c>
      <c r="E89" t="s">
        <v>37</v>
      </c>
      <c r="F89" t="s">
        <v>36</v>
      </c>
    </row>
    <row r="90" spans="1:8" ht="15.6" x14ac:dyDescent="0.3">
      <c r="A90" s="70" t="s">
        <v>265</v>
      </c>
      <c r="B90" s="77">
        <v>4.2</v>
      </c>
      <c r="D90" t="s">
        <v>8</v>
      </c>
      <c r="E90" t="s">
        <v>37</v>
      </c>
      <c r="F90" t="s">
        <v>36</v>
      </c>
    </row>
    <row r="92" spans="1:8" ht="15.6" x14ac:dyDescent="0.3">
      <c r="A92" s="1" t="s">
        <v>1</v>
      </c>
      <c r="B92" s="73" t="s">
        <v>628</v>
      </c>
    </row>
    <row r="93" spans="1:8" x14ac:dyDescent="0.3">
      <c r="A93" t="s">
        <v>2</v>
      </c>
      <c r="B93" s="6" t="s">
        <v>577</v>
      </c>
    </row>
    <row r="94" spans="1:8" x14ac:dyDescent="0.3">
      <c r="A94" t="s">
        <v>3</v>
      </c>
      <c r="B94" s="6">
        <v>1</v>
      </c>
    </row>
    <row r="95" spans="1:8" ht="15.6" x14ac:dyDescent="0.3">
      <c r="A95" t="s">
        <v>4</v>
      </c>
      <c r="B95" s="74" t="s">
        <v>337</v>
      </c>
    </row>
    <row r="96" spans="1:8" x14ac:dyDescent="0.3">
      <c r="A96" t="s">
        <v>5</v>
      </c>
      <c r="B96" s="6" t="s">
        <v>6</v>
      </c>
    </row>
    <row r="97" spans="1:10" x14ac:dyDescent="0.3">
      <c r="A97" t="s">
        <v>7</v>
      </c>
      <c r="B97" s="6" t="s">
        <v>8</v>
      </c>
    </row>
    <row r="98" spans="1:10" x14ac:dyDescent="0.3">
      <c r="A98" t="s">
        <v>9</v>
      </c>
      <c r="B98" s="6" t="s">
        <v>579</v>
      </c>
    </row>
    <row r="99" spans="1:10" x14ac:dyDescent="0.3">
      <c r="A99" t="s">
        <v>11</v>
      </c>
      <c r="B99" s="6" t="s">
        <v>629</v>
      </c>
    </row>
    <row r="100" spans="1:10" ht="15.6" x14ac:dyDescent="0.3">
      <c r="A100" s="1" t="s">
        <v>12</v>
      </c>
    </row>
    <row r="101" spans="1:10" x14ac:dyDescent="0.3">
      <c r="A101" t="s">
        <v>13</v>
      </c>
      <c r="B101" s="6" t="s">
        <v>14</v>
      </c>
      <c r="C101" t="s">
        <v>2</v>
      </c>
      <c r="D101" t="s">
        <v>7</v>
      </c>
      <c r="E101" t="s">
        <v>15</v>
      </c>
      <c r="F101" t="s">
        <v>5</v>
      </c>
      <c r="G101" t="s">
        <v>338</v>
      </c>
      <c r="H101" t="s">
        <v>339</v>
      </c>
      <c r="I101" t="s">
        <v>11</v>
      </c>
      <c r="J101" t="s">
        <v>4</v>
      </c>
    </row>
    <row r="102" spans="1:10" x14ac:dyDescent="0.3">
      <c r="A102" s="36" t="s">
        <v>628</v>
      </c>
      <c r="B102" s="37">
        <v>1</v>
      </c>
      <c r="C102" t="s">
        <v>577</v>
      </c>
      <c r="D102" s="36" t="s">
        <v>8</v>
      </c>
      <c r="E102" s="36"/>
      <c r="F102" s="36" t="s">
        <v>17</v>
      </c>
      <c r="G102" s="36"/>
      <c r="H102" s="36"/>
      <c r="I102" s="36" t="s">
        <v>18</v>
      </c>
      <c r="J102" s="36" t="s">
        <v>337</v>
      </c>
    </row>
    <row r="103" spans="1:10" ht="15.6" x14ac:dyDescent="0.3">
      <c r="A103" s="2" t="s">
        <v>620</v>
      </c>
      <c r="B103" s="6">
        <v>1.00057</v>
      </c>
      <c r="C103" t="s">
        <v>577</v>
      </c>
      <c r="D103" t="s">
        <v>8</v>
      </c>
      <c r="F103" s="36" t="s">
        <v>20</v>
      </c>
      <c r="G103" t="s">
        <v>18</v>
      </c>
      <c r="I103" s="36"/>
      <c r="J103" s="2" t="s">
        <v>286</v>
      </c>
    </row>
    <row r="104" spans="1:10" x14ac:dyDescent="0.3">
      <c r="A104" s="36" t="s">
        <v>28</v>
      </c>
      <c r="B104" s="37">
        <v>6.7000000000000002E-3</v>
      </c>
      <c r="C104" t="s">
        <v>581</v>
      </c>
      <c r="D104" s="36" t="s">
        <v>29</v>
      </c>
      <c r="E104" s="36"/>
      <c r="F104" s="36" t="s">
        <v>20</v>
      </c>
      <c r="G104" s="36"/>
      <c r="H104" s="36"/>
      <c r="I104" s="36"/>
      <c r="J104" s="36" t="s">
        <v>30</v>
      </c>
    </row>
    <row r="105" spans="1:10" x14ac:dyDescent="0.3">
      <c r="A105" s="36" t="s">
        <v>340</v>
      </c>
      <c r="B105" s="37">
        <v>-1.6799999999999999E-4</v>
      </c>
      <c r="C105" s="36" t="s">
        <v>31</v>
      </c>
      <c r="D105" s="36" t="s">
        <v>8</v>
      </c>
      <c r="E105" s="36"/>
      <c r="F105" s="36" t="s">
        <v>20</v>
      </c>
      <c r="G105" s="36"/>
      <c r="H105" s="36"/>
      <c r="I105" s="36"/>
      <c r="J105" s="36" t="s">
        <v>341</v>
      </c>
    </row>
    <row r="106" spans="1:10" x14ac:dyDescent="0.3">
      <c r="A106" s="36" t="s">
        <v>342</v>
      </c>
      <c r="B106" s="37">
        <v>5.8399999999999999E-4</v>
      </c>
      <c r="C106" s="36" t="s">
        <v>31</v>
      </c>
      <c r="D106" s="36" t="s">
        <v>19</v>
      </c>
      <c r="E106" s="36"/>
      <c r="F106" s="36" t="s">
        <v>20</v>
      </c>
      <c r="G106" s="36"/>
      <c r="H106" s="36"/>
      <c r="I106" s="36"/>
      <c r="J106" s="36" t="s">
        <v>343</v>
      </c>
    </row>
    <row r="107" spans="1:10" x14ac:dyDescent="0.3">
      <c r="A107" s="36" t="s">
        <v>344</v>
      </c>
      <c r="B107" s="37">
        <v>2.5999999999999998E-10</v>
      </c>
      <c r="C107" s="36" t="s">
        <v>31</v>
      </c>
      <c r="D107" s="36" t="s">
        <v>7</v>
      </c>
      <c r="E107" s="36"/>
      <c r="F107" s="36" t="s">
        <v>20</v>
      </c>
      <c r="G107" s="36"/>
      <c r="H107" s="36"/>
      <c r="I107" s="36"/>
      <c r="J107" s="36" t="s">
        <v>345</v>
      </c>
    </row>
    <row r="108" spans="1:10" x14ac:dyDescent="0.3">
      <c r="A108" s="36" t="s">
        <v>346</v>
      </c>
      <c r="B108" s="37">
        <v>-6.2700000000000001E-6</v>
      </c>
      <c r="C108" s="36" t="s">
        <v>31</v>
      </c>
      <c r="D108" s="36" t="s">
        <v>8</v>
      </c>
      <c r="E108" s="36"/>
      <c r="F108" s="36" t="s">
        <v>20</v>
      </c>
      <c r="G108" s="36"/>
      <c r="H108" s="36"/>
      <c r="I108" s="36"/>
      <c r="J108" s="36" t="s">
        <v>347</v>
      </c>
    </row>
    <row r="109" spans="1:10" x14ac:dyDescent="0.3">
      <c r="A109" s="36" t="s">
        <v>348</v>
      </c>
      <c r="B109" s="37">
        <v>-7.4999999999999993E-5</v>
      </c>
      <c r="C109" s="36" t="s">
        <v>31</v>
      </c>
      <c r="D109" s="36" t="s">
        <v>121</v>
      </c>
      <c r="E109" s="36"/>
      <c r="F109" s="36" t="s">
        <v>20</v>
      </c>
      <c r="G109" s="36"/>
      <c r="H109" s="36"/>
      <c r="I109" s="36"/>
      <c r="J109" s="36" t="s">
        <v>349</v>
      </c>
    </row>
    <row r="110" spans="1:10" x14ac:dyDescent="0.3">
      <c r="A110" s="36" t="s">
        <v>350</v>
      </c>
      <c r="B110" s="37">
        <v>6.8900000000000005E-4</v>
      </c>
      <c r="C110" s="36" t="s">
        <v>633</v>
      </c>
      <c r="D110" s="36" t="s">
        <v>8</v>
      </c>
      <c r="E110" s="36"/>
      <c r="F110" s="36" t="s">
        <v>20</v>
      </c>
      <c r="G110" s="36"/>
      <c r="H110" s="36"/>
      <c r="I110" s="36"/>
      <c r="J110" s="36" t="s">
        <v>351</v>
      </c>
    </row>
    <row r="111" spans="1:10" x14ac:dyDescent="0.3">
      <c r="A111" s="36" t="s">
        <v>100</v>
      </c>
      <c r="B111" s="37">
        <v>3.3599999999999998E-2</v>
      </c>
      <c r="C111" s="36" t="s">
        <v>31</v>
      </c>
      <c r="D111" s="36" t="s">
        <v>41</v>
      </c>
      <c r="E111" s="36"/>
      <c r="F111" s="36" t="s">
        <v>20</v>
      </c>
      <c r="G111" s="36"/>
      <c r="H111" s="36"/>
      <c r="I111" s="36"/>
      <c r="J111" s="36" t="s">
        <v>103</v>
      </c>
    </row>
    <row r="112" spans="1:10" x14ac:dyDescent="0.3">
      <c r="A112" s="36" t="s">
        <v>352</v>
      </c>
      <c r="B112" s="37">
        <v>3.2599999999999997E-2</v>
      </c>
      <c r="C112" s="36" t="s">
        <v>581</v>
      </c>
      <c r="D112" s="36" t="s">
        <v>41</v>
      </c>
      <c r="E112" s="36"/>
      <c r="F112" s="36" t="s">
        <v>20</v>
      </c>
      <c r="G112" s="36"/>
      <c r="H112" s="36"/>
      <c r="I112" s="36"/>
      <c r="J112" s="36" t="s">
        <v>353</v>
      </c>
    </row>
    <row r="113" spans="1:10" x14ac:dyDescent="0.3">
      <c r="A113" s="36" t="s">
        <v>354</v>
      </c>
      <c r="B113" s="37">
        <v>-6.8899999999999999E-7</v>
      </c>
      <c r="C113" s="36" t="s">
        <v>31</v>
      </c>
      <c r="D113" s="36" t="s">
        <v>121</v>
      </c>
      <c r="E113" s="36"/>
      <c r="F113" s="36" t="s">
        <v>20</v>
      </c>
      <c r="G113" s="36"/>
      <c r="H113" s="36"/>
      <c r="I113" s="36"/>
      <c r="J113" s="36" t="s">
        <v>355</v>
      </c>
    </row>
  </sheetData>
  <autoFilter ref="A1:J113"/>
  <hyperlinks>
    <hyperlink ref="G26"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1"/>
  <sheetViews>
    <sheetView topLeftCell="A488" workbookViewId="0">
      <selection activeCell="C520" sqref="C520"/>
    </sheetView>
  </sheetViews>
  <sheetFormatPr defaultRowHeight="14.4" x14ac:dyDescent="0.3"/>
  <cols>
    <col min="1" max="1" width="55.44140625" customWidth="1"/>
    <col min="2" max="2" width="9.77734375" style="6" customWidth="1"/>
    <col min="4" max="4" width="16.6640625" customWidth="1"/>
    <col min="6" max="6" width="11.5546875" customWidth="1"/>
    <col min="10" max="10" width="18.6640625" customWidth="1"/>
    <col min="13" max="13" width="9.6640625" bestFit="1" customWidth="1"/>
    <col min="14" max="14" width="10.6640625" bestFit="1" customWidth="1"/>
    <col min="18" max="18" width="9.6640625" bestFit="1" customWidth="1"/>
  </cols>
  <sheetData>
    <row r="1" spans="1:8" ht="15.6" x14ac:dyDescent="0.3">
      <c r="A1" s="1" t="s">
        <v>1</v>
      </c>
      <c r="B1" s="73" t="s">
        <v>852</v>
      </c>
    </row>
    <row r="2" spans="1:8" x14ac:dyDescent="0.3">
      <c r="A2" t="s">
        <v>2</v>
      </c>
      <c r="B2" s="6" t="s">
        <v>581</v>
      </c>
    </row>
    <row r="3" spans="1:8" x14ac:dyDescent="0.3">
      <c r="A3" t="s">
        <v>3</v>
      </c>
      <c r="B3" s="5">
        <v>1</v>
      </c>
    </row>
    <row r="4" spans="1:8" x14ac:dyDescent="0.3">
      <c r="A4" t="s">
        <v>4</v>
      </c>
      <c r="B4" s="5" t="s">
        <v>853</v>
      </c>
    </row>
    <row r="5" spans="1:8" x14ac:dyDescent="0.3">
      <c r="A5" t="s">
        <v>5</v>
      </c>
      <c r="B5" s="5" t="s">
        <v>6</v>
      </c>
    </row>
    <row r="6" spans="1:8" x14ac:dyDescent="0.3">
      <c r="A6" t="s">
        <v>7</v>
      </c>
      <c r="B6" s="5" t="s">
        <v>8</v>
      </c>
    </row>
    <row r="7" spans="1:8" x14ac:dyDescent="0.3">
      <c r="A7" t="s">
        <v>9</v>
      </c>
      <c r="B7" s="6" t="s">
        <v>641</v>
      </c>
    </row>
    <row r="8" spans="1:8" x14ac:dyDescent="0.3">
      <c r="A8" t="s">
        <v>11</v>
      </c>
      <c r="B8" s="5" t="s">
        <v>851</v>
      </c>
    </row>
    <row r="9" spans="1:8" x14ac:dyDescent="0.3">
      <c r="A9" t="s">
        <v>850</v>
      </c>
      <c r="B9" s="5">
        <v>15.15</v>
      </c>
    </row>
    <row r="10" spans="1:8" x14ac:dyDescent="0.3">
      <c r="A10" t="s">
        <v>856</v>
      </c>
      <c r="B10" s="78">
        <v>0.13500000000000001</v>
      </c>
    </row>
    <row r="11" spans="1:8" ht="15.6" x14ac:dyDescent="0.3">
      <c r="A11" s="1" t="s">
        <v>12</v>
      </c>
    </row>
    <row r="12" spans="1:8" x14ac:dyDescent="0.3">
      <c r="A12" t="s">
        <v>13</v>
      </c>
      <c r="B12" s="6" t="s">
        <v>14</v>
      </c>
      <c r="C12" t="s">
        <v>2</v>
      </c>
      <c r="D12" t="s">
        <v>7</v>
      </c>
      <c r="E12" t="s">
        <v>15</v>
      </c>
      <c r="F12" t="s">
        <v>5</v>
      </c>
      <c r="G12" t="s">
        <v>11</v>
      </c>
      <c r="H12" t="s">
        <v>4</v>
      </c>
    </row>
    <row r="13" spans="1:8" x14ac:dyDescent="0.3">
      <c r="A13" t="s">
        <v>852</v>
      </c>
      <c r="B13" s="6">
        <v>1</v>
      </c>
      <c r="C13" t="s">
        <v>581</v>
      </c>
      <c r="D13" t="s">
        <v>8</v>
      </c>
      <c r="E13" t="s">
        <v>681</v>
      </c>
      <c r="F13" t="s">
        <v>17</v>
      </c>
      <c r="G13" t="s">
        <v>18</v>
      </c>
      <c r="H13" t="s">
        <v>853</v>
      </c>
    </row>
    <row r="14" spans="1:8" x14ac:dyDescent="0.3">
      <c r="A14" t="s">
        <v>852</v>
      </c>
      <c r="B14" s="6">
        <v>0.14000000000000001</v>
      </c>
      <c r="C14" t="s">
        <v>581</v>
      </c>
      <c r="D14" t="s">
        <v>8</v>
      </c>
      <c r="F14" t="s">
        <v>20</v>
      </c>
      <c r="G14" t="s">
        <v>857</v>
      </c>
      <c r="H14" t="s">
        <v>853</v>
      </c>
    </row>
    <row r="15" spans="1:8" x14ac:dyDescent="0.3">
      <c r="A15" t="s">
        <v>979</v>
      </c>
      <c r="B15" s="6">
        <v>1.6118842500000003E-4</v>
      </c>
      <c r="C15" t="s">
        <v>26</v>
      </c>
      <c r="D15" t="s">
        <v>8</v>
      </c>
      <c r="E15" t="s">
        <v>646</v>
      </c>
      <c r="F15" t="s">
        <v>20</v>
      </c>
      <c r="G15" t="s">
        <v>824</v>
      </c>
      <c r="H15" t="s">
        <v>980</v>
      </c>
    </row>
    <row r="16" spans="1:8" x14ac:dyDescent="0.3">
      <c r="A16" t="s">
        <v>42</v>
      </c>
      <c r="B16" s="6">
        <v>1.7036175000000001E-2</v>
      </c>
      <c r="C16" t="s">
        <v>640</v>
      </c>
      <c r="D16" t="s">
        <v>8</v>
      </c>
      <c r="E16" t="s">
        <v>643</v>
      </c>
      <c r="F16" t="s">
        <v>20</v>
      </c>
      <c r="G16" t="s">
        <v>825</v>
      </c>
      <c r="H16" t="s">
        <v>43</v>
      </c>
    </row>
    <row r="17" spans="1:8" x14ac:dyDescent="0.3">
      <c r="A17" t="s">
        <v>617</v>
      </c>
      <c r="B17" s="6">
        <v>8.8036915646023683E-7</v>
      </c>
      <c r="C17" t="s">
        <v>26</v>
      </c>
      <c r="D17" t="s">
        <v>8</v>
      </c>
      <c r="E17" t="s">
        <v>643</v>
      </c>
      <c r="F17" t="s">
        <v>20</v>
      </c>
      <c r="G17" t="s">
        <v>781</v>
      </c>
      <c r="H17" t="s">
        <v>616</v>
      </c>
    </row>
    <row r="18" spans="1:8" x14ac:dyDescent="0.3">
      <c r="A18" t="s">
        <v>44</v>
      </c>
      <c r="B18" s="6">
        <v>3.9314249999999997E-3</v>
      </c>
      <c r="C18" t="s">
        <v>640</v>
      </c>
      <c r="D18" t="s">
        <v>8</v>
      </c>
      <c r="E18" t="s">
        <v>643</v>
      </c>
      <c r="F18" t="s">
        <v>20</v>
      </c>
      <c r="G18" t="s">
        <v>826</v>
      </c>
      <c r="H18" t="s">
        <v>45</v>
      </c>
    </row>
    <row r="19" spans="1:8" x14ac:dyDescent="0.3">
      <c r="A19" t="s">
        <v>46</v>
      </c>
      <c r="B19" s="6">
        <v>2.6209500000000004E-3</v>
      </c>
      <c r="C19" t="s">
        <v>640</v>
      </c>
      <c r="D19" t="s">
        <v>8</v>
      </c>
      <c r="E19" t="s">
        <v>643</v>
      </c>
      <c r="F19" t="s">
        <v>20</v>
      </c>
      <c r="G19" t="s">
        <v>826</v>
      </c>
      <c r="H19" t="s">
        <v>47</v>
      </c>
    </row>
    <row r="20" spans="1:8" x14ac:dyDescent="0.3">
      <c r="A20" t="s">
        <v>48</v>
      </c>
      <c r="B20" s="6">
        <v>3.4072350000000001E-2</v>
      </c>
      <c r="C20" t="s">
        <v>26</v>
      </c>
      <c r="D20" t="s">
        <v>8</v>
      </c>
      <c r="E20" t="s">
        <v>643</v>
      </c>
      <c r="F20" t="s">
        <v>20</v>
      </c>
      <c r="G20" t="s">
        <v>825</v>
      </c>
      <c r="H20" t="s">
        <v>49</v>
      </c>
    </row>
    <row r="21" spans="1:8" x14ac:dyDescent="0.3">
      <c r="A21" t="s">
        <v>827</v>
      </c>
      <c r="B21" s="6">
        <v>5.2419000000000007E-3</v>
      </c>
      <c r="C21" t="s">
        <v>26</v>
      </c>
      <c r="D21" t="s">
        <v>8</v>
      </c>
      <c r="E21" t="s">
        <v>643</v>
      </c>
      <c r="F21" t="s">
        <v>20</v>
      </c>
      <c r="G21" t="s">
        <v>828</v>
      </c>
      <c r="H21" t="s">
        <v>829</v>
      </c>
    </row>
    <row r="22" spans="1:8" x14ac:dyDescent="0.3">
      <c r="A22" t="s">
        <v>22</v>
      </c>
      <c r="B22" s="6">
        <v>0.50208228675</v>
      </c>
      <c r="C22" t="s">
        <v>26</v>
      </c>
      <c r="D22" t="s">
        <v>19</v>
      </c>
      <c r="E22" t="s">
        <v>643</v>
      </c>
      <c r="F22" t="s">
        <v>20</v>
      </c>
      <c r="G22" t="s">
        <v>781</v>
      </c>
      <c r="H22" t="s">
        <v>23</v>
      </c>
    </row>
    <row r="23" spans="1:8" x14ac:dyDescent="0.3">
      <c r="A23" t="s">
        <v>660</v>
      </c>
      <c r="B23" s="6">
        <v>1.8215602500000003E-4</v>
      </c>
      <c r="C23" t="s">
        <v>633</v>
      </c>
      <c r="D23" t="s">
        <v>29</v>
      </c>
      <c r="E23" t="s">
        <v>646</v>
      </c>
      <c r="F23" t="s">
        <v>20</v>
      </c>
      <c r="G23" t="s">
        <v>824</v>
      </c>
      <c r="H23" t="s">
        <v>662</v>
      </c>
    </row>
    <row r="24" spans="1:8" x14ac:dyDescent="0.3">
      <c r="A24" t="s">
        <v>660</v>
      </c>
      <c r="B24" s="6">
        <v>1.4155344702750001E-3</v>
      </c>
      <c r="C24" t="s">
        <v>633</v>
      </c>
      <c r="D24" t="s">
        <v>29</v>
      </c>
      <c r="E24" t="s">
        <v>646</v>
      </c>
      <c r="F24" t="s">
        <v>20</v>
      </c>
      <c r="G24" t="s">
        <v>830</v>
      </c>
      <c r="H24" t="s">
        <v>662</v>
      </c>
    </row>
    <row r="25" spans="1:8" x14ac:dyDescent="0.3">
      <c r="A25" t="s">
        <v>352</v>
      </c>
      <c r="B25" s="6">
        <v>4.3250000000000004E-2</v>
      </c>
      <c r="C25" t="s">
        <v>581</v>
      </c>
      <c r="D25" t="s">
        <v>41</v>
      </c>
      <c r="F25" t="s">
        <v>20</v>
      </c>
      <c r="H25" t="s">
        <v>353</v>
      </c>
    </row>
    <row r="26" spans="1:8" x14ac:dyDescent="0.3">
      <c r="A26" t="s">
        <v>40</v>
      </c>
      <c r="B26" s="6">
        <v>5.8185090000000006E-4</v>
      </c>
      <c r="D26" t="s">
        <v>8</v>
      </c>
      <c r="E26" t="s">
        <v>37</v>
      </c>
      <c r="F26" t="s">
        <v>36</v>
      </c>
      <c r="G26" t="s">
        <v>18</v>
      </c>
    </row>
    <row r="27" spans="1:8" x14ac:dyDescent="0.3">
      <c r="A27" t="s">
        <v>108</v>
      </c>
      <c r="B27" s="6">
        <f>B9*(1-B10)</f>
        <v>13.104750000000001</v>
      </c>
      <c r="D27" t="s">
        <v>19</v>
      </c>
      <c r="E27" t="s">
        <v>112</v>
      </c>
      <c r="F27" t="s">
        <v>36</v>
      </c>
      <c r="G27" t="s">
        <v>804</v>
      </c>
    </row>
    <row r="28" spans="1:8" x14ac:dyDescent="0.3">
      <c r="A28" t="s">
        <v>1046</v>
      </c>
      <c r="B28" s="6">
        <f>0.458*(44/12)*(1-B10)</f>
        <v>1.4526233333333334</v>
      </c>
      <c r="D28" t="s">
        <v>8</v>
      </c>
      <c r="E28" t="s">
        <v>1047</v>
      </c>
      <c r="F28" t="s">
        <v>36</v>
      </c>
      <c r="G28" t="s">
        <v>883</v>
      </c>
    </row>
    <row r="29" spans="1:8" x14ac:dyDescent="0.3">
      <c r="A29" t="s">
        <v>194</v>
      </c>
      <c r="B29" s="6">
        <v>1.4921511126444715</v>
      </c>
      <c r="D29" t="s">
        <v>113</v>
      </c>
      <c r="E29" t="s">
        <v>114</v>
      </c>
      <c r="F29" t="s">
        <v>36</v>
      </c>
      <c r="G29" t="s">
        <v>864</v>
      </c>
    </row>
    <row r="30" spans="1:8" x14ac:dyDescent="0.3">
      <c r="A30" t="s">
        <v>195</v>
      </c>
      <c r="B30" s="6">
        <v>1.4921511126444715</v>
      </c>
      <c r="D30" t="s">
        <v>115</v>
      </c>
      <c r="E30" t="s">
        <v>114</v>
      </c>
      <c r="F30" t="s">
        <v>36</v>
      </c>
      <c r="G30" t="s">
        <v>858</v>
      </c>
    </row>
    <row r="31" spans="1:8" x14ac:dyDescent="0.3">
      <c r="A31" t="s">
        <v>196</v>
      </c>
      <c r="B31" s="6">
        <v>1.4921511126444715</v>
      </c>
      <c r="D31" t="s">
        <v>115</v>
      </c>
      <c r="E31" t="s">
        <v>114</v>
      </c>
      <c r="F31" t="s">
        <v>36</v>
      </c>
      <c r="G31" t="s">
        <v>858</v>
      </c>
    </row>
    <row r="32" spans="1:8" x14ac:dyDescent="0.3">
      <c r="A32" t="s">
        <v>120</v>
      </c>
      <c r="B32" s="6">
        <v>0.12318</v>
      </c>
      <c r="C32" t="s">
        <v>972</v>
      </c>
      <c r="D32" t="s">
        <v>121</v>
      </c>
      <c r="F32" t="s">
        <v>20</v>
      </c>
      <c r="G32" t="s">
        <v>899</v>
      </c>
      <c r="H32" t="s">
        <v>122</v>
      </c>
    </row>
    <row r="33" spans="1:8" x14ac:dyDescent="0.3">
      <c r="A33" t="s">
        <v>974</v>
      </c>
      <c r="B33" s="6">
        <v>9.4816999999999999E-2</v>
      </c>
      <c r="C33" t="s">
        <v>26</v>
      </c>
      <c r="D33" t="s">
        <v>8</v>
      </c>
      <c r="F33" t="s">
        <v>20</v>
      </c>
      <c r="G33" t="s">
        <v>899</v>
      </c>
      <c r="H33" t="s">
        <v>900</v>
      </c>
    </row>
    <row r="34" spans="1:8" x14ac:dyDescent="0.3">
      <c r="A34" t="s">
        <v>901</v>
      </c>
      <c r="B34" s="6">
        <v>1.0309E-3</v>
      </c>
      <c r="C34" t="s">
        <v>26</v>
      </c>
      <c r="D34" t="s">
        <v>8</v>
      </c>
      <c r="F34" t="s">
        <v>20</v>
      </c>
      <c r="G34" t="s">
        <v>899</v>
      </c>
      <c r="H34" t="s">
        <v>902</v>
      </c>
    </row>
    <row r="35" spans="1:8" x14ac:dyDescent="0.3">
      <c r="A35" t="s">
        <v>126</v>
      </c>
      <c r="B35" s="6">
        <v>9.7869106163119807E-2</v>
      </c>
      <c r="D35" s="3" t="s">
        <v>121</v>
      </c>
      <c r="E35" t="s">
        <v>37</v>
      </c>
      <c r="F35" t="s">
        <v>36</v>
      </c>
      <c r="G35" t="s">
        <v>899</v>
      </c>
    </row>
    <row r="36" spans="1:8" x14ac:dyDescent="0.3">
      <c r="A36" t="s">
        <v>172</v>
      </c>
      <c r="B36" s="6">
        <v>4.4565595999999999E-2</v>
      </c>
      <c r="D36" s="3" t="s">
        <v>8</v>
      </c>
      <c r="E36" t="s">
        <v>179</v>
      </c>
      <c r="F36" t="s">
        <v>36</v>
      </c>
      <c r="G36" t="s">
        <v>899</v>
      </c>
    </row>
    <row r="37" spans="1:8" x14ac:dyDescent="0.3">
      <c r="A37" t="s">
        <v>126</v>
      </c>
      <c r="B37" s="6">
        <v>2.02513292048042E-2</v>
      </c>
      <c r="D37" s="3" t="s">
        <v>121</v>
      </c>
      <c r="E37" t="s">
        <v>179</v>
      </c>
      <c r="F37" t="s">
        <v>36</v>
      </c>
      <c r="G37" t="s">
        <v>899</v>
      </c>
    </row>
    <row r="38" spans="1:8" x14ac:dyDescent="0.3">
      <c r="A38" t="s">
        <v>325</v>
      </c>
      <c r="B38" s="6">
        <v>1.9012000000000001E-2</v>
      </c>
      <c r="D38" s="3" t="s">
        <v>8</v>
      </c>
      <c r="E38" t="s">
        <v>169</v>
      </c>
      <c r="F38" t="s">
        <v>36</v>
      </c>
      <c r="G38" t="s">
        <v>899</v>
      </c>
    </row>
    <row r="39" spans="1:8" x14ac:dyDescent="0.3">
      <c r="A39" t="s">
        <v>126</v>
      </c>
      <c r="B39" s="6">
        <v>5.0628323012010404E-3</v>
      </c>
      <c r="D39" s="3" t="s">
        <v>121</v>
      </c>
      <c r="E39" t="s">
        <v>171</v>
      </c>
      <c r="F39" t="s">
        <v>36</v>
      </c>
      <c r="G39" t="s">
        <v>899</v>
      </c>
    </row>
    <row r="40" spans="1:8" x14ac:dyDescent="0.3">
      <c r="A40" t="s">
        <v>127</v>
      </c>
      <c r="B40" s="6">
        <v>2.7937330000000001E-3</v>
      </c>
      <c r="D40" s="3" t="s">
        <v>8</v>
      </c>
      <c r="E40" t="s">
        <v>169</v>
      </c>
      <c r="F40" t="s">
        <v>36</v>
      </c>
      <c r="G40" t="s">
        <v>899</v>
      </c>
    </row>
    <row r="41" spans="1:8" x14ac:dyDescent="0.3">
      <c r="A41" t="s">
        <v>38</v>
      </c>
      <c r="B41" s="6">
        <v>1.5043812000000001E-4</v>
      </c>
      <c r="D41" s="3" t="s">
        <v>8</v>
      </c>
      <c r="E41" t="s">
        <v>169</v>
      </c>
      <c r="F41" t="s">
        <v>36</v>
      </c>
      <c r="G41" t="s">
        <v>899</v>
      </c>
    </row>
    <row r="42" spans="1:8" x14ac:dyDescent="0.3">
      <c r="A42" t="s">
        <v>903</v>
      </c>
      <c r="B42" s="6">
        <v>9.7411999999999995E-5</v>
      </c>
      <c r="D42" s="3" t="s">
        <v>8</v>
      </c>
      <c r="E42" t="s">
        <v>170</v>
      </c>
      <c r="F42" t="s">
        <v>36</v>
      </c>
      <c r="G42" t="s">
        <v>899</v>
      </c>
    </row>
    <row r="43" spans="1:8" x14ac:dyDescent="0.3">
      <c r="A43" t="s">
        <v>174</v>
      </c>
      <c r="B43" s="6">
        <v>9.3309999999999999E-5</v>
      </c>
      <c r="D43" s="3" t="s">
        <v>8</v>
      </c>
      <c r="E43" t="s">
        <v>171</v>
      </c>
      <c r="F43" t="s">
        <v>36</v>
      </c>
      <c r="G43" t="s">
        <v>899</v>
      </c>
    </row>
    <row r="44" spans="1:8" x14ac:dyDescent="0.3">
      <c r="A44" t="s">
        <v>904</v>
      </c>
      <c r="B44" s="6">
        <v>6.7764999999999999E-5</v>
      </c>
      <c r="D44" s="3" t="s">
        <v>8</v>
      </c>
      <c r="E44" t="s">
        <v>170</v>
      </c>
      <c r="F44" t="s">
        <v>36</v>
      </c>
      <c r="G44" t="s">
        <v>899</v>
      </c>
    </row>
    <row r="45" spans="1:8" x14ac:dyDescent="0.3">
      <c r="A45" t="s">
        <v>155</v>
      </c>
      <c r="B45" s="6">
        <v>5.3312000000000001E-5</v>
      </c>
      <c r="D45" s="3" t="s">
        <v>8</v>
      </c>
      <c r="E45" t="s">
        <v>170</v>
      </c>
      <c r="F45" t="s">
        <v>36</v>
      </c>
      <c r="G45" t="s">
        <v>899</v>
      </c>
    </row>
    <row r="46" spans="1:8" x14ac:dyDescent="0.3">
      <c r="A46" t="s">
        <v>905</v>
      </c>
      <c r="B46" s="6">
        <v>4.1820000000000003E-5</v>
      </c>
      <c r="D46" s="3" t="s">
        <v>8</v>
      </c>
      <c r="E46" t="s">
        <v>170</v>
      </c>
      <c r="F46" t="s">
        <v>36</v>
      </c>
      <c r="G46" t="s">
        <v>899</v>
      </c>
    </row>
    <row r="47" spans="1:8" x14ac:dyDescent="0.3">
      <c r="A47" t="s">
        <v>174</v>
      </c>
      <c r="B47" s="6">
        <v>3.1767000000000003E-5</v>
      </c>
      <c r="D47" s="3" t="s">
        <v>8</v>
      </c>
      <c r="E47" t="s">
        <v>179</v>
      </c>
      <c r="F47" t="s">
        <v>36</v>
      </c>
      <c r="G47" t="s">
        <v>899</v>
      </c>
    </row>
    <row r="48" spans="1:8" x14ac:dyDescent="0.3">
      <c r="A48" t="s">
        <v>906</v>
      </c>
      <c r="B48" s="6">
        <v>2.8062999999999999E-5</v>
      </c>
      <c r="D48" s="3" t="s">
        <v>8</v>
      </c>
      <c r="E48" t="s">
        <v>170</v>
      </c>
      <c r="F48" t="s">
        <v>36</v>
      </c>
      <c r="G48" t="s">
        <v>899</v>
      </c>
    </row>
    <row r="49" spans="1:7" x14ac:dyDescent="0.3">
      <c r="A49" t="s">
        <v>907</v>
      </c>
      <c r="B49" s="6">
        <v>2.6434000000000001E-5</v>
      </c>
      <c r="D49" s="3" t="s">
        <v>8</v>
      </c>
      <c r="E49" t="s">
        <v>170</v>
      </c>
      <c r="F49" t="s">
        <v>36</v>
      </c>
      <c r="G49" t="s">
        <v>899</v>
      </c>
    </row>
    <row r="50" spans="1:7" x14ac:dyDescent="0.3">
      <c r="A50" t="s">
        <v>908</v>
      </c>
      <c r="B50" s="6">
        <v>2.5826999999999999E-5</v>
      </c>
      <c r="D50" s="3" t="s">
        <v>8</v>
      </c>
      <c r="E50" t="s">
        <v>170</v>
      </c>
      <c r="F50" t="s">
        <v>36</v>
      </c>
      <c r="G50" t="s">
        <v>899</v>
      </c>
    </row>
    <row r="51" spans="1:7" x14ac:dyDescent="0.3">
      <c r="A51" t="s">
        <v>909</v>
      </c>
      <c r="B51" s="6">
        <v>2.2212999999999999E-5</v>
      </c>
      <c r="D51" s="3" t="s">
        <v>8</v>
      </c>
      <c r="E51" t="s">
        <v>170</v>
      </c>
      <c r="F51" t="s">
        <v>36</v>
      </c>
      <c r="G51" t="s">
        <v>899</v>
      </c>
    </row>
    <row r="52" spans="1:7" x14ac:dyDescent="0.3">
      <c r="A52" t="s">
        <v>910</v>
      </c>
      <c r="B52" s="6">
        <v>2.0055999999999999E-5</v>
      </c>
      <c r="D52" s="3" t="s">
        <v>8</v>
      </c>
      <c r="E52" t="s">
        <v>170</v>
      </c>
      <c r="F52" t="s">
        <v>36</v>
      </c>
      <c r="G52" t="s">
        <v>899</v>
      </c>
    </row>
    <row r="53" spans="1:7" x14ac:dyDescent="0.3">
      <c r="A53" t="s">
        <v>911</v>
      </c>
      <c r="B53" s="6">
        <v>1.9833000000000001E-5</v>
      </c>
      <c r="D53" s="3" t="s">
        <v>8</v>
      </c>
      <c r="E53" t="s">
        <v>170</v>
      </c>
      <c r="F53" t="s">
        <v>36</v>
      </c>
      <c r="G53" t="s">
        <v>899</v>
      </c>
    </row>
    <row r="54" spans="1:7" x14ac:dyDescent="0.3">
      <c r="A54" t="s">
        <v>173</v>
      </c>
      <c r="B54" s="6">
        <v>1.8723999999999999E-5</v>
      </c>
      <c r="D54" s="3" t="s">
        <v>8</v>
      </c>
      <c r="E54" t="s">
        <v>171</v>
      </c>
      <c r="F54" t="s">
        <v>36</v>
      </c>
      <c r="G54" t="s">
        <v>899</v>
      </c>
    </row>
    <row r="55" spans="1:7" x14ac:dyDescent="0.3">
      <c r="A55" t="s">
        <v>131</v>
      </c>
      <c r="B55" s="6">
        <v>1.5024E-5</v>
      </c>
      <c r="D55" s="3" t="s">
        <v>8</v>
      </c>
      <c r="E55" t="s">
        <v>170</v>
      </c>
      <c r="F55" t="s">
        <v>36</v>
      </c>
      <c r="G55" t="s">
        <v>899</v>
      </c>
    </row>
    <row r="56" spans="1:7" x14ac:dyDescent="0.3">
      <c r="A56" t="s">
        <v>912</v>
      </c>
      <c r="B56" s="6">
        <v>1.1124999999999999E-5</v>
      </c>
      <c r="D56" s="3" t="s">
        <v>8</v>
      </c>
      <c r="E56" t="s">
        <v>170</v>
      </c>
      <c r="F56" t="s">
        <v>36</v>
      </c>
      <c r="G56" t="s">
        <v>899</v>
      </c>
    </row>
    <row r="57" spans="1:7" x14ac:dyDescent="0.3">
      <c r="A57" t="s">
        <v>913</v>
      </c>
      <c r="B57" s="6">
        <v>7.9096999999999998E-6</v>
      </c>
      <c r="D57" s="3" t="s">
        <v>8</v>
      </c>
      <c r="E57" t="s">
        <v>170</v>
      </c>
      <c r="F57" t="s">
        <v>36</v>
      </c>
      <c r="G57" t="s">
        <v>899</v>
      </c>
    </row>
    <row r="58" spans="1:7" x14ac:dyDescent="0.3">
      <c r="A58" t="s">
        <v>914</v>
      </c>
      <c r="B58" s="6">
        <v>7.0283000000000001E-6</v>
      </c>
      <c r="D58" s="3" t="s">
        <v>8</v>
      </c>
      <c r="E58" t="s">
        <v>170</v>
      </c>
      <c r="F58" t="s">
        <v>36</v>
      </c>
      <c r="G58" t="s">
        <v>899</v>
      </c>
    </row>
    <row r="59" spans="1:7" x14ac:dyDescent="0.3">
      <c r="A59" t="s">
        <v>915</v>
      </c>
      <c r="B59" s="6">
        <v>6.9120000000000001E-6</v>
      </c>
      <c r="D59" s="3" t="s">
        <v>8</v>
      </c>
      <c r="E59" t="s">
        <v>170</v>
      </c>
      <c r="F59" t="s">
        <v>36</v>
      </c>
      <c r="G59" t="s">
        <v>899</v>
      </c>
    </row>
    <row r="60" spans="1:7" x14ac:dyDescent="0.3">
      <c r="A60" t="s">
        <v>916</v>
      </c>
      <c r="B60" s="6">
        <v>6.2171000000000002E-6</v>
      </c>
      <c r="D60" s="3" t="s">
        <v>8</v>
      </c>
      <c r="E60" t="s">
        <v>170</v>
      </c>
      <c r="F60" t="s">
        <v>36</v>
      </c>
      <c r="G60" t="s">
        <v>899</v>
      </c>
    </row>
    <row r="61" spans="1:7" x14ac:dyDescent="0.3">
      <c r="A61" t="s">
        <v>212</v>
      </c>
      <c r="B61" s="6">
        <v>6.1940000000000003E-6</v>
      </c>
      <c r="D61" s="3" t="s">
        <v>8</v>
      </c>
      <c r="E61" t="s">
        <v>170</v>
      </c>
      <c r="F61" t="s">
        <v>36</v>
      </c>
      <c r="G61" t="s">
        <v>899</v>
      </c>
    </row>
    <row r="62" spans="1:7" x14ac:dyDescent="0.3">
      <c r="A62" t="s">
        <v>917</v>
      </c>
      <c r="B62" s="6">
        <v>5.2755999999999999E-6</v>
      </c>
      <c r="D62" s="3" t="s">
        <v>8</v>
      </c>
      <c r="E62" t="s">
        <v>170</v>
      </c>
      <c r="F62" t="s">
        <v>36</v>
      </c>
      <c r="G62" t="s">
        <v>899</v>
      </c>
    </row>
    <row r="63" spans="1:7" x14ac:dyDescent="0.3">
      <c r="A63" t="s">
        <v>918</v>
      </c>
      <c r="B63" s="6">
        <v>4.318E-6</v>
      </c>
      <c r="D63" s="3" t="s">
        <v>8</v>
      </c>
      <c r="E63" t="s">
        <v>170</v>
      </c>
      <c r="F63" t="s">
        <v>36</v>
      </c>
      <c r="G63" t="s">
        <v>899</v>
      </c>
    </row>
    <row r="64" spans="1:7" x14ac:dyDescent="0.3">
      <c r="A64" t="s">
        <v>919</v>
      </c>
      <c r="B64" s="6">
        <v>4.2709000000000001E-6</v>
      </c>
      <c r="D64" s="3" t="s">
        <v>8</v>
      </c>
      <c r="E64" t="s">
        <v>170</v>
      </c>
      <c r="F64" t="s">
        <v>36</v>
      </c>
      <c r="G64" t="s">
        <v>899</v>
      </c>
    </row>
    <row r="65" spans="1:7" x14ac:dyDescent="0.3">
      <c r="A65" t="s">
        <v>920</v>
      </c>
      <c r="B65" s="6">
        <v>4.0783000000000004E-6</v>
      </c>
      <c r="D65" s="3" t="s">
        <v>8</v>
      </c>
      <c r="E65" t="s">
        <v>170</v>
      </c>
      <c r="F65" t="s">
        <v>36</v>
      </c>
      <c r="G65" t="s">
        <v>899</v>
      </c>
    </row>
    <row r="66" spans="1:7" x14ac:dyDescent="0.3">
      <c r="A66" t="s">
        <v>921</v>
      </c>
      <c r="B66" s="6">
        <v>3.9253999999999997E-6</v>
      </c>
      <c r="D66" s="3" t="s">
        <v>8</v>
      </c>
      <c r="E66" t="s">
        <v>170</v>
      </c>
      <c r="F66" t="s">
        <v>36</v>
      </c>
      <c r="G66" t="s">
        <v>899</v>
      </c>
    </row>
    <row r="67" spans="1:7" x14ac:dyDescent="0.3">
      <c r="A67" t="s">
        <v>922</v>
      </c>
      <c r="B67" s="6">
        <v>2.9745000000000001E-6</v>
      </c>
      <c r="D67" s="3" t="s">
        <v>8</v>
      </c>
      <c r="E67" t="s">
        <v>170</v>
      </c>
      <c r="F67" t="s">
        <v>36</v>
      </c>
      <c r="G67" t="s">
        <v>899</v>
      </c>
    </row>
    <row r="68" spans="1:7" x14ac:dyDescent="0.3">
      <c r="A68" t="s">
        <v>199</v>
      </c>
      <c r="B68" s="6">
        <v>2.8890000000000002E-6</v>
      </c>
      <c r="D68" s="3" t="s">
        <v>8</v>
      </c>
      <c r="E68" t="s">
        <v>179</v>
      </c>
      <c r="F68" t="s">
        <v>36</v>
      </c>
      <c r="G68" t="s">
        <v>899</v>
      </c>
    </row>
    <row r="69" spans="1:7" x14ac:dyDescent="0.3">
      <c r="A69" t="s">
        <v>923</v>
      </c>
      <c r="B69" s="6">
        <v>2.7584000000000001E-6</v>
      </c>
      <c r="D69" s="3" t="s">
        <v>8</v>
      </c>
      <c r="E69" t="s">
        <v>170</v>
      </c>
      <c r="F69" t="s">
        <v>36</v>
      </c>
      <c r="G69" t="s">
        <v>899</v>
      </c>
    </row>
    <row r="70" spans="1:7" x14ac:dyDescent="0.3">
      <c r="A70" t="s">
        <v>145</v>
      </c>
      <c r="B70" s="6">
        <v>2.7493000000000001E-6</v>
      </c>
      <c r="D70" s="3" t="s">
        <v>8</v>
      </c>
      <c r="E70" t="s">
        <v>170</v>
      </c>
      <c r="F70" t="s">
        <v>36</v>
      </c>
      <c r="G70" t="s">
        <v>899</v>
      </c>
    </row>
    <row r="71" spans="1:7" x14ac:dyDescent="0.3">
      <c r="A71" t="s">
        <v>206</v>
      </c>
      <c r="B71" s="6">
        <v>2.2033999999999999E-6</v>
      </c>
      <c r="D71" s="3" t="s">
        <v>8</v>
      </c>
      <c r="E71" t="s">
        <v>179</v>
      </c>
      <c r="F71" t="s">
        <v>36</v>
      </c>
      <c r="G71" t="s">
        <v>899</v>
      </c>
    </row>
    <row r="72" spans="1:7" x14ac:dyDescent="0.3">
      <c r="A72" t="s">
        <v>924</v>
      </c>
      <c r="B72" s="6">
        <v>2.1621E-6</v>
      </c>
      <c r="D72" s="3" t="s">
        <v>8</v>
      </c>
      <c r="E72" t="s">
        <v>170</v>
      </c>
      <c r="F72" t="s">
        <v>36</v>
      </c>
      <c r="G72" t="s">
        <v>899</v>
      </c>
    </row>
    <row r="73" spans="1:7" x14ac:dyDescent="0.3">
      <c r="A73" t="s">
        <v>925</v>
      </c>
      <c r="B73" s="6">
        <v>1.8418000000000001E-6</v>
      </c>
      <c r="D73" s="3" t="s">
        <v>8</v>
      </c>
      <c r="E73" t="s">
        <v>170</v>
      </c>
      <c r="F73" t="s">
        <v>36</v>
      </c>
      <c r="G73" t="s">
        <v>899</v>
      </c>
    </row>
    <row r="74" spans="1:7" x14ac:dyDescent="0.3">
      <c r="A74" t="s">
        <v>926</v>
      </c>
      <c r="B74" s="6">
        <v>1.7949E-6</v>
      </c>
      <c r="D74" s="3" t="s">
        <v>8</v>
      </c>
      <c r="E74" t="s">
        <v>170</v>
      </c>
      <c r="F74" t="s">
        <v>36</v>
      </c>
      <c r="G74" t="s">
        <v>899</v>
      </c>
    </row>
    <row r="75" spans="1:7" x14ac:dyDescent="0.3">
      <c r="A75" t="s">
        <v>927</v>
      </c>
      <c r="B75" s="6">
        <v>1.7571000000000001E-6</v>
      </c>
      <c r="D75" s="3" t="s">
        <v>8</v>
      </c>
      <c r="E75" t="s">
        <v>170</v>
      </c>
      <c r="F75" t="s">
        <v>36</v>
      </c>
      <c r="G75" t="s">
        <v>899</v>
      </c>
    </row>
    <row r="76" spans="1:7" x14ac:dyDescent="0.3">
      <c r="A76" t="s">
        <v>928</v>
      </c>
      <c r="B76" s="6">
        <v>1.7163E-6</v>
      </c>
      <c r="D76" s="3" t="s">
        <v>8</v>
      </c>
      <c r="E76" t="s">
        <v>170</v>
      </c>
      <c r="F76" t="s">
        <v>36</v>
      </c>
      <c r="G76" t="s">
        <v>899</v>
      </c>
    </row>
    <row r="77" spans="1:7" x14ac:dyDescent="0.3">
      <c r="A77" t="s">
        <v>929</v>
      </c>
      <c r="B77" s="6">
        <v>1.4859E-6</v>
      </c>
      <c r="D77" s="3" t="s">
        <v>8</v>
      </c>
      <c r="E77" t="s">
        <v>170</v>
      </c>
      <c r="F77" t="s">
        <v>36</v>
      </c>
      <c r="G77" t="s">
        <v>899</v>
      </c>
    </row>
    <row r="78" spans="1:7" x14ac:dyDescent="0.3">
      <c r="A78" t="s">
        <v>930</v>
      </c>
      <c r="B78" s="6">
        <v>1.3882999999999999E-6</v>
      </c>
      <c r="D78" s="3" t="s">
        <v>8</v>
      </c>
      <c r="E78" t="s">
        <v>170</v>
      </c>
      <c r="F78" t="s">
        <v>36</v>
      </c>
      <c r="G78" t="s">
        <v>899</v>
      </c>
    </row>
    <row r="79" spans="1:7" x14ac:dyDescent="0.3">
      <c r="A79" t="s">
        <v>931</v>
      </c>
      <c r="B79" s="6">
        <v>1.1375999999999999E-6</v>
      </c>
      <c r="D79" s="3" t="s">
        <v>8</v>
      </c>
      <c r="E79" t="s">
        <v>170</v>
      </c>
      <c r="F79" t="s">
        <v>36</v>
      </c>
      <c r="G79" t="s">
        <v>899</v>
      </c>
    </row>
    <row r="80" spans="1:7" x14ac:dyDescent="0.3">
      <c r="A80" t="s">
        <v>148</v>
      </c>
      <c r="B80" s="6">
        <v>1.1189E-6</v>
      </c>
      <c r="D80" s="3" t="s">
        <v>8</v>
      </c>
      <c r="E80" t="s">
        <v>170</v>
      </c>
      <c r="F80" t="s">
        <v>36</v>
      </c>
      <c r="G80" t="s">
        <v>899</v>
      </c>
    </row>
    <row r="81" spans="1:7" x14ac:dyDescent="0.3">
      <c r="A81" t="s">
        <v>165</v>
      </c>
      <c r="B81" s="6">
        <v>1.1107E-6</v>
      </c>
      <c r="D81" s="3" t="s">
        <v>8</v>
      </c>
      <c r="E81" t="s">
        <v>170</v>
      </c>
      <c r="F81" t="s">
        <v>36</v>
      </c>
      <c r="G81" t="s">
        <v>899</v>
      </c>
    </row>
    <row r="82" spans="1:7" x14ac:dyDescent="0.3">
      <c r="A82" t="s">
        <v>932</v>
      </c>
      <c r="B82" s="6">
        <v>1.0217999999999999E-6</v>
      </c>
      <c r="D82" s="3" t="s">
        <v>8</v>
      </c>
      <c r="E82" t="s">
        <v>170</v>
      </c>
      <c r="F82" t="s">
        <v>36</v>
      </c>
      <c r="G82" t="s">
        <v>899</v>
      </c>
    </row>
    <row r="83" spans="1:7" x14ac:dyDescent="0.3">
      <c r="A83" t="s">
        <v>138</v>
      </c>
      <c r="B83" s="6">
        <v>9.2208000000000001E-7</v>
      </c>
      <c r="D83" s="3" t="s">
        <v>8</v>
      </c>
      <c r="E83" t="s">
        <v>170</v>
      </c>
      <c r="F83" t="s">
        <v>36</v>
      </c>
      <c r="G83" t="s">
        <v>899</v>
      </c>
    </row>
    <row r="84" spans="1:7" x14ac:dyDescent="0.3">
      <c r="A84" t="s">
        <v>933</v>
      </c>
      <c r="B84" s="6">
        <v>7.5175000000000004E-7</v>
      </c>
      <c r="D84" s="3" t="s">
        <v>8</v>
      </c>
      <c r="E84" t="s">
        <v>170</v>
      </c>
      <c r="F84" t="s">
        <v>36</v>
      </c>
      <c r="G84" t="s">
        <v>899</v>
      </c>
    </row>
    <row r="85" spans="1:7" x14ac:dyDescent="0.3">
      <c r="A85" t="s">
        <v>934</v>
      </c>
      <c r="B85" s="6">
        <v>7.1319000000000005E-7</v>
      </c>
      <c r="D85" s="3" t="s">
        <v>8</v>
      </c>
      <c r="E85" t="s">
        <v>170</v>
      </c>
      <c r="F85" t="s">
        <v>36</v>
      </c>
      <c r="G85" t="s">
        <v>899</v>
      </c>
    </row>
    <row r="86" spans="1:7" x14ac:dyDescent="0.3">
      <c r="A86" t="s">
        <v>935</v>
      </c>
      <c r="B86" s="6">
        <v>6.2196999999999995E-7</v>
      </c>
      <c r="D86" s="3" t="s">
        <v>8</v>
      </c>
      <c r="E86" t="s">
        <v>170</v>
      </c>
      <c r="F86" t="s">
        <v>36</v>
      </c>
      <c r="G86" t="s">
        <v>899</v>
      </c>
    </row>
    <row r="87" spans="1:7" x14ac:dyDescent="0.3">
      <c r="A87" t="s">
        <v>936</v>
      </c>
      <c r="B87" s="6">
        <v>5.4909E-7</v>
      </c>
      <c r="D87" s="3" t="s">
        <v>8</v>
      </c>
      <c r="E87" t="s">
        <v>170</v>
      </c>
      <c r="F87" t="s">
        <v>36</v>
      </c>
      <c r="G87" t="s">
        <v>899</v>
      </c>
    </row>
    <row r="88" spans="1:7" x14ac:dyDescent="0.3">
      <c r="A88" t="s">
        <v>937</v>
      </c>
      <c r="B88" s="6">
        <v>5.0380000000000005E-7</v>
      </c>
      <c r="D88" s="3" t="s">
        <v>8</v>
      </c>
      <c r="E88" t="s">
        <v>170</v>
      </c>
      <c r="F88" t="s">
        <v>36</v>
      </c>
      <c r="G88" t="s">
        <v>899</v>
      </c>
    </row>
    <row r="89" spans="1:7" x14ac:dyDescent="0.3">
      <c r="A89" t="s">
        <v>206</v>
      </c>
      <c r="B89" s="6">
        <v>4.4075999999999998E-7</v>
      </c>
      <c r="D89" s="3" t="s">
        <v>8</v>
      </c>
      <c r="E89" t="s">
        <v>171</v>
      </c>
      <c r="F89" t="s">
        <v>36</v>
      </c>
      <c r="G89" t="s">
        <v>899</v>
      </c>
    </row>
    <row r="90" spans="1:7" x14ac:dyDescent="0.3">
      <c r="A90" t="s">
        <v>199</v>
      </c>
      <c r="B90" s="6">
        <v>4.3709E-7</v>
      </c>
      <c r="D90" s="3" t="s">
        <v>8</v>
      </c>
      <c r="E90" t="s">
        <v>171</v>
      </c>
      <c r="F90" t="s">
        <v>36</v>
      </c>
      <c r="G90" t="s">
        <v>899</v>
      </c>
    </row>
    <row r="91" spans="1:7" x14ac:dyDescent="0.3">
      <c r="A91" t="s">
        <v>200</v>
      </c>
      <c r="B91" s="6">
        <v>4.3587E-7</v>
      </c>
      <c r="D91" s="3" t="s">
        <v>8</v>
      </c>
      <c r="E91" t="s">
        <v>179</v>
      </c>
      <c r="F91" t="s">
        <v>36</v>
      </c>
      <c r="G91" t="s">
        <v>899</v>
      </c>
    </row>
    <row r="92" spans="1:7" x14ac:dyDescent="0.3">
      <c r="A92" t="s">
        <v>938</v>
      </c>
      <c r="B92" s="6">
        <v>4.2759999999999999E-7</v>
      </c>
      <c r="D92" s="3" t="s">
        <v>8</v>
      </c>
      <c r="E92" t="s">
        <v>170</v>
      </c>
      <c r="F92" t="s">
        <v>36</v>
      </c>
      <c r="G92" t="s">
        <v>899</v>
      </c>
    </row>
    <row r="93" spans="1:7" x14ac:dyDescent="0.3">
      <c r="A93" t="s">
        <v>939</v>
      </c>
      <c r="B93" s="6">
        <v>4.1983000000000002E-7</v>
      </c>
      <c r="D93" s="3" t="s">
        <v>8</v>
      </c>
      <c r="E93" t="s">
        <v>170</v>
      </c>
      <c r="F93" t="s">
        <v>36</v>
      </c>
      <c r="G93" t="s">
        <v>899</v>
      </c>
    </row>
    <row r="94" spans="1:7" x14ac:dyDescent="0.3">
      <c r="A94" t="s">
        <v>176</v>
      </c>
      <c r="B94" s="6">
        <v>3.8739999999999999E-7</v>
      </c>
      <c r="D94" s="3" t="s">
        <v>8</v>
      </c>
      <c r="E94" t="s">
        <v>170</v>
      </c>
      <c r="F94" t="s">
        <v>36</v>
      </c>
      <c r="G94" t="s">
        <v>899</v>
      </c>
    </row>
    <row r="95" spans="1:7" x14ac:dyDescent="0.3">
      <c r="A95" t="s">
        <v>940</v>
      </c>
      <c r="B95" s="6">
        <v>3.5656000000000001E-7</v>
      </c>
      <c r="D95" s="3" t="s">
        <v>8</v>
      </c>
      <c r="E95" t="s">
        <v>170</v>
      </c>
      <c r="F95" t="s">
        <v>36</v>
      </c>
      <c r="G95" t="s">
        <v>899</v>
      </c>
    </row>
    <row r="96" spans="1:7" x14ac:dyDescent="0.3">
      <c r="A96" t="s">
        <v>941</v>
      </c>
      <c r="B96" s="6">
        <v>3.4060000000000002E-7</v>
      </c>
      <c r="D96" s="3" t="s">
        <v>8</v>
      </c>
      <c r="E96" t="s">
        <v>170</v>
      </c>
      <c r="F96" t="s">
        <v>36</v>
      </c>
      <c r="G96" t="s">
        <v>899</v>
      </c>
    </row>
    <row r="97" spans="1:7" x14ac:dyDescent="0.3">
      <c r="A97" t="s">
        <v>200</v>
      </c>
      <c r="B97" s="6">
        <v>3.2389000000000002E-7</v>
      </c>
      <c r="D97" s="3" t="s">
        <v>8</v>
      </c>
      <c r="E97" t="s">
        <v>171</v>
      </c>
      <c r="F97" t="s">
        <v>36</v>
      </c>
      <c r="G97" t="s">
        <v>899</v>
      </c>
    </row>
    <row r="98" spans="1:7" x14ac:dyDescent="0.3">
      <c r="A98" t="s">
        <v>202</v>
      </c>
      <c r="B98" s="6">
        <v>2.7991000000000002E-7</v>
      </c>
      <c r="D98" s="3" t="s">
        <v>8</v>
      </c>
      <c r="E98" t="s">
        <v>171</v>
      </c>
      <c r="F98" t="s">
        <v>36</v>
      </c>
      <c r="G98" t="s">
        <v>899</v>
      </c>
    </row>
    <row r="99" spans="1:7" x14ac:dyDescent="0.3">
      <c r="A99" t="s">
        <v>137</v>
      </c>
      <c r="B99" s="6">
        <v>2.4989999999999998E-7</v>
      </c>
      <c r="D99" s="3" t="s">
        <v>8</v>
      </c>
      <c r="E99" t="s">
        <v>170</v>
      </c>
      <c r="F99" t="s">
        <v>36</v>
      </c>
      <c r="G99" t="s">
        <v>899</v>
      </c>
    </row>
    <row r="100" spans="1:7" x14ac:dyDescent="0.3">
      <c r="A100" t="s">
        <v>942</v>
      </c>
      <c r="B100" s="6">
        <v>2.4989999999999998E-7</v>
      </c>
      <c r="D100" s="3" t="s">
        <v>8</v>
      </c>
      <c r="E100" t="s">
        <v>170</v>
      </c>
      <c r="F100" t="s">
        <v>36</v>
      </c>
      <c r="G100" t="s">
        <v>899</v>
      </c>
    </row>
    <row r="101" spans="1:7" x14ac:dyDescent="0.3">
      <c r="A101" t="s">
        <v>943</v>
      </c>
      <c r="B101" s="6">
        <v>2.0524999999999999E-7</v>
      </c>
      <c r="D101" s="3" t="s">
        <v>8</v>
      </c>
      <c r="E101" t="s">
        <v>170</v>
      </c>
      <c r="F101" t="s">
        <v>36</v>
      </c>
      <c r="G101" t="s">
        <v>899</v>
      </c>
    </row>
    <row r="102" spans="1:7" x14ac:dyDescent="0.3">
      <c r="A102" t="s">
        <v>168</v>
      </c>
      <c r="B102" s="6">
        <v>1.8220999999999999E-7</v>
      </c>
      <c r="D102" s="3" t="s">
        <v>8</v>
      </c>
      <c r="E102" t="s">
        <v>170</v>
      </c>
      <c r="F102" t="s">
        <v>36</v>
      </c>
      <c r="G102" t="s">
        <v>899</v>
      </c>
    </row>
    <row r="103" spans="1:7" x14ac:dyDescent="0.3">
      <c r="A103" t="s">
        <v>944</v>
      </c>
      <c r="B103" s="6">
        <v>1.4880999999999999E-7</v>
      </c>
      <c r="D103" s="3" t="s">
        <v>8</v>
      </c>
      <c r="E103" t="s">
        <v>170</v>
      </c>
      <c r="F103" t="s">
        <v>36</v>
      </c>
      <c r="G103" t="s">
        <v>899</v>
      </c>
    </row>
    <row r="104" spans="1:7" x14ac:dyDescent="0.3">
      <c r="A104" t="s">
        <v>142</v>
      </c>
      <c r="B104" s="6">
        <v>1.2249999999999999E-7</v>
      </c>
      <c r="D104" s="3" t="s">
        <v>8</v>
      </c>
      <c r="E104" t="s">
        <v>170</v>
      </c>
      <c r="F104" t="s">
        <v>36</v>
      </c>
      <c r="G104" t="s">
        <v>899</v>
      </c>
    </row>
    <row r="105" spans="1:7" x14ac:dyDescent="0.3">
      <c r="A105" t="s">
        <v>945</v>
      </c>
      <c r="B105" s="6">
        <v>1.1766E-7</v>
      </c>
      <c r="D105" s="3" t="s">
        <v>8</v>
      </c>
      <c r="E105" t="s">
        <v>170</v>
      </c>
      <c r="F105" t="s">
        <v>36</v>
      </c>
      <c r="G105" t="s">
        <v>899</v>
      </c>
    </row>
    <row r="106" spans="1:7" x14ac:dyDescent="0.3">
      <c r="A106" t="s">
        <v>946</v>
      </c>
      <c r="B106" s="6">
        <v>9.4035999999999996E-8</v>
      </c>
      <c r="D106" s="3" t="s">
        <v>8</v>
      </c>
      <c r="E106" t="s">
        <v>170</v>
      </c>
      <c r="F106" t="s">
        <v>36</v>
      </c>
      <c r="G106" t="s">
        <v>899</v>
      </c>
    </row>
    <row r="107" spans="1:7" x14ac:dyDescent="0.3">
      <c r="A107" t="s">
        <v>139</v>
      </c>
      <c r="B107" s="6">
        <v>8.4475999999999995E-8</v>
      </c>
      <c r="D107" s="3" t="s">
        <v>8</v>
      </c>
      <c r="E107" t="s">
        <v>170</v>
      </c>
      <c r="F107" t="s">
        <v>36</v>
      </c>
      <c r="G107" t="s">
        <v>899</v>
      </c>
    </row>
    <row r="108" spans="1:7" x14ac:dyDescent="0.3">
      <c r="A108" t="s">
        <v>947</v>
      </c>
      <c r="B108" s="6">
        <v>6.2196999999999998E-8</v>
      </c>
      <c r="D108" s="3" t="s">
        <v>8</v>
      </c>
      <c r="E108" t="s">
        <v>170</v>
      </c>
      <c r="F108" t="s">
        <v>36</v>
      </c>
      <c r="G108" t="s">
        <v>899</v>
      </c>
    </row>
    <row r="109" spans="1:7" x14ac:dyDescent="0.3">
      <c r="A109" t="s">
        <v>948</v>
      </c>
      <c r="B109" s="6">
        <v>4.7693999999999997E-8</v>
      </c>
      <c r="D109" s="3" t="s">
        <v>8</v>
      </c>
      <c r="E109" t="s">
        <v>170</v>
      </c>
      <c r="F109" t="s">
        <v>36</v>
      </c>
      <c r="G109" t="s">
        <v>899</v>
      </c>
    </row>
    <row r="110" spans="1:7" x14ac:dyDescent="0.3">
      <c r="A110" t="s">
        <v>949</v>
      </c>
      <c r="B110" s="6">
        <v>3.7021999999999999E-8</v>
      </c>
      <c r="D110" s="3" t="s">
        <v>8</v>
      </c>
      <c r="E110" t="s">
        <v>170</v>
      </c>
      <c r="F110" t="s">
        <v>36</v>
      </c>
      <c r="G110" t="s">
        <v>899</v>
      </c>
    </row>
    <row r="111" spans="1:7" x14ac:dyDescent="0.3">
      <c r="A111" t="s">
        <v>950</v>
      </c>
      <c r="B111" s="6">
        <v>3.3320000000000003E-8</v>
      </c>
      <c r="D111" s="3" t="s">
        <v>8</v>
      </c>
      <c r="E111" t="s">
        <v>170</v>
      </c>
      <c r="F111" t="s">
        <v>36</v>
      </c>
      <c r="G111" t="s">
        <v>899</v>
      </c>
    </row>
    <row r="112" spans="1:7" x14ac:dyDescent="0.3">
      <c r="A112" t="s">
        <v>951</v>
      </c>
      <c r="B112" s="6">
        <v>2.9761000000000001E-8</v>
      </c>
      <c r="D112" s="3" t="s">
        <v>8</v>
      </c>
      <c r="E112" t="s">
        <v>170</v>
      </c>
      <c r="F112" t="s">
        <v>36</v>
      </c>
      <c r="G112" t="s">
        <v>899</v>
      </c>
    </row>
    <row r="113" spans="1:7" x14ac:dyDescent="0.3">
      <c r="A113" t="s">
        <v>168</v>
      </c>
      <c r="B113" s="6">
        <v>2.9729999999999999E-8</v>
      </c>
      <c r="D113" s="3" t="s">
        <v>8</v>
      </c>
      <c r="E113" t="s">
        <v>171</v>
      </c>
      <c r="F113" t="s">
        <v>36</v>
      </c>
      <c r="G113" t="s">
        <v>899</v>
      </c>
    </row>
    <row r="114" spans="1:7" x14ac:dyDescent="0.3">
      <c r="A114" t="s">
        <v>168</v>
      </c>
      <c r="B114" s="6">
        <v>6.8733999999999999E-9</v>
      </c>
      <c r="D114" s="3" t="s">
        <v>8</v>
      </c>
      <c r="E114" t="s">
        <v>179</v>
      </c>
      <c r="F114" t="s">
        <v>36</v>
      </c>
      <c r="G114" t="s">
        <v>899</v>
      </c>
    </row>
    <row r="115" spans="1:7" x14ac:dyDescent="0.3">
      <c r="A115" t="s">
        <v>198</v>
      </c>
      <c r="B115" s="6">
        <v>6.82E-9</v>
      </c>
      <c r="D115" s="3" t="s">
        <v>8</v>
      </c>
      <c r="E115" t="s">
        <v>179</v>
      </c>
      <c r="F115" t="s">
        <v>36</v>
      </c>
      <c r="G115" t="s">
        <v>899</v>
      </c>
    </row>
    <row r="116" spans="1:7" x14ac:dyDescent="0.3">
      <c r="A116" t="s">
        <v>198</v>
      </c>
      <c r="B116" s="6">
        <v>4.3567999999999997E-9</v>
      </c>
      <c r="D116" s="3" t="s">
        <v>8</v>
      </c>
      <c r="E116" t="s">
        <v>171</v>
      </c>
      <c r="F116" t="s">
        <v>36</v>
      </c>
      <c r="G116" t="s">
        <v>899</v>
      </c>
    </row>
    <row r="117" spans="1:7" x14ac:dyDescent="0.3">
      <c r="A117" t="s">
        <v>201</v>
      </c>
      <c r="B117" s="6">
        <v>4.4635999999999998E-11</v>
      </c>
      <c r="D117" s="3" t="s">
        <v>8</v>
      </c>
      <c r="E117" t="s">
        <v>179</v>
      </c>
      <c r="F117" t="s">
        <v>36</v>
      </c>
      <c r="G117" t="s">
        <v>899</v>
      </c>
    </row>
    <row r="118" spans="1:7" x14ac:dyDescent="0.3">
      <c r="A118" t="s">
        <v>201</v>
      </c>
      <c r="B118" s="6">
        <v>3.8377000000000001E-11</v>
      </c>
      <c r="D118" s="3" t="s">
        <v>8</v>
      </c>
      <c r="E118" t="s">
        <v>171</v>
      </c>
      <c r="F118" t="s">
        <v>36</v>
      </c>
      <c r="G118" t="s">
        <v>899</v>
      </c>
    </row>
    <row r="119" spans="1:7" x14ac:dyDescent="0.3">
      <c r="A119" t="s">
        <v>201</v>
      </c>
      <c r="B119" s="6">
        <v>-1.1081E-10</v>
      </c>
      <c r="D119" s="3" t="s">
        <v>8</v>
      </c>
      <c r="E119" t="s">
        <v>170</v>
      </c>
      <c r="F119" t="s">
        <v>36</v>
      </c>
      <c r="G119" t="s">
        <v>899</v>
      </c>
    </row>
    <row r="120" spans="1:7" x14ac:dyDescent="0.3">
      <c r="A120" t="s">
        <v>132</v>
      </c>
      <c r="B120" s="6">
        <v>-1.5E-6</v>
      </c>
      <c r="D120" s="3" t="s">
        <v>8</v>
      </c>
      <c r="E120" t="s">
        <v>170</v>
      </c>
      <c r="F120" t="s">
        <v>36</v>
      </c>
      <c r="G120" t="s">
        <v>899</v>
      </c>
    </row>
    <row r="122" spans="1:7" ht="15.6" x14ac:dyDescent="0.3">
      <c r="A122" s="1" t="s">
        <v>1</v>
      </c>
      <c r="B122" s="73" t="s">
        <v>847</v>
      </c>
    </row>
    <row r="123" spans="1:7" x14ac:dyDescent="0.3">
      <c r="A123" t="s">
        <v>2</v>
      </c>
      <c r="B123" s="6" t="s">
        <v>581</v>
      </c>
    </row>
    <row r="124" spans="1:7" x14ac:dyDescent="0.3">
      <c r="A124" t="s">
        <v>3</v>
      </c>
      <c r="B124" s="6">
        <v>1</v>
      </c>
    </row>
    <row r="125" spans="1:7" ht="15.6" x14ac:dyDescent="0.3">
      <c r="A125" t="s">
        <v>4</v>
      </c>
      <c r="B125" s="74" t="s">
        <v>1024</v>
      </c>
    </row>
    <row r="126" spans="1:7" x14ac:dyDescent="0.3">
      <c r="A126" t="s">
        <v>5</v>
      </c>
      <c r="B126" s="6" t="s">
        <v>6</v>
      </c>
    </row>
    <row r="127" spans="1:7" x14ac:dyDescent="0.3">
      <c r="A127" t="s">
        <v>9</v>
      </c>
      <c r="B127" s="6" t="s">
        <v>641</v>
      </c>
    </row>
    <row r="128" spans="1:7" x14ac:dyDescent="0.3">
      <c r="A128" t="s">
        <v>848</v>
      </c>
      <c r="B128" s="6" t="s">
        <v>849</v>
      </c>
    </row>
    <row r="129" spans="1:8" x14ac:dyDescent="0.3">
      <c r="A129" t="s">
        <v>7</v>
      </c>
      <c r="B129" s="6" t="s">
        <v>8</v>
      </c>
    </row>
    <row r="130" spans="1:8" x14ac:dyDescent="0.3">
      <c r="A130" t="s">
        <v>497</v>
      </c>
      <c r="B130" s="72">
        <f>Summary!O49</f>
        <v>0.69835386779783848</v>
      </c>
    </row>
    <row r="131" spans="1:8" ht="15.6" x14ac:dyDescent="0.3">
      <c r="A131" s="1" t="s">
        <v>12</v>
      </c>
    </row>
    <row r="132" spans="1:8" x14ac:dyDescent="0.3">
      <c r="A132" t="s">
        <v>13</v>
      </c>
      <c r="B132" s="6" t="s">
        <v>14</v>
      </c>
      <c r="C132" t="s">
        <v>2</v>
      </c>
      <c r="D132" t="s">
        <v>7</v>
      </c>
      <c r="E132" t="s">
        <v>15</v>
      </c>
      <c r="F132" t="s">
        <v>5</v>
      </c>
      <c r="G132" t="s">
        <v>11</v>
      </c>
      <c r="H132" t="s">
        <v>4</v>
      </c>
    </row>
    <row r="133" spans="1:8" ht="15.6" x14ac:dyDescent="0.3">
      <c r="A133" s="2" t="s">
        <v>847</v>
      </c>
      <c r="B133" s="6">
        <v>1</v>
      </c>
      <c r="C133" t="s">
        <v>581</v>
      </c>
      <c r="D133" t="s">
        <v>8</v>
      </c>
      <c r="E133" t="s">
        <v>681</v>
      </c>
      <c r="F133" t="s">
        <v>17</v>
      </c>
      <c r="G133" t="s">
        <v>682</v>
      </c>
      <c r="H133" s="74" t="s">
        <v>1024</v>
      </c>
    </row>
    <row r="134" spans="1:8" x14ac:dyDescent="0.3">
      <c r="A134" t="s">
        <v>852</v>
      </c>
      <c r="B134" s="6">
        <f>29.2388/B27</f>
        <v>2.2311604570861712</v>
      </c>
      <c r="C134" t="s">
        <v>581</v>
      </c>
      <c r="D134" t="s">
        <v>8</v>
      </c>
      <c r="E134" t="s">
        <v>643</v>
      </c>
      <c r="F134" t="s">
        <v>20</v>
      </c>
      <c r="G134" t="s">
        <v>683</v>
      </c>
      <c r="H134" t="s">
        <v>853</v>
      </c>
    </row>
    <row r="135" spans="1:8" x14ac:dyDescent="0.3">
      <c r="A135" t="s">
        <v>254</v>
      </c>
      <c r="B135" s="6">
        <v>3.1463199999999998E-3</v>
      </c>
      <c r="C135" t="s">
        <v>581</v>
      </c>
      <c r="D135" t="s">
        <v>8</v>
      </c>
      <c r="E135" t="s">
        <v>643</v>
      </c>
      <c r="F135" t="s">
        <v>20</v>
      </c>
      <c r="G135" t="s">
        <v>684</v>
      </c>
      <c r="H135" t="s">
        <v>256</v>
      </c>
    </row>
    <row r="136" spans="1:8" x14ac:dyDescent="0.3">
      <c r="A136" t="s">
        <v>645</v>
      </c>
      <c r="B136" s="6">
        <v>5.8799200000000003</v>
      </c>
      <c r="C136" t="s">
        <v>581</v>
      </c>
      <c r="D136" t="s">
        <v>19</v>
      </c>
      <c r="E136" t="s">
        <v>646</v>
      </c>
      <c r="F136" t="s">
        <v>20</v>
      </c>
      <c r="G136" t="s">
        <v>685</v>
      </c>
      <c r="H136" t="s">
        <v>648</v>
      </c>
    </row>
    <row r="137" spans="1:8" x14ac:dyDescent="0.3">
      <c r="A137" t="s">
        <v>388</v>
      </c>
      <c r="B137" s="6">
        <v>7.8657999999999992E-3</v>
      </c>
      <c r="C137" t="s">
        <v>26</v>
      </c>
      <c r="D137" t="s">
        <v>8</v>
      </c>
      <c r="E137" t="s">
        <v>643</v>
      </c>
      <c r="F137" t="s">
        <v>20</v>
      </c>
      <c r="G137" t="s">
        <v>684</v>
      </c>
      <c r="H137" t="s">
        <v>389</v>
      </c>
    </row>
    <row r="138" spans="1:8" x14ac:dyDescent="0.3">
      <c r="A138" t="s">
        <v>252</v>
      </c>
      <c r="B138" s="6">
        <v>6.2926399999999995E-3</v>
      </c>
      <c r="C138" t="s">
        <v>581</v>
      </c>
      <c r="D138" t="s">
        <v>8</v>
      </c>
      <c r="E138" t="s">
        <v>643</v>
      </c>
      <c r="F138" t="s">
        <v>20</v>
      </c>
      <c r="G138" t="s">
        <v>684</v>
      </c>
      <c r="H138" t="s">
        <v>253</v>
      </c>
    </row>
    <row r="139" spans="1:8" x14ac:dyDescent="0.3">
      <c r="A139" t="s">
        <v>100</v>
      </c>
      <c r="B139" s="6">
        <v>0.38056000000000001</v>
      </c>
      <c r="C139" t="s">
        <v>633</v>
      </c>
      <c r="D139" t="s">
        <v>41</v>
      </c>
      <c r="E139" t="s">
        <v>646</v>
      </c>
      <c r="F139" t="s">
        <v>20</v>
      </c>
      <c r="G139" t="s">
        <v>654</v>
      </c>
      <c r="H139" t="s">
        <v>103</v>
      </c>
    </row>
    <row r="140" spans="1:8" x14ac:dyDescent="0.3">
      <c r="A140" t="s">
        <v>97</v>
      </c>
      <c r="B140" s="6">
        <v>0.15276000000000001</v>
      </c>
      <c r="C140" t="s">
        <v>581</v>
      </c>
      <c r="D140" t="s">
        <v>41</v>
      </c>
      <c r="E140" t="s">
        <v>646</v>
      </c>
      <c r="F140" t="s">
        <v>20</v>
      </c>
      <c r="G140" t="s">
        <v>655</v>
      </c>
      <c r="H140" t="s">
        <v>98</v>
      </c>
    </row>
    <row r="141" spans="1:8" x14ac:dyDescent="0.3">
      <c r="A141" t="s">
        <v>352</v>
      </c>
      <c r="B141" s="6">
        <v>0.338752</v>
      </c>
      <c r="C141" t="s">
        <v>581</v>
      </c>
      <c r="D141" t="s">
        <v>41</v>
      </c>
      <c r="E141" t="s">
        <v>646</v>
      </c>
      <c r="F141" t="s">
        <v>20</v>
      </c>
      <c r="G141" t="s">
        <v>687</v>
      </c>
      <c r="H141" t="s">
        <v>353</v>
      </c>
    </row>
    <row r="142" spans="1:8" x14ac:dyDescent="0.3">
      <c r="A142" t="s">
        <v>352</v>
      </c>
      <c r="B142" s="6">
        <v>0.1608</v>
      </c>
      <c r="C142" t="s">
        <v>581</v>
      </c>
      <c r="D142" t="s">
        <v>41</v>
      </c>
      <c r="E142" t="s">
        <v>646</v>
      </c>
      <c r="F142" t="s">
        <v>20</v>
      </c>
      <c r="G142" t="s">
        <v>688</v>
      </c>
      <c r="H142" t="s">
        <v>353</v>
      </c>
    </row>
    <row r="143" spans="1:8" x14ac:dyDescent="0.3">
      <c r="A143" t="s">
        <v>352</v>
      </c>
      <c r="B143" s="6">
        <v>0.32963999999999999</v>
      </c>
      <c r="C143" t="s">
        <v>581</v>
      </c>
      <c r="D143" t="s">
        <v>41</v>
      </c>
      <c r="E143" t="s">
        <v>646</v>
      </c>
      <c r="F143" t="s">
        <v>20</v>
      </c>
      <c r="G143" t="s">
        <v>689</v>
      </c>
      <c r="H143" t="s">
        <v>353</v>
      </c>
    </row>
    <row r="144" spans="1:8" x14ac:dyDescent="0.3">
      <c r="A144" t="s">
        <v>990</v>
      </c>
      <c r="B144" s="6">
        <v>1.1175600000000001</v>
      </c>
      <c r="C144" t="s">
        <v>26</v>
      </c>
      <c r="D144" t="s">
        <v>41</v>
      </c>
      <c r="E144" t="s">
        <v>646</v>
      </c>
      <c r="F144" t="s">
        <v>20</v>
      </c>
      <c r="G144" t="s">
        <v>658</v>
      </c>
      <c r="H144" t="s">
        <v>991</v>
      </c>
    </row>
    <row r="145" spans="1:11" x14ac:dyDescent="0.3">
      <c r="A145" t="s">
        <v>660</v>
      </c>
      <c r="B145" s="6">
        <v>0.21457152000000002</v>
      </c>
      <c r="C145" t="s">
        <v>633</v>
      </c>
      <c r="D145" t="s">
        <v>29</v>
      </c>
      <c r="E145" t="s">
        <v>646</v>
      </c>
      <c r="F145" t="s">
        <v>20</v>
      </c>
      <c r="G145" t="s">
        <v>685</v>
      </c>
      <c r="H145" t="s">
        <v>662</v>
      </c>
    </row>
    <row r="146" spans="1:11" x14ac:dyDescent="0.3">
      <c r="A146" t="s">
        <v>660</v>
      </c>
      <c r="B146" s="6">
        <v>3.1589696E-2</v>
      </c>
      <c r="C146" t="s">
        <v>633</v>
      </c>
      <c r="D146" t="s">
        <v>29</v>
      </c>
      <c r="E146" t="s">
        <v>646</v>
      </c>
      <c r="F146" t="s">
        <v>20</v>
      </c>
      <c r="G146" t="s">
        <v>680</v>
      </c>
      <c r="H146" t="s">
        <v>662</v>
      </c>
    </row>
    <row r="147" spans="1:11" x14ac:dyDescent="0.3">
      <c r="A147" t="s">
        <v>265</v>
      </c>
      <c r="B147" s="6">
        <f>('Cozzolini 2018'!B134*'Cozzolini 2018'!B28*(1+B14))-Parameters!$B$13</f>
        <v>1.7807807440264034</v>
      </c>
      <c r="D147" t="s">
        <v>8</v>
      </c>
      <c r="E147" t="s">
        <v>37</v>
      </c>
      <c r="F147" t="s">
        <v>36</v>
      </c>
      <c r="G147" t="s">
        <v>665</v>
      </c>
    </row>
    <row r="149" spans="1:11" ht="15.6" x14ac:dyDescent="0.3">
      <c r="A149" s="1" t="s">
        <v>1</v>
      </c>
      <c r="B149" s="73" t="s">
        <v>846</v>
      </c>
    </row>
    <row r="150" spans="1:11" x14ac:dyDescent="0.3">
      <c r="A150" t="s">
        <v>2</v>
      </c>
      <c r="B150" s="6" t="s">
        <v>581</v>
      </c>
    </row>
    <row r="151" spans="1:11" x14ac:dyDescent="0.3">
      <c r="A151" t="s">
        <v>3</v>
      </c>
      <c r="B151" s="6">
        <v>1</v>
      </c>
    </row>
    <row r="152" spans="1:11" ht="15.6" x14ac:dyDescent="0.3">
      <c r="A152" t="s">
        <v>4</v>
      </c>
      <c r="B152" s="74" t="s">
        <v>337</v>
      </c>
    </row>
    <row r="153" spans="1:11" x14ac:dyDescent="0.3">
      <c r="A153" t="s">
        <v>9</v>
      </c>
      <c r="B153" s="6" t="s">
        <v>641</v>
      </c>
    </row>
    <row r="154" spans="1:11" x14ac:dyDescent="0.3">
      <c r="A154" t="s">
        <v>5</v>
      </c>
      <c r="B154" s="6" t="s">
        <v>6</v>
      </c>
    </row>
    <row r="155" spans="1:11" x14ac:dyDescent="0.3">
      <c r="A155" t="s">
        <v>7</v>
      </c>
      <c r="B155" s="6" t="s">
        <v>8</v>
      </c>
    </row>
    <row r="156" spans="1:11" ht="15.6" x14ac:dyDescent="0.3">
      <c r="A156" s="1" t="s">
        <v>12</v>
      </c>
    </row>
    <row r="157" spans="1:11" x14ac:dyDescent="0.3">
      <c r="A157" t="s">
        <v>13</v>
      </c>
      <c r="B157" s="6" t="s">
        <v>14</v>
      </c>
      <c r="C157" t="s">
        <v>2</v>
      </c>
      <c r="D157" t="s">
        <v>7</v>
      </c>
      <c r="E157" t="s">
        <v>15</v>
      </c>
      <c r="F157" t="s">
        <v>5</v>
      </c>
      <c r="G157" t="s">
        <v>338</v>
      </c>
      <c r="H157" t="s">
        <v>339</v>
      </c>
      <c r="I157" t="s">
        <v>16</v>
      </c>
      <c r="J157" t="s">
        <v>11</v>
      </c>
      <c r="K157" t="s">
        <v>4</v>
      </c>
    </row>
    <row r="158" spans="1:11" x14ac:dyDescent="0.3">
      <c r="A158" t="s">
        <v>846</v>
      </c>
      <c r="B158" s="6">
        <v>1</v>
      </c>
      <c r="C158" t="s">
        <v>581</v>
      </c>
      <c r="D158" t="s">
        <v>8</v>
      </c>
      <c r="F158" t="s">
        <v>17</v>
      </c>
      <c r="I158">
        <v>100</v>
      </c>
      <c r="J158" t="s">
        <v>18</v>
      </c>
      <c r="K158" t="s">
        <v>337</v>
      </c>
    </row>
    <row r="159" spans="1:11" ht="15.6" x14ac:dyDescent="0.3">
      <c r="A159" s="2" t="s">
        <v>847</v>
      </c>
      <c r="B159" s="6">
        <v>1.00057</v>
      </c>
      <c r="C159" t="s">
        <v>581</v>
      </c>
      <c r="D159" t="s">
        <v>8</v>
      </c>
      <c r="F159" t="s">
        <v>20</v>
      </c>
      <c r="K159" s="74" t="s">
        <v>1024</v>
      </c>
    </row>
    <row r="160" spans="1:11" x14ac:dyDescent="0.3">
      <c r="A160" t="s">
        <v>28</v>
      </c>
      <c r="B160" s="6">
        <v>6.7000000000000002E-3</v>
      </c>
      <c r="C160" t="s">
        <v>581</v>
      </c>
      <c r="D160" t="s">
        <v>29</v>
      </c>
      <c r="F160" t="s">
        <v>20</v>
      </c>
      <c r="K160" t="s">
        <v>30</v>
      </c>
    </row>
    <row r="161" spans="1:11" x14ac:dyDescent="0.3">
      <c r="A161" t="s">
        <v>340</v>
      </c>
      <c r="B161" s="6">
        <v>-1.6799999999999999E-4</v>
      </c>
      <c r="C161" t="s">
        <v>633</v>
      </c>
      <c r="D161" t="s">
        <v>8</v>
      </c>
      <c r="F161" t="s">
        <v>20</v>
      </c>
      <c r="K161" t="s">
        <v>341</v>
      </c>
    </row>
    <row r="162" spans="1:11" x14ac:dyDescent="0.3">
      <c r="A162" t="s">
        <v>342</v>
      </c>
      <c r="B162" s="6">
        <v>5.8399999999999999E-4</v>
      </c>
      <c r="C162" t="s">
        <v>640</v>
      </c>
      <c r="D162" t="s">
        <v>19</v>
      </c>
      <c r="F162" t="s">
        <v>20</v>
      </c>
      <c r="K162" t="s">
        <v>343</v>
      </c>
    </row>
    <row r="163" spans="1:11" x14ac:dyDescent="0.3">
      <c r="A163" t="s">
        <v>344</v>
      </c>
      <c r="B163" s="6">
        <v>2.5999999999999998E-10</v>
      </c>
      <c r="C163" t="s">
        <v>581</v>
      </c>
      <c r="D163" t="s">
        <v>7</v>
      </c>
      <c r="F163" t="s">
        <v>20</v>
      </c>
      <c r="K163" t="s">
        <v>345</v>
      </c>
    </row>
    <row r="164" spans="1:11" x14ac:dyDescent="0.3">
      <c r="A164" t="s">
        <v>346</v>
      </c>
      <c r="B164" s="6">
        <v>-6.2700000000000001E-6</v>
      </c>
      <c r="C164" t="s">
        <v>640</v>
      </c>
      <c r="D164" t="s">
        <v>8</v>
      </c>
      <c r="F164" t="s">
        <v>20</v>
      </c>
      <c r="K164" t="s">
        <v>347</v>
      </c>
    </row>
    <row r="165" spans="1:11" x14ac:dyDescent="0.3">
      <c r="A165" t="s">
        <v>348</v>
      </c>
      <c r="B165" s="6">
        <v>-7.4999999999999993E-5</v>
      </c>
      <c r="C165" t="s">
        <v>633</v>
      </c>
      <c r="D165" t="s">
        <v>121</v>
      </c>
      <c r="F165" t="s">
        <v>20</v>
      </c>
      <c r="K165" t="s">
        <v>349</v>
      </c>
    </row>
    <row r="166" spans="1:11" x14ac:dyDescent="0.3">
      <c r="A166" t="s">
        <v>350</v>
      </c>
      <c r="B166" s="6">
        <v>6.8900000000000005E-4</v>
      </c>
      <c r="C166" t="s">
        <v>633</v>
      </c>
      <c r="D166" t="s">
        <v>8</v>
      </c>
      <c r="F166" t="s">
        <v>20</v>
      </c>
      <c r="K166" t="s">
        <v>351</v>
      </c>
    </row>
    <row r="167" spans="1:11" x14ac:dyDescent="0.3">
      <c r="A167" t="s">
        <v>100</v>
      </c>
      <c r="B167" s="6">
        <v>3.3599999999999998E-2</v>
      </c>
      <c r="C167" t="s">
        <v>633</v>
      </c>
      <c r="D167" t="s">
        <v>41</v>
      </c>
      <c r="F167" t="s">
        <v>20</v>
      </c>
      <c r="K167" t="s">
        <v>103</v>
      </c>
    </row>
    <row r="168" spans="1:11" x14ac:dyDescent="0.3">
      <c r="A168" t="s">
        <v>352</v>
      </c>
      <c r="B168" s="6">
        <v>3.2599999999999997E-2</v>
      </c>
      <c r="C168" t="s">
        <v>581</v>
      </c>
      <c r="D168" t="s">
        <v>41</v>
      </c>
      <c r="F168" t="s">
        <v>20</v>
      </c>
      <c r="K168" t="s">
        <v>353</v>
      </c>
    </row>
    <row r="169" spans="1:11" x14ac:dyDescent="0.3">
      <c r="A169" t="s">
        <v>354</v>
      </c>
      <c r="B169" s="6">
        <v>-6.8899999999999999E-7</v>
      </c>
      <c r="C169" t="s">
        <v>633</v>
      </c>
      <c r="D169" t="s">
        <v>121</v>
      </c>
      <c r="F169" t="s">
        <v>20</v>
      </c>
      <c r="K169" t="s">
        <v>355</v>
      </c>
    </row>
    <row r="171" spans="1:11" ht="15.6" x14ac:dyDescent="0.3">
      <c r="A171" s="1" t="s">
        <v>1</v>
      </c>
      <c r="B171" s="73" t="s">
        <v>866</v>
      </c>
    </row>
    <row r="172" spans="1:11" x14ac:dyDescent="0.3">
      <c r="A172" t="s">
        <v>2</v>
      </c>
      <c r="B172" s="6" t="s">
        <v>581</v>
      </c>
    </row>
    <row r="173" spans="1:11" x14ac:dyDescent="0.3">
      <c r="A173" t="s">
        <v>3</v>
      </c>
      <c r="B173" s="6">
        <v>1</v>
      </c>
    </row>
    <row r="174" spans="1:11" x14ac:dyDescent="0.3">
      <c r="A174" t="s">
        <v>4</v>
      </c>
      <c r="B174" s="6" t="s">
        <v>867</v>
      </c>
    </row>
    <row r="175" spans="1:11" x14ac:dyDescent="0.3">
      <c r="A175" t="s">
        <v>5</v>
      </c>
      <c r="B175" s="6" t="s">
        <v>6</v>
      </c>
    </row>
    <row r="176" spans="1:11" x14ac:dyDescent="0.3">
      <c r="A176" t="s">
        <v>7</v>
      </c>
      <c r="B176" s="6" t="s">
        <v>8</v>
      </c>
    </row>
    <row r="177" spans="1:10" x14ac:dyDescent="0.3">
      <c r="A177" t="s">
        <v>9</v>
      </c>
      <c r="B177" s="6" t="s">
        <v>641</v>
      </c>
    </row>
    <row r="178" spans="1:10" x14ac:dyDescent="0.3">
      <c r="A178" t="s">
        <v>850</v>
      </c>
      <c r="B178" s="6">
        <v>17.2</v>
      </c>
    </row>
    <row r="179" spans="1:10" x14ac:dyDescent="0.3">
      <c r="A179" t="s">
        <v>856</v>
      </c>
      <c r="B179" s="75">
        <v>0.1</v>
      </c>
    </row>
    <row r="180" spans="1:10" ht="15.6" x14ac:dyDescent="0.3">
      <c r="A180" s="1" t="s">
        <v>12</v>
      </c>
    </row>
    <row r="181" spans="1:10" x14ac:dyDescent="0.3">
      <c r="A181" t="s">
        <v>13</v>
      </c>
      <c r="B181" s="6" t="s">
        <v>14</v>
      </c>
      <c r="C181" t="s">
        <v>2</v>
      </c>
      <c r="D181" t="s">
        <v>7</v>
      </c>
      <c r="E181" t="s">
        <v>15</v>
      </c>
      <c r="F181" t="s">
        <v>5</v>
      </c>
      <c r="G181" t="s">
        <v>11</v>
      </c>
      <c r="H181" t="s">
        <v>4</v>
      </c>
    </row>
    <row r="182" spans="1:10" x14ac:dyDescent="0.3">
      <c r="A182" t="s">
        <v>866</v>
      </c>
      <c r="B182" s="6">
        <v>1</v>
      </c>
      <c r="C182" t="s">
        <v>581</v>
      </c>
      <c r="D182" t="s">
        <v>8</v>
      </c>
      <c r="E182" t="s">
        <v>695</v>
      </c>
      <c r="F182" t="s">
        <v>17</v>
      </c>
      <c r="G182" t="s">
        <v>18</v>
      </c>
      <c r="H182" t="s">
        <v>867</v>
      </c>
    </row>
    <row r="183" spans="1:10" x14ac:dyDescent="0.3">
      <c r="A183" t="s">
        <v>866</v>
      </c>
      <c r="B183" s="6">
        <v>0.14000000000000001</v>
      </c>
      <c r="C183" t="s">
        <v>581</v>
      </c>
      <c r="D183" t="s">
        <v>8</v>
      </c>
      <c r="F183" t="s">
        <v>20</v>
      </c>
      <c r="G183" t="s">
        <v>857</v>
      </c>
      <c r="H183" t="s">
        <v>853</v>
      </c>
    </row>
    <row r="184" spans="1:10" x14ac:dyDescent="0.3">
      <c r="A184" t="s">
        <v>352</v>
      </c>
      <c r="B184" s="6">
        <v>5.4180000000000006E-2</v>
      </c>
      <c r="C184" t="s">
        <v>581</v>
      </c>
      <c r="D184" t="s">
        <v>41</v>
      </c>
      <c r="E184" t="s">
        <v>643</v>
      </c>
      <c r="F184" t="s">
        <v>20</v>
      </c>
      <c r="G184" t="s">
        <v>18</v>
      </c>
      <c r="H184" t="s">
        <v>353</v>
      </c>
    </row>
    <row r="185" spans="1:10" x14ac:dyDescent="0.3">
      <c r="A185" t="s">
        <v>28</v>
      </c>
      <c r="B185" s="6">
        <v>8.6068800000000015E-2</v>
      </c>
      <c r="C185" t="s">
        <v>633</v>
      </c>
      <c r="D185" t="s">
        <v>29</v>
      </c>
      <c r="E185" t="s">
        <v>643</v>
      </c>
      <c r="F185" t="s">
        <v>20</v>
      </c>
      <c r="G185" t="s">
        <v>18</v>
      </c>
      <c r="H185" t="s">
        <v>30</v>
      </c>
    </row>
    <row r="186" spans="1:10" x14ac:dyDescent="0.3">
      <c r="A186" t="s">
        <v>108</v>
      </c>
      <c r="B186" s="6">
        <f>B178*(1-B179)</f>
        <v>15.48</v>
      </c>
      <c r="D186" t="s">
        <v>19</v>
      </c>
      <c r="E186" t="s">
        <v>112</v>
      </c>
      <c r="F186" t="s">
        <v>36</v>
      </c>
      <c r="G186" t="s">
        <v>804</v>
      </c>
    </row>
    <row r="187" spans="1:10" x14ac:dyDescent="0.3">
      <c r="A187" t="s">
        <v>40</v>
      </c>
      <c r="B187" s="6">
        <v>4.7373444000000001E-7</v>
      </c>
      <c r="D187" t="s">
        <v>8</v>
      </c>
      <c r="E187" t="s">
        <v>37</v>
      </c>
      <c r="F187" t="s">
        <v>36</v>
      </c>
      <c r="G187" t="s">
        <v>18</v>
      </c>
    </row>
    <row r="188" spans="1:10" x14ac:dyDescent="0.3">
      <c r="A188" t="s">
        <v>193</v>
      </c>
      <c r="B188" s="6">
        <v>1.9230803999999999E-7</v>
      </c>
      <c r="D188" t="s">
        <v>8</v>
      </c>
      <c r="E188" t="s">
        <v>37</v>
      </c>
      <c r="F188" t="s">
        <v>36</v>
      </c>
      <c r="G188" t="s">
        <v>18</v>
      </c>
    </row>
    <row r="189" spans="1:10" x14ac:dyDescent="0.3">
      <c r="A189" t="s">
        <v>763</v>
      </c>
      <c r="B189" s="6">
        <v>3.6585432000000003E-3</v>
      </c>
      <c r="C189" t="s">
        <v>581</v>
      </c>
      <c r="D189" t="s">
        <v>8</v>
      </c>
      <c r="E189" t="s">
        <v>643</v>
      </c>
      <c r="F189" t="s">
        <v>20</v>
      </c>
      <c r="G189" t="s">
        <v>18</v>
      </c>
      <c r="H189" t="s">
        <v>764</v>
      </c>
    </row>
    <row r="190" spans="1:10" x14ac:dyDescent="0.3">
      <c r="A190" t="s">
        <v>1046</v>
      </c>
      <c r="B190" s="6">
        <f>0.46*(44/12)*(1-B179)</f>
        <v>1.518</v>
      </c>
      <c r="D190" t="s">
        <v>8</v>
      </c>
      <c r="E190" t="s">
        <v>1047</v>
      </c>
      <c r="F190" t="s">
        <v>36</v>
      </c>
      <c r="J190" t="s">
        <v>882</v>
      </c>
    </row>
    <row r="192" spans="1:10" ht="15.6" x14ac:dyDescent="0.3">
      <c r="A192" s="1" t="s">
        <v>1</v>
      </c>
      <c r="B192" s="73" t="s">
        <v>868</v>
      </c>
    </row>
    <row r="193" spans="1:11" x14ac:dyDescent="0.3">
      <c r="A193" t="s">
        <v>2</v>
      </c>
      <c r="B193" s="6" t="s">
        <v>581</v>
      </c>
    </row>
    <row r="194" spans="1:11" x14ac:dyDescent="0.3">
      <c r="A194" t="s">
        <v>3</v>
      </c>
      <c r="B194" s="6">
        <v>1</v>
      </c>
    </row>
    <row r="195" spans="1:11" x14ac:dyDescent="0.3">
      <c r="A195" t="s">
        <v>4</v>
      </c>
      <c r="B195" s="6" t="s">
        <v>1025</v>
      </c>
    </row>
    <row r="196" spans="1:11" x14ac:dyDescent="0.3">
      <c r="A196" t="s">
        <v>5</v>
      </c>
      <c r="B196" s="6" t="s">
        <v>6</v>
      </c>
    </row>
    <row r="197" spans="1:11" x14ac:dyDescent="0.3">
      <c r="A197" t="s">
        <v>7</v>
      </c>
      <c r="B197" s="6" t="s">
        <v>8</v>
      </c>
    </row>
    <row r="198" spans="1:11" x14ac:dyDescent="0.3">
      <c r="A198" t="s">
        <v>9</v>
      </c>
      <c r="B198" s="6" t="s">
        <v>641</v>
      </c>
    </row>
    <row r="199" spans="1:11" x14ac:dyDescent="0.3">
      <c r="A199" t="s">
        <v>497</v>
      </c>
      <c r="B199" s="72">
        <f>Summary!O50</f>
        <v>0.46191200404200816</v>
      </c>
    </row>
    <row r="200" spans="1:11" ht="15.6" x14ac:dyDescent="0.3">
      <c r="A200" s="1" t="s">
        <v>12</v>
      </c>
    </row>
    <row r="201" spans="1:11" x14ac:dyDescent="0.3">
      <c r="A201" t="s">
        <v>13</v>
      </c>
      <c r="B201" s="6" t="s">
        <v>14</v>
      </c>
      <c r="C201" t="s">
        <v>2</v>
      </c>
      <c r="D201" t="s">
        <v>7</v>
      </c>
      <c r="E201" t="s">
        <v>15</v>
      </c>
      <c r="F201" t="s">
        <v>5</v>
      </c>
      <c r="G201" t="s">
        <v>11</v>
      </c>
      <c r="H201" t="s">
        <v>642</v>
      </c>
      <c r="I201" t="s">
        <v>4</v>
      </c>
      <c r="J201" t="s">
        <v>667</v>
      </c>
      <c r="K201" t="s">
        <v>668</v>
      </c>
    </row>
    <row r="202" spans="1:11" x14ac:dyDescent="0.3">
      <c r="A202" t="s">
        <v>868</v>
      </c>
      <c r="B202" s="6">
        <v>1</v>
      </c>
      <c r="C202" t="s">
        <v>581</v>
      </c>
      <c r="D202" t="s">
        <v>8</v>
      </c>
      <c r="E202" t="s">
        <v>695</v>
      </c>
      <c r="F202" t="s">
        <v>17</v>
      </c>
      <c r="G202" t="s">
        <v>18</v>
      </c>
      <c r="H202" s="6" t="s">
        <v>1025</v>
      </c>
    </row>
    <row r="203" spans="1:11" x14ac:dyDescent="0.3">
      <c r="A203" t="s">
        <v>866</v>
      </c>
      <c r="B203" s="6">
        <f>51.839247/B186</f>
        <v>3.3487885658914727</v>
      </c>
      <c r="C203" t="s">
        <v>581</v>
      </c>
      <c r="D203" t="s">
        <v>8</v>
      </c>
      <c r="E203" t="s">
        <v>643</v>
      </c>
      <c r="F203" t="s">
        <v>20</v>
      </c>
      <c r="G203" t="s">
        <v>18</v>
      </c>
      <c r="H203" t="s">
        <v>867</v>
      </c>
    </row>
    <row r="204" spans="1:11" x14ac:dyDescent="0.3">
      <c r="A204" t="s">
        <v>254</v>
      </c>
      <c r="B204" s="6">
        <v>6.2068799999999997E-3</v>
      </c>
      <c r="C204" t="s">
        <v>581</v>
      </c>
      <c r="D204" t="s">
        <v>8</v>
      </c>
      <c r="E204" t="s">
        <v>643</v>
      </c>
      <c r="F204" t="s">
        <v>20</v>
      </c>
      <c r="G204" t="s">
        <v>18</v>
      </c>
      <c r="H204" t="s">
        <v>256</v>
      </c>
      <c r="I204" t="s">
        <v>256</v>
      </c>
      <c r="J204" t="s">
        <v>975</v>
      </c>
      <c r="K204" t="s">
        <v>673</v>
      </c>
    </row>
    <row r="205" spans="1:11" x14ac:dyDescent="0.3">
      <c r="A205" t="s">
        <v>976</v>
      </c>
      <c r="B205" s="6">
        <v>2.3852000000000001E-3</v>
      </c>
      <c r="C205" t="s">
        <v>581</v>
      </c>
      <c r="D205" t="s">
        <v>8</v>
      </c>
      <c r="E205" t="s">
        <v>643</v>
      </c>
      <c r="F205" t="s">
        <v>20</v>
      </c>
      <c r="G205" t="s">
        <v>18</v>
      </c>
      <c r="H205" t="s">
        <v>977</v>
      </c>
      <c r="I205" t="s">
        <v>977</v>
      </c>
      <c r="J205" t="s">
        <v>978</v>
      </c>
      <c r="K205" t="s">
        <v>673</v>
      </c>
    </row>
    <row r="206" spans="1:11" x14ac:dyDescent="0.3">
      <c r="A206" t="s">
        <v>696</v>
      </c>
      <c r="B206" s="6">
        <v>6.8340000000000002E-4</v>
      </c>
      <c r="C206" t="s">
        <v>581</v>
      </c>
      <c r="D206" t="s">
        <v>8</v>
      </c>
      <c r="E206" t="s">
        <v>643</v>
      </c>
      <c r="F206" t="s">
        <v>20</v>
      </c>
      <c r="G206" t="s">
        <v>18</v>
      </c>
      <c r="H206" t="s">
        <v>697</v>
      </c>
      <c r="I206" t="s">
        <v>697</v>
      </c>
      <c r="J206" t="s">
        <v>698</v>
      </c>
      <c r="K206" t="s">
        <v>673</v>
      </c>
    </row>
    <row r="207" spans="1:11" x14ac:dyDescent="0.3">
      <c r="A207" t="s">
        <v>699</v>
      </c>
      <c r="B207" s="6">
        <v>5.1188000000000004E-4</v>
      </c>
      <c r="C207" t="s">
        <v>26</v>
      </c>
      <c r="D207" t="s">
        <v>8</v>
      </c>
      <c r="E207" t="s">
        <v>643</v>
      </c>
      <c r="F207" t="s">
        <v>20</v>
      </c>
      <c r="G207" t="s">
        <v>18</v>
      </c>
      <c r="H207" t="s">
        <v>700</v>
      </c>
      <c r="I207" t="s">
        <v>700</v>
      </c>
      <c r="J207" t="s">
        <v>701</v>
      </c>
      <c r="K207" t="s">
        <v>673</v>
      </c>
    </row>
    <row r="208" spans="1:11" x14ac:dyDescent="0.3">
      <c r="A208" t="s">
        <v>649</v>
      </c>
      <c r="B208" s="6">
        <v>2.8303479999999999E-2</v>
      </c>
      <c r="C208" t="s">
        <v>581</v>
      </c>
      <c r="D208" t="s">
        <v>8</v>
      </c>
      <c r="E208" t="s">
        <v>643</v>
      </c>
      <c r="F208" t="s">
        <v>20</v>
      </c>
      <c r="G208" t="s">
        <v>18</v>
      </c>
      <c r="H208" t="s">
        <v>651</v>
      </c>
      <c r="I208" t="s">
        <v>651</v>
      </c>
      <c r="J208" t="s">
        <v>702</v>
      </c>
      <c r="K208" t="s">
        <v>673</v>
      </c>
    </row>
    <row r="209" spans="1:11" x14ac:dyDescent="0.3">
      <c r="A209" t="s">
        <v>703</v>
      </c>
      <c r="B209" s="6">
        <v>5.1992000000000002E-3</v>
      </c>
      <c r="C209" t="s">
        <v>26</v>
      </c>
      <c r="D209" t="s">
        <v>8</v>
      </c>
      <c r="E209" t="s">
        <v>643</v>
      </c>
      <c r="F209" t="s">
        <v>20</v>
      </c>
      <c r="G209" t="s">
        <v>18</v>
      </c>
      <c r="H209" t="s">
        <v>704</v>
      </c>
      <c r="I209" t="s">
        <v>704</v>
      </c>
      <c r="J209" t="s">
        <v>705</v>
      </c>
      <c r="K209" t="s">
        <v>673</v>
      </c>
    </row>
    <row r="210" spans="1:11" x14ac:dyDescent="0.3">
      <c r="A210" t="s">
        <v>388</v>
      </c>
      <c r="B210" s="6">
        <v>7.1221000000000007E-2</v>
      </c>
      <c r="C210" t="s">
        <v>26</v>
      </c>
      <c r="D210" t="s">
        <v>8</v>
      </c>
      <c r="E210" t="s">
        <v>643</v>
      </c>
      <c r="F210" t="s">
        <v>20</v>
      </c>
      <c r="G210" t="s">
        <v>18</v>
      </c>
      <c r="H210" t="s">
        <v>389</v>
      </c>
      <c r="I210" t="s">
        <v>389</v>
      </c>
      <c r="J210" t="s">
        <v>686</v>
      </c>
      <c r="K210" t="s">
        <v>673</v>
      </c>
    </row>
    <row r="211" spans="1:11" x14ac:dyDescent="0.3">
      <c r="A211" t="s">
        <v>706</v>
      </c>
      <c r="B211" s="6">
        <v>7.0483999999999998E-4</v>
      </c>
      <c r="C211" t="s">
        <v>581</v>
      </c>
      <c r="D211" t="s">
        <v>8</v>
      </c>
      <c r="E211" t="s">
        <v>643</v>
      </c>
      <c r="F211" t="s">
        <v>20</v>
      </c>
      <c r="G211" t="s">
        <v>18</v>
      </c>
      <c r="H211" t="s">
        <v>707</v>
      </c>
      <c r="I211" t="s">
        <v>707</v>
      </c>
      <c r="J211" t="s">
        <v>708</v>
      </c>
      <c r="K211" t="s">
        <v>673</v>
      </c>
    </row>
    <row r="212" spans="1:11" x14ac:dyDescent="0.3">
      <c r="A212" t="s">
        <v>100</v>
      </c>
      <c r="B212" s="6">
        <v>0.38056000000000001</v>
      </c>
      <c r="C212" t="s">
        <v>633</v>
      </c>
      <c r="D212" t="s">
        <v>41</v>
      </c>
      <c r="E212" t="s">
        <v>643</v>
      </c>
      <c r="F212" t="s">
        <v>20</v>
      </c>
      <c r="G212" t="s">
        <v>18</v>
      </c>
      <c r="H212" t="s">
        <v>103</v>
      </c>
      <c r="I212" t="s">
        <v>103</v>
      </c>
      <c r="J212" t="s">
        <v>674</v>
      </c>
      <c r="K212" t="s">
        <v>673</v>
      </c>
    </row>
    <row r="213" spans="1:11" x14ac:dyDescent="0.3">
      <c r="A213" t="s">
        <v>97</v>
      </c>
      <c r="B213" s="6">
        <v>0.15276000000000001</v>
      </c>
      <c r="C213" t="s">
        <v>581</v>
      </c>
      <c r="D213" t="s">
        <v>41</v>
      </c>
      <c r="E213" t="s">
        <v>643</v>
      </c>
      <c r="F213" t="s">
        <v>20</v>
      </c>
      <c r="G213" t="s">
        <v>18</v>
      </c>
      <c r="H213" t="s">
        <v>98</v>
      </c>
      <c r="I213" t="s">
        <v>98</v>
      </c>
      <c r="J213" t="s">
        <v>675</v>
      </c>
      <c r="K213" t="s">
        <v>673</v>
      </c>
    </row>
    <row r="214" spans="1:11" x14ac:dyDescent="0.3">
      <c r="A214" t="s">
        <v>352</v>
      </c>
      <c r="B214" s="6">
        <v>0.32963999999999999</v>
      </c>
      <c r="C214" t="s">
        <v>581</v>
      </c>
      <c r="D214" t="s">
        <v>41</v>
      </c>
      <c r="E214" t="s">
        <v>643</v>
      </c>
      <c r="F214" t="s">
        <v>20</v>
      </c>
      <c r="G214" t="s">
        <v>18</v>
      </c>
      <c r="H214" t="s">
        <v>353</v>
      </c>
      <c r="I214" t="s">
        <v>353</v>
      </c>
      <c r="J214" t="s">
        <v>1023</v>
      </c>
      <c r="K214" t="s">
        <v>673</v>
      </c>
    </row>
    <row r="215" spans="1:11" x14ac:dyDescent="0.3">
      <c r="A215" t="s">
        <v>352</v>
      </c>
      <c r="B215" s="6">
        <v>0.1608</v>
      </c>
      <c r="C215" t="s">
        <v>581</v>
      </c>
      <c r="D215" t="s">
        <v>41</v>
      </c>
      <c r="E215" t="s">
        <v>643</v>
      </c>
      <c r="F215" t="s">
        <v>20</v>
      </c>
      <c r="G215" t="s">
        <v>18</v>
      </c>
      <c r="H215" t="s">
        <v>353</v>
      </c>
      <c r="I215" t="s">
        <v>353</v>
      </c>
      <c r="J215" t="s">
        <v>1023</v>
      </c>
      <c r="K215" t="s">
        <v>673</v>
      </c>
    </row>
    <row r="216" spans="1:11" x14ac:dyDescent="0.3">
      <c r="A216" t="s">
        <v>990</v>
      </c>
      <c r="B216" s="6">
        <v>1.1175600000000001</v>
      </c>
      <c r="C216" t="s">
        <v>26</v>
      </c>
      <c r="D216" t="s">
        <v>41</v>
      </c>
      <c r="E216" t="s">
        <v>643</v>
      </c>
      <c r="F216" t="s">
        <v>20</v>
      </c>
      <c r="G216" t="s">
        <v>18</v>
      </c>
      <c r="H216" t="s">
        <v>991</v>
      </c>
      <c r="I216" t="s">
        <v>991</v>
      </c>
      <c r="J216" t="s">
        <v>992</v>
      </c>
      <c r="K216" t="s">
        <v>673</v>
      </c>
    </row>
    <row r="217" spans="1:11" x14ac:dyDescent="0.3">
      <c r="A217" t="s">
        <v>660</v>
      </c>
      <c r="B217" s="6">
        <v>6.2583359999999998E-3</v>
      </c>
      <c r="C217" t="s">
        <v>633</v>
      </c>
      <c r="D217" t="s">
        <v>29</v>
      </c>
      <c r="E217" t="s">
        <v>643</v>
      </c>
      <c r="F217" t="s">
        <v>20</v>
      </c>
      <c r="G217" t="s">
        <v>18</v>
      </c>
      <c r="H217" t="s">
        <v>662</v>
      </c>
      <c r="I217" t="s">
        <v>662</v>
      </c>
      <c r="J217" t="s">
        <v>679</v>
      </c>
      <c r="K217" t="s">
        <v>673</v>
      </c>
    </row>
    <row r="218" spans="1:11" x14ac:dyDescent="0.3">
      <c r="A218" t="s">
        <v>660</v>
      </c>
      <c r="B218" s="6">
        <v>2.5331360000000001E-2</v>
      </c>
      <c r="C218" t="s">
        <v>633</v>
      </c>
      <c r="D218" t="s">
        <v>29</v>
      </c>
      <c r="E218" t="s">
        <v>643</v>
      </c>
      <c r="F218" t="s">
        <v>20</v>
      </c>
      <c r="G218" t="s">
        <v>18</v>
      </c>
      <c r="H218" t="s">
        <v>662</v>
      </c>
      <c r="I218" t="s">
        <v>662</v>
      </c>
      <c r="J218" t="s">
        <v>679</v>
      </c>
      <c r="K218" t="s">
        <v>673</v>
      </c>
    </row>
    <row r="219" spans="1:11" x14ac:dyDescent="0.3">
      <c r="A219" t="s">
        <v>265</v>
      </c>
      <c r="B219" s="6">
        <f>('Cozzolini 2018'!B203*'Cozzolini 2018'!B190*(1+B183))-Parameters!B13</f>
        <v>3.881145589046513</v>
      </c>
      <c r="D219" t="s">
        <v>8</v>
      </c>
      <c r="E219" t="s">
        <v>37</v>
      </c>
      <c r="F219" t="s">
        <v>36</v>
      </c>
      <c r="G219" t="s">
        <v>665</v>
      </c>
    </row>
    <row r="220" spans="1:11" x14ac:dyDescent="0.3">
      <c r="A220" t="s">
        <v>40</v>
      </c>
      <c r="B220" s="6">
        <v>2.6263999999999998E-5</v>
      </c>
      <c r="D220" t="s">
        <v>8</v>
      </c>
      <c r="E220" t="s">
        <v>37</v>
      </c>
      <c r="F220" t="s">
        <v>36</v>
      </c>
      <c r="G220" t="s">
        <v>18</v>
      </c>
    </row>
    <row r="221" spans="1:11" x14ac:dyDescent="0.3">
      <c r="A221" t="s">
        <v>193</v>
      </c>
      <c r="B221" s="6">
        <v>1.3131999999999998E-4</v>
      </c>
      <c r="D221" t="s">
        <v>8</v>
      </c>
      <c r="E221" t="s">
        <v>37</v>
      </c>
      <c r="F221" t="s">
        <v>36</v>
      </c>
      <c r="G221" t="s">
        <v>18</v>
      </c>
    </row>
    <row r="223" spans="1:11" ht="15.6" x14ac:dyDescent="0.3">
      <c r="A223" s="1" t="s">
        <v>1</v>
      </c>
      <c r="B223" s="73" t="s">
        <v>869</v>
      </c>
    </row>
    <row r="224" spans="1:11" x14ac:dyDescent="0.3">
      <c r="A224" t="s">
        <v>2</v>
      </c>
      <c r="B224" s="6" t="s">
        <v>581</v>
      </c>
    </row>
    <row r="225" spans="1:11" x14ac:dyDescent="0.3">
      <c r="A225" t="s">
        <v>3</v>
      </c>
      <c r="B225" s="6">
        <v>1</v>
      </c>
    </row>
    <row r="226" spans="1:11" ht="15.6" x14ac:dyDescent="0.3">
      <c r="A226" t="s">
        <v>4</v>
      </c>
      <c r="B226" s="74" t="s">
        <v>337</v>
      </c>
    </row>
    <row r="227" spans="1:11" x14ac:dyDescent="0.3">
      <c r="A227" t="s">
        <v>9</v>
      </c>
      <c r="B227" s="6" t="s">
        <v>641</v>
      </c>
    </row>
    <row r="228" spans="1:11" x14ac:dyDescent="0.3">
      <c r="A228" t="s">
        <v>5</v>
      </c>
      <c r="B228" s="6" t="s">
        <v>6</v>
      </c>
    </row>
    <row r="229" spans="1:11" x14ac:dyDescent="0.3">
      <c r="A229" t="s">
        <v>7</v>
      </c>
      <c r="B229" s="6" t="s">
        <v>8</v>
      </c>
    </row>
    <row r="230" spans="1:11" ht="15.6" x14ac:dyDescent="0.3">
      <c r="A230" s="1" t="s">
        <v>12</v>
      </c>
    </row>
    <row r="231" spans="1:11" x14ac:dyDescent="0.3">
      <c r="A231" t="s">
        <v>13</v>
      </c>
      <c r="B231" s="6" t="s">
        <v>14</v>
      </c>
      <c r="C231" t="s">
        <v>2</v>
      </c>
      <c r="D231" t="s">
        <v>7</v>
      </c>
      <c r="E231" t="s">
        <v>15</v>
      </c>
      <c r="F231" t="s">
        <v>5</v>
      </c>
      <c r="G231" t="s">
        <v>338</v>
      </c>
      <c r="H231" t="s">
        <v>339</v>
      </c>
      <c r="I231" t="s">
        <v>16</v>
      </c>
      <c r="J231" t="s">
        <v>11</v>
      </c>
      <c r="K231" t="s">
        <v>4</v>
      </c>
    </row>
    <row r="232" spans="1:11" x14ac:dyDescent="0.3">
      <c r="A232" t="s">
        <v>869</v>
      </c>
      <c r="B232" s="6">
        <v>1</v>
      </c>
      <c r="C232" t="s">
        <v>581</v>
      </c>
      <c r="D232" t="s">
        <v>8</v>
      </c>
      <c r="F232" t="s">
        <v>17</v>
      </c>
      <c r="I232">
        <v>100</v>
      </c>
      <c r="J232" t="s">
        <v>18</v>
      </c>
      <c r="K232" t="s">
        <v>337</v>
      </c>
    </row>
    <row r="233" spans="1:11" x14ac:dyDescent="0.3">
      <c r="A233" t="s">
        <v>868</v>
      </c>
      <c r="B233" s="6">
        <v>1.00057</v>
      </c>
      <c r="C233" t="s">
        <v>581</v>
      </c>
      <c r="D233" t="s">
        <v>8</v>
      </c>
      <c r="F233" t="s">
        <v>20</v>
      </c>
      <c r="K233" s="6" t="s">
        <v>1025</v>
      </c>
    </row>
    <row r="234" spans="1:11" x14ac:dyDescent="0.3">
      <c r="A234" t="s">
        <v>28</v>
      </c>
      <c r="B234" s="6">
        <v>6.7000000000000002E-3</v>
      </c>
      <c r="C234" t="s">
        <v>581</v>
      </c>
      <c r="D234" t="s">
        <v>29</v>
      </c>
      <c r="F234" t="s">
        <v>20</v>
      </c>
      <c r="K234" t="s">
        <v>30</v>
      </c>
    </row>
    <row r="235" spans="1:11" x14ac:dyDescent="0.3">
      <c r="A235" t="s">
        <v>340</v>
      </c>
      <c r="B235" s="6">
        <v>-1.6799999999999999E-4</v>
      </c>
      <c r="C235" t="s">
        <v>633</v>
      </c>
      <c r="D235" t="s">
        <v>8</v>
      </c>
      <c r="F235" t="s">
        <v>20</v>
      </c>
      <c r="K235" t="s">
        <v>341</v>
      </c>
    </row>
    <row r="236" spans="1:11" x14ac:dyDescent="0.3">
      <c r="A236" t="s">
        <v>342</v>
      </c>
      <c r="B236" s="6">
        <v>5.8399999999999999E-4</v>
      </c>
      <c r="C236" t="s">
        <v>640</v>
      </c>
      <c r="D236" t="s">
        <v>19</v>
      </c>
      <c r="F236" t="s">
        <v>20</v>
      </c>
      <c r="K236" t="s">
        <v>343</v>
      </c>
    </row>
    <row r="237" spans="1:11" x14ac:dyDescent="0.3">
      <c r="A237" t="s">
        <v>344</v>
      </c>
      <c r="B237" s="6">
        <v>2.5999999999999998E-10</v>
      </c>
      <c r="C237" t="s">
        <v>581</v>
      </c>
      <c r="D237" t="s">
        <v>7</v>
      </c>
      <c r="F237" t="s">
        <v>20</v>
      </c>
      <c r="K237" t="s">
        <v>345</v>
      </c>
    </row>
    <row r="238" spans="1:11" x14ac:dyDescent="0.3">
      <c r="A238" t="s">
        <v>346</v>
      </c>
      <c r="B238" s="6">
        <v>-6.2700000000000001E-6</v>
      </c>
      <c r="C238" t="s">
        <v>640</v>
      </c>
      <c r="D238" t="s">
        <v>8</v>
      </c>
      <c r="F238" t="s">
        <v>20</v>
      </c>
      <c r="K238" t="s">
        <v>347</v>
      </c>
    </row>
    <row r="239" spans="1:11" x14ac:dyDescent="0.3">
      <c r="A239" t="s">
        <v>348</v>
      </c>
      <c r="B239" s="6">
        <v>-7.4999999999999993E-5</v>
      </c>
      <c r="C239" t="s">
        <v>633</v>
      </c>
      <c r="D239" t="s">
        <v>121</v>
      </c>
      <c r="F239" t="s">
        <v>20</v>
      </c>
      <c r="K239" t="s">
        <v>349</v>
      </c>
    </row>
    <row r="240" spans="1:11" x14ac:dyDescent="0.3">
      <c r="A240" t="s">
        <v>350</v>
      </c>
      <c r="B240" s="6">
        <v>6.8900000000000005E-4</v>
      </c>
      <c r="C240" t="s">
        <v>633</v>
      </c>
      <c r="D240" t="s">
        <v>8</v>
      </c>
      <c r="F240" t="s">
        <v>20</v>
      </c>
      <c r="K240" t="s">
        <v>351</v>
      </c>
    </row>
    <row r="241" spans="1:11" x14ac:dyDescent="0.3">
      <c r="A241" t="s">
        <v>100</v>
      </c>
      <c r="B241" s="6">
        <v>3.3599999999999998E-2</v>
      </c>
      <c r="C241" t="s">
        <v>633</v>
      </c>
      <c r="D241" t="s">
        <v>41</v>
      </c>
      <c r="F241" t="s">
        <v>20</v>
      </c>
      <c r="K241" t="s">
        <v>103</v>
      </c>
    </row>
    <row r="242" spans="1:11" x14ac:dyDescent="0.3">
      <c r="A242" t="s">
        <v>352</v>
      </c>
      <c r="B242" s="6">
        <v>3.2599999999999997E-2</v>
      </c>
      <c r="C242" t="s">
        <v>581</v>
      </c>
      <c r="D242" t="s">
        <v>41</v>
      </c>
      <c r="F242" t="s">
        <v>20</v>
      </c>
      <c r="K242" t="s">
        <v>353</v>
      </c>
    </row>
    <row r="243" spans="1:11" x14ac:dyDescent="0.3">
      <c r="A243" t="s">
        <v>354</v>
      </c>
      <c r="B243" s="6">
        <v>-6.8899999999999999E-7</v>
      </c>
      <c r="C243" t="s">
        <v>633</v>
      </c>
      <c r="D243" t="s">
        <v>121</v>
      </c>
      <c r="F243" t="s">
        <v>20</v>
      </c>
      <c r="K243" t="s">
        <v>355</v>
      </c>
    </row>
    <row r="244" spans="1:11" ht="16.2" customHeight="1" x14ac:dyDescent="0.3">
      <c r="A244" s="1"/>
      <c r="B244" s="73"/>
    </row>
    <row r="245" spans="1:11" ht="15.6" x14ac:dyDescent="0.3">
      <c r="A245" s="1" t="s">
        <v>1</v>
      </c>
      <c r="B245" s="73" t="s">
        <v>96</v>
      </c>
    </row>
    <row r="246" spans="1:11" x14ac:dyDescent="0.3">
      <c r="A246" t="s">
        <v>2</v>
      </c>
      <c r="B246" s="6" t="s">
        <v>581</v>
      </c>
    </row>
    <row r="247" spans="1:11" x14ac:dyDescent="0.3">
      <c r="A247" t="s">
        <v>3</v>
      </c>
      <c r="B247" s="6">
        <v>1</v>
      </c>
    </row>
    <row r="248" spans="1:11" ht="15.6" x14ac:dyDescent="0.3">
      <c r="A248" t="s">
        <v>4</v>
      </c>
      <c r="B248" s="2" t="s">
        <v>431</v>
      </c>
    </row>
    <row r="249" spans="1:11" x14ac:dyDescent="0.3">
      <c r="A249" t="s">
        <v>9</v>
      </c>
      <c r="B249" s="6" t="s">
        <v>1045</v>
      </c>
    </row>
    <row r="250" spans="1:11" x14ac:dyDescent="0.3">
      <c r="A250" t="s">
        <v>5</v>
      </c>
      <c r="B250" s="6" t="s">
        <v>6</v>
      </c>
    </row>
    <row r="251" spans="1:11" x14ac:dyDescent="0.3">
      <c r="A251" t="s">
        <v>7</v>
      </c>
      <c r="B251" s="6" t="s">
        <v>8</v>
      </c>
    </row>
    <row r="252" spans="1:11" x14ac:dyDescent="0.3">
      <c r="A252" t="s">
        <v>850</v>
      </c>
      <c r="B252" s="5">
        <f>14.9/(1-B253)</f>
        <v>17.325581395348838</v>
      </c>
    </row>
    <row r="253" spans="1:11" x14ac:dyDescent="0.3">
      <c r="A253" t="s">
        <v>856</v>
      </c>
      <c r="B253" s="75">
        <v>0.14000000000000001</v>
      </c>
    </row>
    <row r="254" spans="1:11" ht="15.6" x14ac:dyDescent="0.3">
      <c r="A254" s="1" t="s">
        <v>12</v>
      </c>
    </row>
    <row r="255" spans="1:11" x14ac:dyDescent="0.3">
      <c r="A255" t="s">
        <v>13</v>
      </c>
      <c r="B255" s="6" t="s">
        <v>14</v>
      </c>
      <c r="C255" t="s">
        <v>2</v>
      </c>
      <c r="D255" t="s">
        <v>7</v>
      </c>
      <c r="E255" t="s">
        <v>15</v>
      </c>
      <c r="F255" t="s">
        <v>5</v>
      </c>
      <c r="G255" t="s">
        <v>11</v>
      </c>
      <c r="H255" t="s">
        <v>4</v>
      </c>
    </row>
    <row r="256" spans="1:11" ht="15.6" x14ac:dyDescent="0.3">
      <c r="A256" t="s">
        <v>96</v>
      </c>
      <c r="B256" s="6">
        <v>1</v>
      </c>
      <c r="C256" t="s">
        <v>581</v>
      </c>
      <c r="D256" t="s">
        <v>8</v>
      </c>
      <c r="E256" t="s">
        <v>842</v>
      </c>
      <c r="F256" t="s">
        <v>17</v>
      </c>
      <c r="G256" t="s">
        <v>18</v>
      </c>
      <c r="H256" s="2" t="s">
        <v>431</v>
      </c>
    </row>
    <row r="257" spans="1:8" ht="15.6" x14ac:dyDescent="0.3">
      <c r="A257" t="s">
        <v>96</v>
      </c>
      <c r="B257" s="6">
        <v>0.14000000000000001</v>
      </c>
      <c r="C257" t="s">
        <v>581</v>
      </c>
      <c r="D257" t="s">
        <v>8</v>
      </c>
      <c r="E257" t="s">
        <v>842</v>
      </c>
      <c r="F257" t="s">
        <v>20</v>
      </c>
      <c r="G257" t="s">
        <v>876</v>
      </c>
      <c r="H257" s="2" t="s">
        <v>431</v>
      </c>
    </row>
    <row r="258" spans="1:8" x14ac:dyDescent="0.3">
      <c r="A258" t="s">
        <v>40</v>
      </c>
      <c r="B258" s="6">
        <v>7.5716999999999994E-4</v>
      </c>
      <c r="D258" t="s">
        <v>8</v>
      </c>
      <c r="E258" t="s">
        <v>37</v>
      </c>
      <c r="F258" t="s">
        <v>36</v>
      </c>
      <c r="G258" t="s">
        <v>773</v>
      </c>
    </row>
    <row r="259" spans="1:8" x14ac:dyDescent="0.3">
      <c r="A259" t="s">
        <v>40</v>
      </c>
      <c r="B259" s="6">
        <v>1.7899999999999998E-6</v>
      </c>
      <c r="D259" t="s">
        <v>8</v>
      </c>
      <c r="E259" t="s">
        <v>37</v>
      </c>
      <c r="F259" t="s">
        <v>36</v>
      </c>
      <c r="G259" t="s">
        <v>774</v>
      </c>
    </row>
    <row r="260" spans="1:8" x14ac:dyDescent="0.3">
      <c r="A260" t="s">
        <v>117</v>
      </c>
      <c r="B260" s="6">
        <v>8.9499999999999996E-3</v>
      </c>
      <c r="C260" t="s">
        <v>26</v>
      </c>
      <c r="D260" t="s">
        <v>8</v>
      </c>
      <c r="E260" t="s">
        <v>643</v>
      </c>
      <c r="F260" t="s">
        <v>20</v>
      </c>
      <c r="G260" t="s">
        <v>775</v>
      </c>
      <c r="H260" t="s">
        <v>118</v>
      </c>
    </row>
    <row r="261" spans="1:8" x14ac:dyDescent="0.3">
      <c r="A261" t="s">
        <v>979</v>
      </c>
      <c r="B261" s="6">
        <v>3.382384E-3</v>
      </c>
      <c r="C261" t="s">
        <v>26</v>
      </c>
      <c r="D261" t="s">
        <v>8</v>
      </c>
      <c r="E261" t="s">
        <v>643</v>
      </c>
      <c r="F261" t="s">
        <v>20</v>
      </c>
      <c r="G261" t="s">
        <v>776</v>
      </c>
      <c r="H261" t="s">
        <v>980</v>
      </c>
    </row>
    <row r="262" spans="1:8" x14ac:dyDescent="0.3">
      <c r="A262" t="s">
        <v>42</v>
      </c>
      <c r="B262" s="6">
        <v>1.9689999999999999E-2</v>
      </c>
      <c r="C262" t="s">
        <v>640</v>
      </c>
      <c r="D262" t="s">
        <v>8</v>
      </c>
      <c r="E262" t="s">
        <v>643</v>
      </c>
      <c r="F262" t="s">
        <v>20</v>
      </c>
      <c r="G262" t="s">
        <v>777</v>
      </c>
      <c r="H262" t="s">
        <v>43</v>
      </c>
    </row>
    <row r="263" spans="1:8" x14ac:dyDescent="0.3">
      <c r="A263" t="s">
        <v>617</v>
      </c>
      <c r="B263" s="6">
        <f>0.00179/1000</f>
        <v>1.79E-6</v>
      </c>
      <c r="C263" t="s">
        <v>26</v>
      </c>
      <c r="D263" t="s">
        <v>8</v>
      </c>
      <c r="E263" t="s">
        <v>643</v>
      </c>
      <c r="F263" t="s">
        <v>20</v>
      </c>
      <c r="G263" t="s">
        <v>778</v>
      </c>
      <c r="H263" t="s">
        <v>616</v>
      </c>
    </row>
    <row r="264" spans="1:8" x14ac:dyDescent="0.3">
      <c r="A264" t="s">
        <v>50</v>
      </c>
      <c r="B264" s="6">
        <f>986/1000000</f>
        <v>9.859999999999999E-4</v>
      </c>
      <c r="C264" t="s">
        <v>26</v>
      </c>
      <c r="D264" t="s">
        <v>8</v>
      </c>
      <c r="F264" t="s">
        <v>20</v>
      </c>
      <c r="G264" t="s">
        <v>1043</v>
      </c>
      <c r="H264" t="s">
        <v>53</v>
      </c>
    </row>
    <row r="265" spans="1:8" x14ac:dyDescent="0.3">
      <c r="A265" t="s">
        <v>44</v>
      </c>
      <c r="B265" s="6">
        <v>5.3699999999999989E-3</v>
      </c>
      <c r="C265" t="s">
        <v>640</v>
      </c>
      <c r="D265" t="s">
        <v>8</v>
      </c>
      <c r="E265" t="s">
        <v>643</v>
      </c>
      <c r="F265" t="s">
        <v>20</v>
      </c>
      <c r="G265" t="s">
        <v>779</v>
      </c>
      <c r="H265" t="s">
        <v>45</v>
      </c>
    </row>
    <row r="266" spans="1:8" x14ac:dyDescent="0.3">
      <c r="A266" t="s">
        <v>46</v>
      </c>
      <c r="B266" s="6">
        <v>5.3699999999999989E-3</v>
      </c>
      <c r="C266" t="s">
        <v>640</v>
      </c>
      <c r="D266" t="s">
        <v>8</v>
      </c>
      <c r="E266" t="s">
        <v>643</v>
      </c>
      <c r="F266" t="s">
        <v>20</v>
      </c>
      <c r="G266" t="s">
        <v>780</v>
      </c>
      <c r="H266" t="s">
        <v>47</v>
      </c>
    </row>
    <row r="267" spans="1:8" x14ac:dyDescent="0.3">
      <c r="A267" t="s">
        <v>48</v>
      </c>
      <c r="B267" s="6">
        <v>2.3269999999999996E-2</v>
      </c>
      <c r="C267" t="s">
        <v>26</v>
      </c>
      <c r="D267" t="s">
        <v>8</v>
      </c>
      <c r="E267" t="s">
        <v>643</v>
      </c>
      <c r="F267" t="s">
        <v>20</v>
      </c>
      <c r="G267" t="s">
        <v>777</v>
      </c>
      <c r="H267" t="s">
        <v>49</v>
      </c>
    </row>
    <row r="268" spans="1:8" x14ac:dyDescent="0.3">
      <c r="A268" t="s">
        <v>22</v>
      </c>
      <c r="B268" s="6">
        <f>0.01295781*43</f>
        <v>0.55718582999999999</v>
      </c>
      <c r="C268" t="s">
        <v>26</v>
      </c>
      <c r="D268" t="s">
        <v>19</v>
      </c>
      <c r="E268" t="s">
        <v>643</v>
      </c>
      <c r="F268" t="s">
        <v>20</v>
      </c>
      <c r="G268" t="s">
        <v>781</v>
      </c>
      <c r="H268" t="s">
        <v>23</v>
      </c>
    </row>
    <row r="269" spans="1:8" x14ac:dyDescent="0.3">
      <c r="A269" t="s">
        <v>660</v>
      </c>
      <c r="B269" s="6">
        <v>7.464300000000001E-3</v>
      </c>
      <c r="C269" t="s">
        <v>633</v>
      </c>
      <c r="D269" t="s">
        <v>29</v>
      </c>
      <c r="E269" t="s">
        <v>646</v>
      </c>
      <c r="F269" t="s">
        <v>20</v>
      </c>
      <c r="G269" t="s">
        <v>776</v>
      </c>
      <c r="H269" t="s">
        <v>662</v>
      </c>
    </row>
    <row r="270" spans="1:8" x14ac:dyDescent="0.3">
      <c r="A270" t="s">
        <v>660</v>
      </c>
      <c r="B270" s="6">
        <v>1.9407179999999997E-3</v>
      </c>
      <c r="C270" t="s">
        <v>633</v>
      </c>
      <c r="D270" t="s">
        <v>29</v>
      </c>
      <c r="E270" t="s">
        <v>646</v>
      </c>
      <c r="F270" t="s">
        <v>20</v>
      </c>
      <c r="G270" t="s">
        <v>782</v>
      </c>
      <c r="H270" t="s">
        <v>662</v>
      </c>
    </row>
    <row r="271" spans="1:8" x14ac:dyDescent="0.3">
      <c r="A271" t="s">
        <v>783</v>
      </c>
      <c r="B271" s="6">
        <v>3.923859E-3</v>
      </c>
      <c r="C271" t="s">
        <v>581</v>
      </c>
      <c r="D271" t="s">
        <v>8</v>
      </c>
      <c r="E271" t="s">
        <v>643</v>
      </c>
      <c r="F271" t="s">
        <v>20</v>
      </c>
      <c r="G271" t="s">
        <v>776</v>
      </c>
      <c r="H271" t="s">
        <v>784</v>
      </c>
    </row>
    <row r="272" spans="1:8" x14ac:dyDescent="0.3">
      <c r="A272" t="s">
        <v>352</v>
      </c>
      <c r="B272" s="6">
        <f>50/1000</f>
        <v>0.05</v>
      </c>
      <c r="C272" t="s">
        <v>581</v>
      </c>
      <c r="D272" t="s">
        <v>41</v>
      </c>
      <c r="F272" t="s">
        <v>20</v>
      </c>
      <c r="G272" t="s">
        <v>855</v>
      </c>
      <c r="H272" t="s">
        <v>353</v>
      </c>
    </row>
    <row r="273" spans="1:7" x14ac:dyDescent="0.3">
      <c r="A273" t="s">
        <v>108</v>
      </c>
      <c r="B273" s="6">
        <f>17.9*(1-B253)</f>
        <v>15.393999999999998</v>
      </c>
      <c r="D273" t="s">
        <v>19</v>
      </c>
      <c r="E273" t="s">
        <v>112</v>
      </c>
      <c r="F273" t="s">
        <v>36</v>
      </c>
      <c r="G273" t="s">
        <v>804</v>
      </c>
    </row>
    <row r="274" spans="1:7" x14ac:dyDescent="0.3">
      <c r="A274" t="s">
        <v>1046</v>
      </c>
      <c r="B274" s="6">
        <f>0.444*(44/12)*(1-B253)</f>
        <v>1.40008</v>
      </c>
      <c r="D274" t="s">
        <v>8</v>
      </c>
      <c r="E274" t="s">
        <v>1047</v>
      </c>
      <c r="F274" t="s">
        <v>36</v>
      </c>
      <c r="G274" t="s">
        <v>881</v>
      </c>
    </row>
    <row r="275" spans="1:7" x14ac:dyDescent="0.3">
      <c r="A275" t="s">
        <v>194</v>
      </c>
      <c r="B275" s="6">
        <f>1/(7129/10000)</f>
        <v>1.4027212792818067</v>
      </c>
      <c r="D275" t="s">
        <v>113</v>
      </c>
      <c r="E275" t="s">
        <v>114</v>
      </c>
      <c r="F275" t="s">
        <v>36</v>
      </c>
      <c r="G275" t="s">
        <v>865</v>
      </c>
    </row>
    <row r="276" spans="1:7" x14ac:dyDescent="0.3">
      <c r="A276" t="s">
        <v>195</v>
      </c>
      <c r="B276" s="6">
        <f>1/(7129/10000)</f>
        <v>1.4027212792818067</v>
      </c>
      <c r="D276" t="s">
        <v>115</v>
      </c>
      <c r="E276" t="s">
        <v>114</v>
      </c>
      <c r="F276" t="s">
        <v>36</v>
      </c>
      <c r="G276" t="s">
        <v>861</v>
      </c>
    </row>
    <row r="277" spans="1:7" x14ac:dyDescent="0.3">
      <c r="A277" t="s">
        <v>196</v>
      </c>
      <c r="B277" s="6">
        <f>1/(7129/10000)</f>
        <v>1.4027212792818067</v>
      </c>
      <c r="D277" t="s">
        <v>115</v>
      </c>
      <c r="E277" t="s">
        <v>114</v>
      </c>
      <c r="F277" t="s">
        <v>36</v>
      </c>
      <c r="G277" t="s">
        <v>861</v>
      </c>
    </row>
    <row r="278" spans="1:7" x14ac:dyDescent="0.3">
      <c r="A278" t="s">
        <v>126</v>
      </c>
      <c r="B278" s="6">
        <v>0.17007192792102799</v>
      </c>
      <c r="D278" t="s">
        <v>121</v>
      </c>
      <c r="E278" t="s">
        <v>37</v>
      </c>
      <c r="F278" t="s">
        <v>36</v>
      </c>
      <c r="G278" t="s">
        <v>116</v>
      </c>
    </row>
    <row r="279" spans="1:7" x14ac:dyDescent="0.3">
      <c r="A279" t="s">
        <v>38</v>
      </c>
      <c r="B279" s="6">
        <v>8.3517419999999996E-5</v>
      </c>
      <c r="D279" t="s">
        <v>8</v>
      </c>
      <c r="E279" t="s">
        <v>169</v>
      </c>
      <c r="F279" t="s">
        <v>36</v>
      </c>
      <c r="G279" t="s">
        <v>116</v>
      </c>
    </row>
    <row r="280" spans="1:7" x14ac:dyDescent="0.3">
      <c r="A280" t="s">
        <v>127</v>
      </c>
      <c r="B280" s="6">
        <v>1.0182310000000001E-3</v>
      </c>
      <c r="D280" t="s">
        <v>8</v>
      </c>
      <c r="E280" t="s">
        <v>169</v>
      </c>
      <c r="F280" t="s">
        <v>36</v>
      </c>
      <c r="G280" t="s">
        <v>116</v>
      </c>
    </row>
    <row r="281" spans="1:7" x14ac:dyDescent="0.3">
      <c r="A281" t="s">
        <v>110</v>
      </c>
      <c r="B281" s="6">
        <f>B283/2</f>
        <v>0.47991081325301199</v>
      </c>
      <c r="D281" t="s">
        <v>115</v>
      </c>
      <c r="E281" t="s">
        <v>114</v>
      </c>
      <c r="F281" t="s">
        <v>36</v>
      </c>
      <c r="G281" t="s">
        <v>588</v>
      </c>
    </row>
    <row r="282" spans="1:7" x14ac:dyDescent="0.3">
      <c r="A282" t="s">
        <v>111</v>
      </c>
      <c r="B282" s="6">
        <f>B283/2</f>
        <v>0.47991081325301199</v>
      </c>
      <c r="D282" t="s">
        <v>115</v>
      </c>
      <c r="E282" t="s">
        <v>114</v>
      </c>
      <c r="F282" t="s">
        <v>36</v>
      </c>
      <c r="G282" t="s">
        <v>588</v>
      </c>
    </row>
    <row r="283" spans="1:7" x14ac:dyDescent="0.3">
      <c r="A283" t="s">
        <v>109</v>
      </c>
      <c r="B283" s="6">
        <v>0.95982162650602398</v>
      </c>
      <c r="D283" t="s">
        <v>113</v>
      </c>
      <c r="E283" t="s">
        <v>114</v>
      </c>
      <c r="F283" t="s">
        <v>36</v>
      </c>
      <c r="G283" t="s">
        <v>589</v>
      </c>
    </row>
    <row r="284" spans="1:7" x14ac:dyDescent="0.3">
      <c r="A284" t="s">
        <v>128</v>
      </c>
      <c r="B284" s="6">
        <v>1.0107999999999999E-6</v>
      </c>
      <c r="D284" t="s">
        <v>8</v>
      </c>
      <c r="E284" t="s">
        <v>170</v>
      </c>
      <c r="F284" t="s">
        <v>36</v>
      </c>
      <c r="G284" t="s">
        <v>116</v>
      </c>
    </row>
    <row r="285" spans="1:7" x14ac:dyDescent="0.3">
      <c r="A285" t="s">
        <v>129</v>
      </c>
      <c r="B285" s="6">
        <v>6.1366999999999996E-7</v>
      </c>
      <c r="D285" t="s">
        <v>8</v>
      </c>
      <c r="E285" t="s">
        <v>170</v>
      </c>
      <c r="F285" t="s">
        <v>36</v>
      </c>
      <c r="G285" t="s">
        <v>116</v>
      </c>
    </row>
    <row r="286" spans="1:7" x14ac:dyDescent="0.3">
      <c r="A286" t="s">
        <v>130</v>
      </c>
      <c r="B286" s="6">
        <v>4.8131000000000003E-9</v>
      </c>
      <c r="D286" t="s">
        <v>8</v>
      </c>
      <c r="E286" t="s">
        <v>170</v>
      </c>
      <c r="F286" t="s">
        <v>36</v>
      </c>
      <c r="G286" t="s">
        <v>116</v>
      </c>
    </row>
    <row r="287" spans="1:7" x14ac:dyDescent="0.3">
      <c r="A287" t="s">
        <v>131</v>
      </c>
      <c r="B287" s="6">
        <v>6.4977000000000003E-7</v>
      </c>
      <c r="D287" t="s">
        <v>8</v>
      </c>
      <c r="E287" t="s">
        <v>170</v>
      </c>
      <c r="F287" t="s">
        <v>36</v>
      </c>
      <c r="G287" t="s">
        <v>116</v>
      </c>
    </row>
    <row r="288" spans="1:7" x14ac:dyDescent="0.3">
      <c r="A288" t="s">
        <v>132</v>
      </c>
      <c r="B288" s="6">
        <v>-1.5040999999999999E-6</v>
      </c>
      <c r="D288" t="s">
        <v>8</v>
      </c>
      <c r="E288" t="s">
        <v>170</v>
      </c>
      <c r="F288" t="s">
        <v>36</v>
      </c>
      <c r="G288" t="s">
        <v>116</v>
      </c>
    </row>
    <row r="289" spans="1:7" x14ac:dyDescent="0.3">
      <c r="A289" t="s">
        <v>133</v>
      </c>
      <c r="B289" s="6">
        <v>1.2032999999999999E-7</v>
      </c>
      <c r="D289" t="s">
        <v>8</v>
      </c>
      <c r="E289" t="s">
        <v>170</v>
      </c>
      <c r="F289" t="s">
        <v>36</v>
      </c>
      <c r="G289" t="s">
        <v>116</v>
      </c>
    </row>
    <row r="290" spans="1:7" x14ac:dyDescent="0.3">
      <c r="A290" t="s">
        <v>134</v>
      </c>
      <c r="B290" s="6">
        <v>2.4787000000000001E-6</v>
      </c>
      <c r="D290" t="s">
        <v>8</v>
      </c>
      <c r="E290" t="s">
        <v>170</v>
      </c>
      <c r="F290" t="s">
        <v>36</v>
      </c>
      <c r="G290" t="s">
        <v>116</v>
      </c>
    </row>
    <row r="291" spans="1:7" x14ac:dyDescent="0.3">
      <c r="A291" t="s">
        <v>135</v>
      </c>
      <c r="B291" s="6">
        <v>1.0829E-7</v>
      </c>
      <c r="D291" t="s">
        <v>8</v>
      </c>
      <c r="E291" t="s">
        <v>170</v>
      </c>
      <c r="F291" t="s">
        <v>36</v>
      </c>
      <c r="G291" t="s">
        <v>116</v>
      </c>
    </row>
    <row r="292" spans="1:7" x14ac:dyDescent="0.3">
      <c r="A292" t="s">
        <v>136</v>
      </c>
      <c r="B292" s="6">
        <v>1.0107999999999999E-6</v>
      </c>
      <c r="D292" t="s">
        <v>8</v>
      </c>
      <c r="E292" t="s">
        <v>170</v>
      </c>
      <c r="F292" t="s">
        <v>36</v>
      </c>
      <c r="G292" t="s">
        <v>116</v>
      </c>
    </row>
    <row r="293" spans="1:7" x14ac:dyDescent="0.3">
      <c r="A293" t="s">
        <v>137</v>
      </c>
      <c r="B293" s="6">
        <v>2.4065000000000001E-8</v>
      </c>
      <c r="D293" t="s">
        <v>8</v>
      </c>
      <c r="E293" t="s">
        <v>170</v>
      </c>
      <c r="F293" t="s">
        <v>36</v>
      </c>
      <c r="G293" t="s">
        <v>116</v>
      </c>
    </row>
    <row r="294" spans="1:7" x14ac:dyDescent="0.3">
      <c r="A294" t="s">
        <v>138</v>
      </c>
      <c r="B294" s="6">
        <v>-3.2893999999999998E-7</v>
      </c>
      <c r="D294" t="s">
        <v>8</v>
      </c>
      <c r="E294" t="s">
        <v>170</v>
      </c>
      <c r="F294" t="s">
        <v>36</v>
      </c>
      <c r="G294" t="s">
        <v>116</v>
      </c>
    </row>
    <row r="295" spans="1:7" x14ac:dyDescent="0.3">
      <c r="A295" t="s">
        <v>139</v>
      </c>
      <c r="B295" s="6">
        <v>7.9416000000000001E-7</v>
      </c>
      <c r="D295" t="s">
        <v>8</v>
      </c>
      <c r="E295" t="s">
        <v>170</v>
      </c>
      <c r="F295" t="s">
        <v>36</v>
      </c>
      <c r="G295" t="s">
        <v>116</v>
      </c>
    </row>
    <row r="296" spans="1:7" x14ac:dyDescent="0.3">
      <c r="A296" t="s">
        <v>140</v>
      </c>
      <c r="B296" s="6">
        <v>4.1393000000000003E-6</v>
      </c>
      <c r="D296" t="s">
        <v>8</v>
      </c>
      <c r="E296" t="s">
        <v>170</v>
      </c>
      <c r="F296" t="s">
        <v>36</v>
      </c>
      <c r="G296" t="s">
        <v>116</v>
      </c>
    </row>
    <row r="297" spans="1:7" x14ac:dyDescent="0.3">
      <c r="A297" t="s">
        <v>141</v>
      </c>
      <c r="B297" s="6">
        <v>5.0537999999999999E-8</v>
      </c>
      <c r="D297" t="s">
        <v>8</v>
      </c>
      <c r="E297" t="s">
        <v>170</v>
      </c>
      <c r="F297" t="s">
        <v>36</v>
      </c>
      <c r="G297" t="s">
        <v>116</v>
      </c>
    </row>
    <row r="298" spans="1:7" x14ac:dyDescent="0.3">
      <c r="A298" t="s">
        <v>142</v>
      </c>
      <c r="B298" s="6">
        <v>-5.9000999999999996E-6</v>
      </c>
      <c r="D298" t="s">
        <v>8</v>
      </c>
      <c r="E298" t="s">
        <v>170</v>
      </c>
      <c r="F298" t="s">
        <v>36</v>
      </c>
      <c r="G298" t="s">
        <v>116</v>
      </c>
    </row>
    <row r="299" spans="1:7" x14ac:dyDescent="0.3">
      <c r="A299" t="s">
        <v>143</v>
      </c>
      <c r="B299" s="6">
        <v>1.5643E-6</v>
      </c>
      <c r="D299" t="s">
        <v>8</v>
      </c>
      <c r="E299" t="s">
        <v>170</v>
      </c>
      <c r="F299" t="s">
        <v>36</v>
      </c>
      <c r="G299" t="s">
        <v>116</v>
      </c>
    </row>
    <row r="300" spans="1:7" x14ac:dyDescent="0.3">
      <c r="A300" t="s">
        <v>144</v>
      </c>
      <c r="B300" s="6">
        <v>2.6952999999999998E-6</v>
      </c>
      <c r="D300" t="s">
        <v>8</v>
      </c>
      <c r="E300" t="s">
        <v>170</v>
      </c>
      <c r="F300" t="s">
        <v>36</v>
      </c>
      <c r="G300" t="s">
        <v>116</v>
      </c>
    </row>
    <row r="301" spans="1:7" x14ac:dyDescent="0.3">
      <c r="A301" t="s">
        <v>145</v>
      </c>
      <c r="B301" s="6">
        <v>4.4454999999999997E-8</v>
      </c>
      <c r="D301" t="s">
        <v>8</v>
      </c>
      <c r="E301" t="s">
        <v>170</v>
      </c>
      <c r="F301" t="s">
        <v>36</v>
      </c>
      <c r="G301" t="s">
        <v>116</v>
      </c>
    </row>
    <row r="302" spans="1:7" x14ac:dyDescent="0.3">
      <c r="A302" t="s">
        <v>146</v>
      </c>
      <c r="B302" s="6">
        <v>3.6097999999999997E-8</v>
      </c>
      <c r="D302" t="s">
        <v>8</v>
      </c>
      <c r="E302" t="s">
        <v>170</v>
      </c>
      <c r="F302" t="s">
        <v>36</v>
      </c>
      <c r="G302" t="s">
        <v>116</v>
      </c>
    </row>
    <row r="303" spans="1:7" x14ac:dyDescent="0.3">
      <c r="A303" t="s">
        <v>147</v>
      </c>
      <c r="B303" s="6">
        <v>2.1659000000000001E-7</v>
      </c>
      <c r="D303" t="s">
        <v>8</v>
      </c>
      <c r="E303" t="s">
        <v>170</v>
      </c>
      <c r="F303" t="s">
        <v>36</v>
      </c>
      <c r="G303" t="s">
        <v>116</v>
      </c>
    </row>
    <row r="304" spans="1:7" x14ac:dyDescent="0.3">
      <c r="A304" t="s">
        <v>148</v>
      </c>
      <c r="B304" s="6">
        <v>-1.8835E-8</v>
      </c>
      <c r="D304" t="s">
        <v>8</v>
      </c>
      <c r="E304" t="s">
        <v>170</v>
      </c>
      <c r="F304" t="s">
        <v>36</v>
      </c>
      <c r="G304" t="s">
        <v>116</v>
      </c>
    </row>
    <row r="305" spans="1:7" x14ac:dyDescent="0.3">
      <c r="A305" t="s">
        <v>149</v>
      </c>
      <c r="B305" s="6">
        <v>4.2885E-5</v>
      </c>
      <c r="D305" t="s">
        <v>8</v>
      </c>
      <c r="E305" t="s">
        <v>170</v>
      </c>
      <c r="F305" t="s">
        <v>36</v>
      </c>
      <c r="G305" t="s">
        <v>116</v>
      </c>
    </row>
    <row r="306" spans="1:7" x14ac:dyDescent="0.3">
      <c r="A306" t="s">
        <v>150</v>
      </c>
      <c r="B306" s="6">
        <v>9.2460000000000006E-5</v>
      </c>
      <c r="D306" t="s">
        <v>8</v>
      </c>
      <c r="E306" t="s">
        <v>170</v>
      </c>
      <c r="F306" t="s">
        <v>36</v>
      </c>
      <c r="G306" t="s">
        <v>116</v>
      </c>
    </row>
    <row r="307" spans="1:7" x14ac:dyDescent="0.3">
      <c r="A307" t="s">
        <v>151</v>
      </c>
      <c r="B307" s="6">
        <v>5.0297000000000003E-6</v>
      </c>
      <c r="D307" t="s">
        <v>8</v>
      </c>
      <c r="E307" t="s">
        <v>170</v>
      </c>
      <c r="F307" t="s">
        <v>36</v>
      </c>
      <c r="G307" t="s">
        <v>116</v>
      </c>
    </row>
    <row r="308" spans="1:7" x14ac:dyDescent="0.3">
      <c r="A308" t="s">
        <v>152</v>
      </c>
      <c r="B308" s="6">
        <v>2.4306000000000001E-6</v>
      </c>
      <c r="D308" t="s">
        <v>8</v>
      </c>
      <c r="E308" t="s">
        <v>170</v>
      </c>
      <c r="F308" t="s">
        <v>36</v>
      </c>
      <c r="G308" t="s">
        <v>116</v>
      </c>
    </row>
    <row r="309" spans="1:7" x14ac:dyDescent="0.3">
      <c r="A309" t="s">
        <v>153</v>
      </c>
      <c r="B309" s="6">
        <v>1.7326999999999999E-6</v>
      </c>
      <c r="D309" t="s">
        <v>8</v>
      </c>
      <c r="E309" t="s">
        <v>170</v>
      </c>
      <c r="F309" t="s">
        <v>36</v>
      </c>
      <c r="G309" t="s">
        <v>116</v>
      </c>
    </row>
    <row r="310" spans="1:7" x14ac:dyDescent="0.3">
      <c r="A310" t="s">
        <v>154</v>
      </c>
      <c r="B310" s="6">
        <v>2.8878999999999998E-7</v>
      </c>
      <c r="D310" t="s">
        <v>8</v>
      </c>
      <c r="E310" t="s">
        <v>170</v>
      </c>
      <c r="F310" t="s">
        <v>36</v>
      </c>
      <c r="G310" t="s">
        <v>116</v>
      </c>
    </row>
    <row r="311" spans="1:7" x14ac:dyDescent="0.3">
      <c r="A311" t="s">
        <v>155</v>
      </c>
      <c r="B311" s="6">
        <v>1.9661999999999999E-5</v>
      </c>
      <c r="D311" t="s">
        <v>8</v>
      </c>
      <c r="E311" t="s">
        <v>170</v>
      </c>
      <c r="F311" t="s">
        <v>36</v>
      </c>
      <c r="G311" t="s">
        <v>116</v>
      </c>
    </row>
    <row r="312" spans="1:7" x14ac:dyDescent="0.3">
      <c r="A312" t="s">
        <v>156</v>
      </c>
      <c r="B312" s="6">
        <v>1.1911999999999999E-6</v>
      </c>
      <c r="D312" t="s">
        <v>8</v>
      </c>
      <c r="E312" t="s">
        <v>170</v>
      </c>
      <c r="F312" t="s">
        <v>36</v>
      </c>
      <c r="G312" t="s">
        <v>116</v>
      </c>
    </row>
    <row r="313" spans="1:7" x14ac:dyDescent="0.3">
      <c r="A313" t="s">
        <v>157</v>
      </c>
      <c r="B313" s="6">
        <v>1.9252000000000001E-7</v>
      </c>
      <c r="D313" t="s">
        <v>8</v>
      </c>
      <c r="E313" t="s">
        <v>170</v>
      </c>
      <c r="F313" t="s">
        <v>36</v>
      </c>
      <c r="G313" t="s">
        <v>116</v>
      </c>
    </row>
    <row r="314" spans="1:7" x14ac:dyDescent="0.3">
      <c r="A314" t="s">
        <v>158</v>
      </c>
      <c r="B314" s="6">
        <v>3.0442999999999998E-6</v>
      </c>
      <c r="D314" t="s">
        <v>8</v>
      </c>
      <c r="E314" t="s">
        <v>170</v>
      </c>
      <c r="F314" t="s">
        <v>36</v>
      </c>
      <c r="G314" t="s">
        <v>116</v>
      </c>
    </row>
    <row r="315" spans="1:7" x14ac:dyDescent="0.3">
      <c r="A315" t="s">
        <v>159</v>
      </c>
      <c r="B315" s="6">
        <v>4.8130999999999997E-6</v>
      </c>
      <c r="D315" t="s">
        <v>8</v>
      </c>
      <c r="E315" t="s">
        <v>170</v>
      </c>
      <c r="F315" t="s">
        <v>36</v>
      </c>
      <c r="G315" t="s">
        <v>116</v>
      </c>
    </row>
    <row r="316" spans="1:7" x14ac:dyDescent="0.3">
      <c r="A316" t="s">
        <v>160</v>
      </c>
      <c r="B316" s="6">
        <v>5.9441999999999998E-5</v>
      </c>
      <c r="D316" t="s">
        <v>8</v>
      </c>
      <c r="E316" t="s">
        <v>170</v>
      </c>
      <c r="F316" t="s">
        <v>36</v>
      </c>
      <c r="G316" t="s">
        <v>116</v>
      </c>
    </row>
    <row r="317" spans="1:7" x14ac:dyDescent="0.3">
      <c r="A317" t="s">
        <v>161</v>
      </c>
      <c r="B317" s="6">
        <v>3.3691999999999998E-7</v>
      </c>
      <c r="D317" t="s">
        <v>8</v>
      </c>
      <c r="E317" t="s">
        <v>170</v>
      </c>
      <c r="F317" t="s">
        <v>36</v>
      </c>
      <c r="G317" t="s">
        <v>116</v>
      </c>
    </row>
    <row r="318" spans="1:7" x14ac:dyDescent="0.3">
      <c r="A318" t="s">
        <v>162</v>
      </c>
      <c r="B318" s="6">
        <v>1.6846000000000001E-8</v>
      </c>
      <c r="D318" t="s">
        <v>8</v>
      </c>
      <c r="E318" t="s">
        <v>170</v>
      </c>
      <c r="F318" t="s">
        <v>36</v>
      </c>
      <c r="G318" t="s">
        <v>116</v>
      </c>
    </row>
    <row r="319" spans="1:7" x14ac:dyDescent="0.3">
      <c r="A319" t="s">
        <v>163</v>
      </c>
      <c r="B319" s="6">
        <v>5.7757E-7</v>
      </c>
      <c r="D319" t="s">
        <v>8</v>
      </c>
      <c r="E319" t="s">
        <v>170</v>
      </c>
      <c r="F319" t="s">
        <v>36</v>
      </c>
      <c r="G319" t="s">
        <v>116</v>
      </c>
    </row>
    <row r="320" spans="1:7" x14ac:dyDescent="0.3">
      <c r="A320" t="s">
        <v>164</v>
      </c>
      <c r="B320" s="6">
        <v>2.1658999999999999E-8</v>
      </c>
      <c r="D320" t="s">
        <v>8</v>
      </c>
      <c r="E320" t="s">
        <v>170</v>
      </c>
      <c r="F320" t="s">
        <v>36</v>
      </c>
      <c r="G320" t="s">
        <v>116</v>
      </c>
    </row>
    <row r="321" spans="1:7" x14ac:dyDescent="0.3">
      <c r="A321" t="s">
        <v>165</v>
      </c>
      <c r="B321" s="6">
        <v>3.6097999999999997E-8</v>
      </c>
      <c r="D321" t="s">
        <v>8</v>
      </c>
      <c r="E321" t="s">
        <v>170</v>
      </c>
      <c r="F321" t="s">
        <v>36</v>
      </c>
      <c r="G321" t="s">
        <v>116</v>
      </c>
    </row>
    <row r="322" spans="1:7" x14ac:dyDescent="0.3">
      <c r="A322" t="s">
        <v>166</v>
      </c>
      <c r="B322" s="6">
        <v>2.6472E-7</v>
      </c>
      <c r="D322" t="s">
        <v>8</v>
      </c>
      <c r="E322" t="s">
        <v>170</v>
      </c>
      <c r="F322" t="s">
        <v>36</v>
      </c>
      <c r="G322" t="s">
        <v>116</v>
      </c>
    </row>
    <row r="323" spans="1:7" x14ac:dyDescent="0.3">
      <c r="A323" t="s">
        <v>167</v>
      </c>
      <c r="B323" s="6">
        <v>1.2032999999999999E-7</v>
      </c>
      <c r="D323" t="s">
        <v>8</v>
      </c>
      <c r="E323" t="s">
        <v>170</v>
      </c>
      <c r="F323" t="s">
        <v>36</v>
      </c>
      <c r="G323" t="s">
        <v>116</v>
      </c>
    </row>
    <row r="324" spans="1:7" x14ac:dyDescent="0.3">
      <c r="A324" t="s">
        <v>168</v>
      </c>
      <c r="B324" s="6">
        <v>2.6436999999999998E-7</v>
      </c>
      <c r="D324" t="s">
        <v>8</v>
      </c>
      <c r="E324" t="s">
        <v>170</v>
      </c>
      <c r="F324" t="s">
        <v>36</v>
      </c>
      <c r="G324" t="s">
        <v>116</v>
      </c>
    </row>
    <row r="325" spans="1:7" x14ac:dyDescent="0.3">
      <c r="A325" t="s">
        <v>126</v>
      </c>
      <c r="B325" s="6">
        <v>5.9736877488796199E-2</v>
      </c>
      <c r="D325" t="s">
        <v>121</v>
      </c>
      <c r="E325" t="s">
        <v>179</v>
      </c>
      <c r="F325" t="s">
        <v>36</v>
      </c>
      <c r="G325" t="s">
        <v>116</v>
      </c>
    </row>
    <row r="326" spans="1:7" x14ac:dyDescent="0.3">
      <c r="A326" t="s">
        <v>172</v>
      </c>
      <c r="B326" s="6">
        <v>1.1639108E-2</v>
      </c>
      <c r="D326" t="s">
        <v>8</v>
      </c>
      <c r="E326" t="s">
        <v>179</v>
      </c>
      <c r="F326" t="s">
        <v>36</v>
      </c>
      <c r="G326" t="s">
        <v>116</v>
      </c>
    </row>
    <row r="327" spans="1:7" x14ac:dyDescent="0.3">
      <c r="A327" t="s">
        <v>126</v>
      </c>
      <c r="B327" s="6">
        <v>1.4934219372198999E-2</v>
      </c>
      <c r="D327" t="s">
        <v>121</v>
      </c>
      <c r="E327" t="s">
        <v>171</v>
      </c>
      <c r="F327" t="s">
        <v>36</v>
      </c>
      <c r="G327" t="s">
        <v>116</v>
      </c>
    </row>
    <row r="328" spans="1:7" x14ac:dyDescent="0.3">
      <c r="A328" t="s">
        <v>173</v>
      </c>
      <c r="B328" s="6">
        <v>9.7541999999999995E-5</v>
      </c>
      <c r="D328" t="s">
        <v>8</v>
      </c>
      <c r="E328" t="s">
        <v>171</v>
      </c>
      <c r="F328" t="s">
        <v>36</v>
      </c>
      <c r="G328" t="s">
        <v>116</v>
      </c>
    </row>
    <row r="329" spans="1:7" x14ac:dyDescent="0.3">
      <c r="A329" t="s">
        <v>174</v>
      </c>
      <c r="B329" s="6">
        <v>7.5147999999999996E-6</v>
      </c>
      <c r="D329" t="s">
        <v>8</v>
      </c>
      <c r="E329" t="s">
        <v>171</v>
      </c>
      <c r="F329" t="s">
        <v>36</v>
      </c>
      <c r="G329" t="s">
        <v>116</v>
      </c>
    </row>
    <row r="331" spans="1:7" ht="15.6" x14ac:dyDescent="0.3">
      <c r="A331" s="1" t="s">
        <v>1</v>
      </c>
      <c r="B331" s="73" t="s">
        <v>860</v>
      </c>
    </row>
    <row r="332" spans="1:7" x14ac:dyDescent="0.3">
      <c r="A332" t="s">
        <v>2</v>
      </c>
      <c r="B332" s="6" t="s">
        <v>581</v>
      </c>
    </row>
    <row r="333" spans="1:7" x14ac:dyDescent="0.3">
      <c r="A333" t="s">
        <v>3</v>
      </c>
      <c r="B333" s="6">
        <v>1</v>
      </c>
    </row>
    <row r="334" spans="1:7" ht="15.6" x14ac:dyDescent="0.3">
      <c r="A334" t="s">
        <v>4</v>
      </c>
      <c r="B334" s="74" t="s">
        <v>1026</v>
      </c>
    </row>
    <row r="335" spans="1:7" x14ac:dyDescent="0.3">
      <c r="A335" t="s">
        <v>5</v>
      </c>
      <c r="B335" s="6" t="s">
        <v>6</v>
      </c>
    </row>
    <row r="336" spans="1:7" x14ac:dyDescent="0.3">
      <c r="A336" t="s">
        <v>7</v>
      </c>
      <c r="B336" s="6" t="s">
        <v>8</v>
      </c>
    </row>
    <row r="337" spans="1:8" x14ac:dyDescent="0.3">
      <c r="A337" t="s">
        <v>9</v>
      </c>
      <c r="B337" s="6" t="s">
        <v>641</v>
      </c>
    </row>
    <row r="338" spans="1:8" x14ac:dyDescent="0.3">
      <c r="A338" t="s">
        <v>11</v>
      </c>
      <c r="B338" s="6" t="s">
        <v>841</v>
      </c>
    </row>
    <row r="339" spans="1:8" x14ac:dyDescent="0.3">
      <c r="A339" t="s">
        <v>497</v>
      </c>
      <c r="B339" s="72">
        <f>Summary!O51</f>
        <v>0.81339920454860881</v>
      </c>
    </row>
    <row r="340" spans="1:8" ht="15.6" x14ac:dyDescent="0.3">
      <c r="A340" s="1" t="s">
        <v>12</v>
      </c>
    </row>
    <row r="341" spans="1:8" x14ac:dyDescent="0.3">
      <c r="A341" t="s">
        <v>13</v>
      </c>
      <c r="B341" s="6" t="s">
        <v>14</v>
      </c>
      <c r="C341" t="s">
        <v>2</v>
      </c>
      <c r="D341" t="s">
        <v>7</v>
      </c>
      <c r="E341" t="s">
        <v>15</v>
      </c>
      <c r="F341" t="s">
        <v>5</v>
      </c>
      <c r="G341" t="s">
        <v>11</v>
      </c>
      <c r="H341" t="s">
        <v>4</v>
      </c>
    </row>
    <row r="342" spans="1:8" ht="15.6" x14ac:dyDescent="0.3">
      <c r="A342" s="2" t="s">
        <v>860</v>
      </c>
      <c r="B342" s="6">
        <v>1</v>
      </c>
      <c r="C342" t="s">
        <v>581</v>
      </c>
      <c r="D342" t="s">
        <v>8</v>
      </c>
      <c r="E342" t="s">
        <v>842</v>
      </c>
      <c r="F342" t="s">
        <v>17</v>
      </c>
      <c r="G342" t="s">
        <v>18</v>
      </c>
      <c r="H342" s="74" t="s">
        <v>1026</v>
      </c>
    </row>
    <row r="343" spans="1:8" ht="15.6" x14ac:dyDescent="0.3">
      <c r="A343" t="s">
        <v>96</v>
      </c>
      <c r="B343" s="6">
        <f>31.1168/B273</f>
        <v>2.0213589710276736</v>
      </c>
      <c r="C343" t="s">
        <v>581</v>
      </c>
      <c r="D343" t="s">
        <v>8</v>
      </c>
      <c r="E343" t="s">
        <v>643</v>
      </c>
      <c r="F343" t="s">
        <v>20</v>
      </c>
      <c r="G343" t="s">
        <v>843</v>
      </c>
      <c r="H343" s="2" t="s">
        <v>431</v>
      </c>
    </row>
    <row r="344" spans="1:8" x14ac:dyDescent="0.3">
      <c r="A344" t="s">
        <v>254</v>
      </c>
      <c r="B344" s="6">
        <v>4.3500600000000002E-3</v>
      </c>
      <c r="C344" t="s">
        <v>581</v>
      </c>
      <c r="D344" t="s">
        <v>8</v>
      </c>
      <c r="E344" t="s">
        <v>643</v>
      </c>
      <c r="F344" t="s">
        <v>20</v>
      </c>
      <c r="G344" t="s">
        <v>644</v>
      </c>
      <c r="H344" t="s">
        <v>256</v>
      </c>
    </row>
    <row r="345" spans="1:8" x14ac:dyDescent="0.3">
      <c r="A345" t="s">
        <v>645</v>
      </c>
      <c r="B345" s="6">
        <v>6.2462400000000002</v>
      </c>
      <c r="C345" t="s">
        <v>581</v>
      </c>
      <c r="D345" t="s">
        <v>19</v>
      </c>
      <c r="E345" t="s">
        <v>646</v>
      </c>
      <c r="F345" t="s">
        <v>20</v>
      </c>
      <c r="G345" t="s">
        <v>647</v>
      </c>
      <c r="H345" t="s">
        <v>648</v>
      </c>
    </row>
    <row r="346" spans="1:8" x14ac:dyDescent="0.3">
      <c r="A346" t="s">
        <v>649</v>
      </c>
      <c r="B346" s="6">
        <v>1.8914896000000003E-3</v>
      </c>
      <c r="C346" t="s">
        <v>581</v>
      </c>
      <c r="D346" t="s">
        <v>8</v>
      </c>
      <c r="E346" t="s">
        <v>643</v>
      </c>
      <c r="F346" t="s">
        <v>20</v>
      </c>
      <c r="G346" t="s">
        <v>650</v>
      </c>
      <c r="H346" t="s">
        <v>651</v>
      </c>
    </row>
    <row r="347" spans="1:8" x14ac:dyDescent="0.3">
      <c r="A347" t="s">
        <v>388</v>
      </c>
      <c r="B347" s="6">
        <v>7.1877520000000012E-3</v>
      </c>
      <c r="C347" t="s">
        <v>26</v>
      </c>
      <c r="D347" t="s">
        <v>8</v>
      </c>
      <c r="E347" t="s">
        <v>643</v>
      </c>
      <c r="F347" t="s">
        <v>20</v>
      </c>
      <c r="G347" t="s">
        <v>652</v>
      </c>
      <c r="H347" t="s">
        <v>389</v>
      </c>
    </row>
    <row r="348" spans="1:8" x14ac:dyDescent="0.3">
      <c r="A348" t="s">
        <v>252</v>
      </c>
      <c r="B348" s="6">
        <v>2.2696960000000003E-3</v>
      </c>
      <c r="C348" t="s">
        <v>581</v>
      </c>
      <c r="D348" t="s">
        <v>8</v>
      </c>
      <c r="E348" t="s">
        <v>643</v>
      </c>
      <c r="F348" t="s">
        <v>20</v>
      </c>
      <c r="G348" t="s">
        <v>653</v>
      </c>
      <c r="H348" t="s">
        <v>253</v>
      </c>
    </row>
    <row r="349" spans="1:8" x14ac:dyDescent="0.3">
      <c r="A349" t="s">
        <v>100</v>
      </c>
      <c r="B349" s="6">
        <v>0.29172000000000003</v>
      </c>
      <c r="C349" t="s">
        <v>633</v>
      </c>
      <c r="D349" t="s">
        <v>41</v>
      </c>
      <c r="E349" t="s">
        <v>646</v>
      </c>
      <c r="F349" t="s">
        <v>20</v>
      </c>
      <c r="G349" t="s">
        <v>654</v>
      </c>
      <c r="H349" t="s">
        <v>103</v>
      </c>
    </row>
    <row r="350" spans="1:8" x14ac:dyDescent="0.3">
      <c r="A350" t="s">
        <v>100</v>
      </c>
      <c r="B350" s="6">
        <v>8.0079999999999998E-2</v>
      </c>
      <c r="C350" t="s">
        <v>633</v>
      </c>
      <c r="D350" t="s">
        <v>41</v>
      </c>
      <c r="E350" t="s">
        <v>646</v>
      </c>
      <c r="F350" t="s">
        <v>20</v>
      </c>
      <c r="G350" t="s">
        <v>844</v>
      </c>
      <c r="H350" t="s">
        <v>103</v>
      </c>
    </row>
    <row r="351" spans="1:8" x14ac:dyDescent="0.3">
      <c r="A351" t="s">
        <v>97</v>
      </c>
      <c r="B351" s="6">
        <v>0.16302000000000003</v>
      </c>
      <c r="C351" t="s">
        <v>581</v>
      </c>
      <c r="D351" t="s">
        <v>41</v>
      </c>
      <c r="E351" t="s">
        <v>646</v>
      </c>
      <c r="F351" t="s">
        <v>20</v>
      </c>
      <c r="G351" t="s">
        <v>655</v>
      </c>
      <c r="H351" t="s">
        <v>98</v>
      </c>
    </row>
    <row r="352" spans="1:8" x14ac:dyDescent="0.3">
      <c r="A352" t="s">
        <v>352</v>
      </c>
      <c r="B352" s="6">
        <v>0.31459999999999999</v>
      </c>
      <c r="C352" t="s">
        <v>581</v>
      </c>
      <c r="D352" t="s">
        <v>41</v>
      </c>
      <c r="E352" t="s">
        <v>646</v>
      </c>
      <c r="F352" t="s">
        <v>20</v>
      </c>
      <c r="G352" t="s">
        <v>845</v>
      </c>
      <c r="H352" t="s">
        <v>353</v>
      </c>
    </row>
    <row r="353" spans="1:8" x14ac:dyDescent="0.3">
      <c r="A353" t="s">
        <v>352</v>
      </c>
      <c r="B353" s="6">
        <v>0.35178000000000004</v>
      </c>
      <c r="C353" t="s">
        <v>581</v>
      </c>
      <c r="D353" t="s">
        <v>41</v>
      </c>
      <c r="E353" t="s">
        <v>646</v>
      </c>
      <c r="F353" t="s">
        <v>20</v>
      </c>
      <c r="G353" t="s">
        <v>656</v>
      </c>
      <c r="H353" t="s">
        <v>353</v>
      </c>
    </row>
    <row r="354" spans="1:8" x14ac:dyDescent="0.3">
      <c r="A354" t="s">
        <v>352</v>
      </c>
      <c r="B354" s="6">
        <v>0.1716</v>
      </c>
      <c r="C354" t="s">
        <v>581</v>
      </c>
      <c r="D354" t="s">
        <v>41</v>
      </c>
      <c r="E354" t="s">
        <v>646</v>
      </c>
      <c r="F354" t="s">
        <v>20</v>
      </c>
      <c r="G354" t="s">
        <v>657</v>
      </c>
      <c r="H354" t="s">
        <v>353</v>
      </c>
    </row>
    <row r="355" spans="1:8" x14ac:dyDescent="0.3">
      <c r="A355" t="s">
        <v>990</v>
      </c>
      <c r="B355" s="6">
        <v>1.19262</v>
      </c>
      <c r="C355" t="s">
        <v>26</v>
      </c>
      <c r="D355" t="s">
        <v>41</v>
      </c>
      <c r="E355" t="s">
        <v>646</v>
      </c>
      <c r="F355" t="s">
        <v>20</v>
      </c>
      <c r="G355" t="s">
        <v>658</v>
      </c>
      <c r="H355" t="s">
        <v>991</v>
      </c>
    </row>
    <row r="356" spans="1:8" x14ac:dyDescent="0.3">
      <c r="A356" t="s">
        <v>981</v>
      </c>
      <c r="B356" s="6">
        <v>7.5658440000000004E-3</v>
      </c>
      <c r="C356" t="s">
        <v>581</v>
      </c>
      <c r="D356" t="s">
        <v>8</v>
      </c>
      <c r="E356" t="s">
        <v>643</v>
      </c>
      <c r="F356" t="s">
        <v>20</v>
      </c>
      <c r="G356" t="s">
        <v>659</v>
      </c>
      <c r="H356" t="s">
        <v>982</v>
      </c>
    </row>
    <row r="357" spans="1:8" x14ac:dyDescent="0.3">
      <c r="A357" t="s">
        <v>660</v>
      </c>
      <c r="B357" s="6">
        <v>0.18883150000000004</v>
      </c>
      <c r="C357" t="s">
        <v>633</v>
      </c>
      <c r="D357" t="s">
        <v>29</v>
      </c>
      <c r="E357" t="s">
        <v>646</v>
      </c>
      <c r="F357" t="s">
        <v>20</v>
      </c>
      <c r="G357" t="s">
        <v>661</v>
      </c>
      <c r="H357" t="s">
        <v>662</v>
      </c>
    </row>
    <row r="358" spans="1:8" x14ac:dyDescent="0.3">
      <c r="A358" t="s">
        <v>660</v>
      </c>
      <c r="B358" s="6">
        <v>3.3711392000000007E-2</v>
      </c>
      <c r="C358" t="s">
        <v>633</v>
      </c>
      <c r="D358" t="s">
        <v>29</v>
      </c>
      <c r="E358" t="s">
        <v>646</v>
      </c>
      <c r="F358" t="s">
        <v>20</v>
      </c>
      <c r="G358" t="s">
        <v>663</v>
      </c>
      <c r="H358" t="s">
        <v>662</v>
      </c>
    </row>
    <row r="359" spans="1:8" x14ac:dyDescent="0.3">
      <c r="A359" t="s">
        <v>660</v>
      </c>
      <c r="B359" s="6">
        <v>4.6750704000000001E-3</v>
      </c>
      <c r="C359" t="s">
        <v>633</v>
      </c>
      <c r="D359" t="s">
        <v>29</v>
      </c>
      <c r="E359" t="s">
        <v>646</v>
      </c>
      <c r="F359" t="s">
        <v>20</v>
      </c>
      <c r="G359" t="s">
        <v>664</v>
      </c>
      <c r="H359" t="s">
        <v>662</v>
      </c>
    </row>
    <row r="360" spans="1:8" x14ac:dyDescent="0.3">
      <c r="A360" t="s">
        <v>265</v>
      </c>
      <c r="B360" s="6">
        <f>('Cozzolini 2018'!B343*'Cozzolini 2018'!B274*(1+B257))-Parameters!$B$13</f>
        <v>1.3122732656983251</v>
      </c>
      <c r="D360" t="s">
        <v>8</v>
      </c>
      <c r="E360" t="s">
        <v>37</v>
      </c>
      <c r="F360" t="s">
        <v>36</v>
      </c>
      <c r="G360" t="s">
        <v>665</v>
      </c>
    </row>
    <row r="362" spans="1:8" ht="15.6" x14ac:dyDescent="0.3">
      <c r="A362" s="1" t="s">
        <v>1</v>
      </c>
      <c r="B362" s="73" t="s">
        <v>840</v>
      </c>
    </row>
    <row r="363" spans="1:8" x14ac:dyDescent="0.3">
      <c r="A363" t="s">
        <v>2</v>
      </c>
      <c r="B363" s="6" t="s">
        <v>581</v>
      </c>
    </row>
    <row r="364" spans="1:8" x14ac:dyDescent="0.3">
      <c r="A364" t="s">
        <v>3</v>
      </c>
      <c r="B364" s="6">
        <v>1</v>
      </c>
    </row>
    <row r="365" spans="1:8" ht="15.6" x14ac:dyDescent="0.3">
      <c r="A365" t="s">
        <v>4</v>
      </c>
      <c r="B365" s="74" t="s">
        <v>337</v>
      </c>
    </row>
    <row r="366" spans="1:8" x14ac:dyDescent="0.3">
      <c r="A366" t="s">
        <v>9</v>
      </c>
      <c r="B366" s="6" t="s">
        <v>641</v>
      </c>
    </row>
    <row r="367" spans="1:8" x14ac:dyDescent="0.3">
      <c r="A367" t="s">
        <v>5</v>
      </c>
      <c r="B367" s="6" t="s">
        <v>6</v>
      </c>
    </row>
    <row r="368" spans="1:8" x14ac:dyDescent="0.3">
      <c r="A368" t="s">
        <v>7</v>
      </c>
      <c r="B368" s="6" t="s">
        <v>8</v>
      </c>
    </row>
    <row r="369" spans="1:11" x14ac:dyDescent="0.3">
      <c r="A369" t="s">
        <v>11</v>
      </c>
      <c r="B369" s="6" t="s">
        <v>639</v>
      </c>
    </row>
    <row r="370" spans="1:11" ht="15.6" x14ac:dyDescent="0.3">
      <c r="A370" s="1" t="s">
        <v>12</v>
      </c>
    </row>
    <row r="371" spans="1:11" x14ac:dyDescent="0.3">
      <c r="A371" t="s">
        <v>13</v>
      </c>
      <c r="B371" s="6" t="s">
        <v>14</v>
      </c>
      <c r="C371" t="s">
        <v>2</v>
      </c>
      <c r="D371" t="s">
        <v>7</v>
      </c>
      <c r="E371" t="s">
        <v>15</v>
      </c>
      <c r="F371" t="s">
        <v>5</v>
      </c>
      <c r="G371" t="s">
        <v>338</v>
      </c>
      <c r="H371" t="s">
        <v>339</v>
      </c>
      <c r="I371" t="s">
        <v>16</v>
      </c>
      <c r="J371" t="s">
        <v>11</v>
      </c>
      <c r="K371" t="s">
        <v>4</v>
      </c>
    </row>
    <row r="372" spans="1:11" x14ac:dyDescent="0.3">
      <c r="A372" t="s">
        <v>840</v>
      </c>
      <c r="B372" s="6">
        <v>1</v>
      </c>
      <c r="C372" t="s">
        <v>581</v>
      </c>
      <c r="D372" t="s">
        <v>8</v>
      </c>
      <c r="F372" t="s">
        <v>17</v>
      </c>
      <c r="I372">
        <v>100</v>
      </c>
      <c r="J372" t="s">
        <v>18</v>
      </c>
      <c r="K372" t="s">
        <v>337</v>
      </c>
    </row>
    <row r="373" spans="1:11" ht="15.6" x14ac:dyDescent="0.3">
      <c r="A373" s="2" t="s">
        <v>860</v>
      </c>
      <c r="B373" s="6">
        <v>1.00057</v>
      </c>
      <c r="C373" t="s">
        <v>581</v>
      </c>
      <c r="D373" t="s">
        <v>8</v>
      </c>
      <c r="F373" t="s">
        <v>20</v>
      </c>
      <c r="K373" s="74" t="s">
        <v>1026</v>
      </c>
    </row>
    <row r="374" spans="1:11" x14ac:dyDescent="0.3">
      <c r="A374" t="s">
        <v>28</v>
      </c>
      <c r="B374" s="6">
        <v>6.7000000000000002E-3</v>
      </c>
      <c r="C374" t="s">
        <v>581</v>
      </c>
      <c r="D374" t="s">
        <v>29</v>
      </c>
      <c r="F374" t="s">
        <v>20</v>
      </c>
      <c r="K374" t="s">
        <v>30</v>
      </c>
    </row>
    <row r="375" spans="1:11" x14ac:dyDescent="0.3">
      <c r="A375" t="s">
        <v>340</v>
      </c>
      <c r="B375" s="6">
        <v>-1.6799999999999999E-4</v>
      </c>
      <c r="C375" t="s">
        <v>633</v>
      </c>
      <c r="D375" t="s">
        <v>8</v>
      </c>
      <c r="F375" t="s">
        <v>20</v>
      </c>
      <c r="K375" t="s">
        <v>341</v>
      </c>
    </row>
    <row r="376" spans="1:11" x14ac:dyDescent="0.3">
      <c r="A376" t="s">
        <v>342</v>
      </c>
      <c r="B376" s="6">
        <v>5.8399999999999999E-4</v>
      </c>
      <c r="C376" t="s">
        <v>640</v>
      </c>
      <c r="D376" t="s">
        <v>19</v>
      </c>
      <c r="F376" t="s">
        <v>20</v>
      </c>
      <c r="K376" t="s">
        <v>343</v>
      </c>
    </row>
    <row r="377" spans="1:11" x14ac:dyDescent="0.3">
      <c r="A377" t="s">
        <v>344</v>
      </c>
      <c r="B377" s="6">
        <v>2.5999999999999998E-10</v>
      </c>
      <c r="C377" t="s">
        <v>581</v>
      </c>
      <c r="D377" t="s">
        <v>7</v>
      </c>
      <c r="F377" t="s">
        <v>20</v>
      </c>
      <c r="K377" t="s">
        <v>345</v>
      </c>
    </row>
    <row r="378" spans="1:11" x14ac:dyDescent="0.3">
      <c r="A378" t="s">
        <v>346</v>
      </c>
      <c r="B378" s="6">
        <v>-6.2700000000000001E-6</v>
      </c>
      <c r="C378" t="s">
        <v>640</v>
      </c>
      <c r="D378" t="s">
        <v>8</v>
      </c>
      <c r="F378" t="s">
        <v>20</v>
      </c>
      <c r="K378" t="s">
        <v>347</v>
      </c>
    </row>
    <row r="379" spans="1:11" x14ac:dyDescent="0.3">
      <c r="A379" t="s">
        <v>348</v>
      </c>
      <c r="B379" s="6">
        <v>-7.4999999999999993E-5</v>
      </c>
      <c r="C379" t="s">
        <v>633</v>
      </c>
      <c r="D379" t="s">
        <v>121</v>
      </c>
      <c r="F379" t="s">
        <v>20</v>
      </c>
      <c r="K379" t="s">
        <v>349</v>
      </c>
    </row>
    <row r="380" spans="1:11" x14ac:dyDescent="0.3">
      <c r="A380" t="s">
        <v>350</v>
      </c>
      <c r="B380" s="6">
        <v>6.8900000000000005E-4</v>
      </c>
      <c r="C380" t="s">
        <v>633</v>
      </c>
      <c r="D380" t="s">
        <v>8</v>
      </c>
      <c r="F380" t="s">
        <v>20</v>
      </c>
      <c r="K380" t="s">
        <v>351</v>
      </c>
    </row>
    <row r="381" spans="1:11" x14ac:dyDescent="0.3">
      <c r="A381" t="s">
        <v>100</v>
      </c>
      <c r="B381" s="6">
        <v>3.3599999999999998E-2</v>
      </c>
      <c r="C381" t="s">
        <v>633</v>
      </c>
      <c r="D381" t="s">
        <v>41</v>
      </c>
      <c r="F381" t="s">
        <v>20</v>
      </c>
      <c r="K381" t="s">
        <v>103</v>
      </c>
    </row>
    <row r="382" spans="1:11" x14ac:dyDescent="0.3">
      <c r="A382" t="s">
        <v>352</v>
      </c>
      <c r="B382" s="6">
        <v>3.2599999999999997E-2</v>
      </c>
      <c r="C382" t="s">
        <v>581</v>
      </c>
      <c r="D382" t="s">
        <v>41</v>
      </c>
      <c r="F382" t="s">
        <v>20</v>
      </c>
      <c r="K382" t="s">
        <v>353</v>
      </c>
    </row>
    <row r="383" spans="1:11" x14ac:dyDescent="0.3">
      <c r="A383" t="s">
        <v>354</v>
      </c>
      <c r="B383" s="6">
        <v>-6.8899999999999999E-7</v>
      </c>
      <c r="C383" t="s">
        <v>633</v>
      </c>
      <c r="D383" t="s">
        <v>121</v>
      </c>
      <c r="F383" t="s">
        <v>20</v>
      </c>
      <c r="K383" t="s">
        <v>355</v>
      </c>
    </row>
    <row r="384" spans="1:11" ht="16.2" customHeight="1" x14ac:dyDescent="0.3">
      <c r="A384" s="1"/>
      <c r="B384" s="73"/>
    </row>
    <row r="385" spans="1:8" ht="15.6" x14ac:dyDescent="0.3">
      <c r="A385" s="1" t="s">
        <v>1</v>
      </c>
      <c r="B385" s="73" t="s">
        <v>871</v>
      </c>
    </row>
    <row r="386" spans="1:8" x14ac:dyDescent="0.3">
      <c r="A386" t="s">
        <v>2</v>
      </c>
      <c r="B386" s="6" t="s">
        <v>581</v>
      </c>
    </row>
    <row r="387" spans="1:8" x14ac:dyDescent="0.3">
      <c r="A387" t="s">
        <v>3</v>
      </c>
      <c r="B387" s="6">
        <v>1</v>
      </c>
    </row>
    <row r="388" spans="1:8" x14ac:dyDescent="0.3">
      <c r="A388" t="s">
        <v>4</v>
      </c>
      <c r="B388" s="6" t="s">
        <v>670</v>
      </c>
    </row>
    <row r="389" spans="1:8" x14ac:dyDescent="0.3">
      <c r="A389" t="s">
        <v>5</v>
      </c>
      <c r="B389" s="6" t="s">
        <v>6</v>
      </c>
    </row>
    <row r="390" spans="1:8" x14ac:dyDescent="0.3">
      <c r="A390" t="s">
        <v>7</v>
      </c>
      <c r="B390" s="6" t="s">
        <v>8</v>
      </c>
    </row>
    <row r="391" spans="1:8" x14ac:dyDescent="0.3">
      <c r="A391" t="s">
        <v>872</v>
      </c>
      <c r="B391" s="6">
        <v>80.760000000000005</v>
      </c>
    </row>
    <row r="392" spans="1:8" x14ac:dyDescent="0.3">
      <c r="A392" t="s">
        <v>850</v>
      </c>
      <c r="B392" s="6">
        <v>16.3</v>
      </c>
      <c r="D392" s="6"/>
    </row>
    <row r="393" spans="1:8" x14ac:dyDescent="0.3">
      <c r="A393" t="s">
        <v>856</v>
      </c>
      <c r="B393" s="75">
        <v>0.75</v>
      </c>
    </row>
    <row r="394" spans="1:8" x14ac:dyDescent="0.3">
      <c r="A394" t="s">
        <v>9</v>
      </c>
      <c r="B394" s="6" t="s">
        <v>641</v>
      </c>
    </row>
    <row r="395" spans="1:8" ht="15.6" x14ac:dyDescent="0.3">
      <c r="A395" s="1" t="s">
        <v>12</v>
      </c>
    </row>
    <row r="396" spans="1:8" x14ac:dyDescent="0.3">
      <c r="A396" t="s">
        <v>13</v>
      </c>
      <c r="B396" s="6" t="s">
        <v>14</v>
      </c>
      <c r="C396" t="s">
        <v>2</v>
      </c>
      <c r="D396" t="s">
        <v>7</v>
      </c>
      <c r="E396" t="s">
        <v>15</v>
      </c>
      <c r="F396" t="s">
        <v>5</v>
      </c>
      <c r="G396" t="s">
        <v>11</v>
      </c>
      <c r="H396" t="s">
        <v>4</v>
      </c>
    </row>
    <row r="397" spans="1:8" x14ac:dyDescent="0.3">
      <c r="A397" t="s">
        <v>871</v>
      </c>
      <c r="B397" s="6">
        <v>1</v>
      </c>
      <c r="C397" t="s">
        <v>581</v>
      </c>
      <c r="D397" t="s">
        <v>8</v>
      </c>
      <c r="E397" t="s">
        <v>669</v>
      </c>
      <c r="F397" t="s">
        <v>17</v>
      </c>
      <c r="G397" t="s">
        <v>811</v>
      </c>
      <c r="H397" t="s">
        <v>670</v>
      </c>
    </row>
    <row r="398" spans="1:8" x14ac:dyDescent="0.3">
      <c r="A398" t="s">
        <v>871</v>
      </c>
      <c r="B398" s="6">
        <v>0.14000000000000001</v>
      </c>
      <c r="C398" t="s">
        <v>581</v>
      </c>
      <c r="D398" t="s">
        <v>8</v>
      </c>
      <c r="E398" t="s">
        <v>669</v>
      </c>
      <c r="F398" t="s">
        <v>20</v>
      </c>
      <c r="G398" t="s">
        <v>873</v>
      </c>
      <c r="H398" t="s">
        <v>670</v>
      </c>
    </row>
    <row r="399" spans="1:8" x14ac:dyDescent="0.3">
      <c r="A399" t="s">
        <v>42</v>
      </c>
      <c r="B399" s="6">
        <v>1.42625E-3</v>
      </c>
      <c r="C399" t="s">
        <v>640</v>
      </c>
      <c r="D399" t="s">
        <v>8</v>
      </c>
      <c r="E399" t="s">
        <v>643</v>
      </c>
      <c r="F399" t="s">
        <v>20</v>
      </c>
      <c r="G399" t="s">
        <v>812</v>
      </c>
      <c r="H399" t="s">
        <v>43</v>
      </c>
    </row>
    <row r="400" spans="1:8" x14ac:dyDescent="0.3">
      <c r="A400" t="s">
        <v>617</v>
      </c>
      <c r="B400" s="6">
        <f>0.00020375/1000</f>
        <v>2.0374999999999998E-7</v>
      </c>
      <c r="C400" t="s">
        <v>26</v>
      </c>
      <c r="D400" t="s">
        <v>8</v>
      </c>
      <c r="E400" t="s">
        <v>643</v>
      </c>
      <c r="F400" t="s">
        <v>20</v>
      </c>
      <c r="G400" t="s">
        <v>813</v>
      </c>
      <c r="H400" t="s">
        <v>616</v>
      </c>
    </row>
    <row r="401" spans="1:8" x14ac:dyDescent="0.3">
      <c r="A401" t="s">
        <v>44</v>
      </c>
      <c r="B401" s="6">
        <v>6.1124999999999992E-4</v>
      </c>
      <c r="C401" t="s">
        <v>640</v>
      </c>
      <c r="D401" t="s">
        <v>8</v>
      </c>
      <c r="E401" t="s">
        <v>643</v>
      </c>
      <c r="F401" t="s">
        <v>20</v>
      </c>
      <c r="G401" t="s">
        <v>814</v>
      </c>
      <c r="H401" t="s">
        <v>45</v>
      </c>
    </row>
    <row r="402" spans="1:8" x14ac:dyDescent="0.3">
      <c r="A402" t="s">
        <v>46</v>
      </c>
      <c r="B402" s="6">
        <v>1.0594999999999999E-3</v>
      </c>
      <c r="C402" t="s">
        <v>640</v>
      </c>
      <c r="D402" t="s">
        <v>8</v>
      </c>
      <c r="E402" t="s">
        <v>643</v>
      </c>
      <c r="F402" t="s">
        <v>20</v>
      </c>
      <c r="G402" t="s">
        <v>815</v>
      </c>
      <c r="H402" t="s">
        <v>47</v>
      </c>
    </row>
    <row r="403" spans="1:8" x14ac:dyDescent="0.3">
      <c r="A403" t="s">
        <v>48</v>
      </c>
      <c r="B403" s="6">
        <v>4.4010000000000004E-3</v>
      </c>
      <c r="C403" t="s">
        <v>26</v>
      </c>
      <c r="D403" t="s">
        <v>8</v>
      </c>
      <c r="E403" t="s">
        <v>643</v>
      </c>
      <c r="F403" t="s">
        <v>20</v>
      </c>
      <c r="G403" t="s">
        <v>816</v>
      </c>
      <c r="H403" t="s">
        <v>49</v>
      </c>
    </row>
    <row r="404" spans="1:8" x14ac:dyDescent="0.3">
      <c r="A404" t="s">
        <v>817</v>
      </c>
      <c r="B404" s="6">
        <v>4.0750000000000008E-5</v>
      </c>
      <c r="C404" t="s">
        <v>26</v>
      </c>
      <c r="D404" t="s">
        <v>8</v>
      </c>
      <c r="E404" t="s">
        <v>643</v>
      </c>
      <c r="F404" t="s">
        <v>20</v>
      </c>
      <c r="G404" t="s">
        <v>818</v>
      </c>
      <c r="H404" t="s">
        <v>819</v>
      </c>
    </row>
    <row r="405" spans="1:8" x14ac:dyDescent="0.3">
      <c r="A405" t="s">
        <v>22</v>
      </c>
      <c r="B405" s="6">
        <f>0.0105*B392</f>
        <v>0.17115000000000002</v>
      </c>
      <c r="C405" t="s">
        <v>26</v>
      </c>
      <c r="D405" t="s">
        <v>19</v>
      </c>
      <c r="E405" t="s">
        <v>643</v>
      </c>
      <c r="F405" t="s">
        <v>20</v>
      </c>
      <c r="G405" t="s">
        <v>820</v>
      </c>
      <c r="H405" t="s">
        <v>23</v>
      </c>
    </row>
    <row r="406" spans="1:8" x14ac:dyDescent="0.3">
      <c r="A406" t="s">
        <v>660</v>
      </c>
      <c r="B406" s="6">
        <v>4.3048300000000008E-3</v>
      </c>
      <c r="C406" t="s">
        <v>633</v>
      </c>
      <c r="D406" t="s">
        <v>29</v>
      </c>
      <c r="E406" t="s">
        <v>646</v>
      </c>
      <c r="F406" t="s">
        <v>20</v>
      </c>
      <c r="G406" t="s">
        <v>821</v>
      </c>
      <c r="H406" t="s">
        <v>662</v>
      </c>
    </row>
    <row r="407" spans="1:8" x14ac:dyDescent="0.3">
      <c r="A407" t="s">
        <v>660</v>
      </c>
      <c r="B407" s="6">
        <v>2.4449999999999997E-3</v>
      </c>
      <c r="C407" t="s">
        <v>633</v>
      </c>
      <c r="D407" t="s">
        <v>29</v>
      </c>
      <c r="E407" t="s">
        <v>646</v>
      </c>
      <c r="F407" t="s">
        <v>20</v>
      </c>
      <c r="G407" t="s">
        <v>822</v>
      </c>
      <c r="H407" t="s">
        <v>662</v>
      </c>
    </row>
    <row r="408" spans="1:8" x14ac:dyDescent="0.3">
      <c r="A408" t="s">
        <v>108</v>
      </c>
      <c r="B408" s="6">
        <v>4.0750000000000002</v>
      </c>
      <c r="D408" t="s">
        <v>19</v>
      </c>
      <c r="E408" t="s">
        <v>112</v>
      </c>
      <c r="F408" t="s">
        <v>36</v>
      </c>
      <c r="G408" t="s">
        <v>804</v>
      </c>
    </row>
    <row r="409" spans="1:8" x14ac:dyDescent="0.3">
      <c r="A409" t="s">
        <v>352</v>
      </c>
      <c r="B409" s="6">
        <f>50/1000</f>
        <v>0.05</v>
      </c>
      <c r="C409" t="s">
        <v>581</v>
      </c>
      <c r="D409" t="s">
        <v>41</v>
      </c>
      <c r="F409" t="s">
        <v>20</v>
      </c>
      <c r="G409" t="s">
        <v>855</v>
      </c>
      <c r="H409" t="s">
        <v>353</v>
      </c>
    </row>
    <row r="410" spans="1:8" x14ac:dyDescent="0.3">
      <c r="A410" t="s">
        <v>1046</v>
      </c>
      <c r="B410" s="6">
        <f>0.445*(44/12)*(1-B393)</f>
        <v>0.40791666666666665</v>
      </c>
      <c r="D410" t="s">
        <v>8</v>
      </c>
      <c r="E410" t="s">
        <v>1047</v>
      </c>
      <c r="F410" t="s">
        <v>36</v>
      </c>
      <c r="G410" t="s">
        <v>880</v>
      </c>
    </row>
    <row r="411" spans="1:8" x14ac:dyDescent="0.3">
      <c r="A411" t="s">
        <v>194</v>
      </c>
      <c r="B411" s="6">
        <f>(1/(($B$391*1000)/10000))*0.6</f>
        <v>7.4294205052005929E-2</v>
      </c>
      <c r="D411" t="s">
        <v>113</v>
      </c>
      <c r="E411" t="s">
        <v>114</v>
      </c>
      <c r="F411" t="s">
        <v>36</v>
      </c>
      <c r="G411" t="s">
        <v>952</v>
      </c>
    </row>
    <row r="412" spans="1:8" x14ac:dyDescent="0.3">
      <c r="A412" t="s">
        <v>195</v>
      </c>
      <c r="B412" s="6">
        <f t="shared" ref="B412:B413" si="0">1/(($B$391*1000)/10000)</f>
        <v>0.12382367508667656</v>
      </c>
      <c r="D412" t="s">
        <v>115</v>
      </c>
      <c r="E412" t="s">
        <v>114</v>
      </c>
      <c r="F412" t="s">
        <v>36</v>
      </c>
      <c r="G412" t="s">
        <v>861</v>
      </c>
    </row>
    <row r="413" spans="1:8" x14ac:dyDescent="0.3">
      <c r="A413" t="s">
        <v>196</v>
      </c>
      <c r="B413" s="6">
        <f t="shared" si="0"/>
        <v>0.12382367508667656</v>
      </c>
      <c r="D413" t="s">
        <v>115</v>
      </c>
      <c r="E413" t="s">
        <v>114</v>
      </c>
      <c r="F413" t="s">
        <v>36</v>
      </c>
      <c r="G413" t="s">
        <v>861</v>
      </c>
    </row>
    <row r="414" spans="1:8" x14ac:dyDescent="0.3">
      <c r="A414" t="s">
        <v>40</v>
      </c>
      <c r="B414" s="6">
        <v>5.1222750000000004E-5</v>
      </c>
      <c r="D414" t="s">
        <v>8</v>
      </c>
      <c r="E414" t="s">
        <v>37</v>
      </c>
      <c r="F414" t="s">
        <v>36</v>
      </c>
      <c r="G414" t="s">
        <v>810</v>
      </c>
    </row>
    <row r="415" spans="1:8" x14ac:dyDescent="0.3">
      <c r="A415" t="s">
        <v>40</v>
      </c>
      <c r="B415" s="6">
        <v>1.2225E-7</v>
      </c>
      <c r="D415" t="s">
        <v>8</v>
      </c>
      <c r="E415" t="s">
        <v>37</v>
      </c>
      <c r="F415" t="s">
        <v>36</v>
      </c>
      <c r="G415" t="s">
        <v>792</v>
      </c>
    </row>
    <row r="416" spans="1:8" x14ac:dyDescent="0.3">
      <c r="A416" t="s">
        <v>193</v>
      </c>
      <c r="B416" s="6">
        <v>4.0750000000000004E-8</v>
      </c>
      <c r="D416" t="s">
        <v>8</v>
      </c>
      <c r="E416" t="s">
        <v>37</v>
      </c>
      <c r="F416" t="s">
        <v>36</v>
      </c>
      <c r="G416" t="s">
        <v>792</v>
      </c>
    </row>
    <row r="417" spans="1:8" x14ac:dyDescent="0.3">
      <c r="A417" t="s">
        <v>120</v>
      </c>
      <c r="B417" s="6">
        <v>1.9784999999999998E-3</v>
      </c>
      <c r="C417" t="s">
        <v>972</v>
      </c>
      <c r="D417" t="s">
        <v>121</v>
      </c>
      <c r="F417" t="s">
        <v>20</v>
      </c>
      <c r="G417" t="s">
        <v>956</v>
      </c>
      <c r="H417" t="s">
        <v>122</v>
      </c>
    </row>
    <row r="418" spans="1:8" x14ac:dyDescent="0.3">
      <c r="A418" t="s">
        <v>974</v>
      </c>
      <c r="B418" s="6">
        <v>6.8171999999999998E-3</v>
      </c>
      <c r="C418" t="s">
        <v>26</v>
      </c>
      <c r="D418" t="s">
        <v>8</v>
      </c>
      <c r="F418" t="s">
        <v>20</v>
      </c>
      <c r="G418" t="s">
        <v>956</v>
      </c>
      <c r="H418" t="s">
        <v>900</v>
      </c>
    </row>
    <row r="419" spans="1:8" x14ac:dyDescent="0.3">
      <c r="A419" t="s">
        <v>901</v>
      </c>
      <c r="B419" s="6">
        <v>1.43E-5</v>
      </c>
      <c r="C419" t="s">
        <v>26</v>
      </c>
      <c r="D419" t="s">
        <v>8</v>
      </c>
      <c r="F419" t="s">
        <v>20</v>
      </c>
      <c r="G419" t="s">
        <v>956</v>
      </c>
      <c r="H419" t="s">
        <v>902</v>
      </c>
    </row>
    <row r="420" spans="1:8" x14ac:dyDescent="0.3">
      <c r="A420" t="s">
        <v>172</v>
      </c>
      <c r="B420" s="6">
        <v>3.3252789015899998E-3</v>
      </c>
      <c r="D420" t="s">
        <v>8</v>
      </c>
      <c r="E420" t="s">
        <v>179</v>
      </c>
      <c r="F420" t="s">
        <v>36</v>
      </c>
      <c r="G420" t="s">
        <v>956</v>
      </c>
    </row>
    <row r="421" spans="1:8" x14ac:dyDescent="0.3">
      <c r="A421" t="s">
        <v>127</v>
      </c>
      <c r="B421" s="6">
        <v>2.19634408602E-3</v>
      </c>
      <c r="D421" t="s">
        <v>8</v>
      </c>
      <c r="E421" t="s">
        <v>169</v>
      </c>
      <c r="F421" t="s">
        <v>36</v>
      </c>
      <c r="G421" t="s">
        <v>956</v>
      </c>
    </row>
    <row r="422" spans="1:8" x14ac:dyDescent="0.3">
      <c r="A422" t="s">
        <v>126</v>
      </c>
      <c r="B422" s="6">
        <v>1.19387096774E-3</v>
      </c>
      <c r="D422" t="s">
        <v>121</v>
      </c>
      <c r="E422" t="s">
        <v>169</v>
      </c>
      <c r="F422" t="s">
        <v>36</v>
      </c>
      <c r="G422" t="s">
        <v>956</v>
      </c>
    </row>
    <row r="423" spans="1:8" x14ac:dyDescent="0.3">
      <c r="A423" t="s">
        <v>126</v>
      </c>
      <c r="B423" s="6">
        <v>6.2769892473099999E-4</v>
      </c>
      <c r="D423" t="s">
        <v>121</v>
      </c>
      <c r="E423" t="s">
        <v>171</v>
      </c>
      <c r="F423" t="s">
        <v>36</v>
      </c>
      <c r="G423" t="s">
        <v>956</v>
      </c>
    </row>
    <row r="424" spans="1:8" x14ac:dyDescent="0.3">
      <c r="A424" t="s">
        <v>325</v>
      </c>
      <c r="B424" s="6">
        <v>5.3903225806499998E-4</v>
      </c>
      <c r="D424" t="s">
        <v>8</v>
      </c>
      <c r="E424" t="s">
        <v>169</v>
      </c>
      <c r="F424" t="s">
        <v>36</v>
      </c>
      <c r="G424" t="s">
        <v>956</v>
      </c>
    </row>
    <row r="425" spans="1:8" x14ac:dyDescent="0.3">
      <c r="A425" t="s">
        <v>126</v>
      </c>
      <c r="B425" s="6">
        <v>1.5692473118299999E-4</v>
      </c>
      <c r="D425" t="s">
        <v>121</v>
      </c>
      <c r="E425" t="s">
        <v>179</v>
      </c>
      <c r="F425" t="s">
        <v>36</v>
      </c>
      <c r="G425" t="s">
        <v>956</v>
      </c>
    </row>
    <row r="426" spans="1:8" x14ac:dyDescent="0.3">
      <c r="A426" t="s">
        <v>38</v>
      </c>
      <c r="B426" s="6">
        <v>7.6040860215099995E-5</v>
      </c>
      <c r="D426" t="s">
        <v>8</v>
      </c>
      <c r="E426" t="s">
        <v>169</v>
      </c>
      <c r="F426" t="s">
        <v>36</v>
      </c>
      <c r="G426" t="s">
        <v>956</v>
      </c>
    </row>
    <row r="427" spans="1:8" x14ac:dyDescent="0.3">
      <c r="A427" t="s">
        <v>174</v>
      </c>
      <c r="B427" s="6">
        <v>4.6911827957000003E-6</v>
      </c>
      <c r="D427" t="s">
        <v>8</v>
      </c>
      <c r="E427" t="s">
        <v>171</v>
      </c>
      <c r="F427" t="s">
        <v>36</v>
      </c>
      <c r="G427" t="s">
        <v>956</v>
      </c>
    </row>
    <row r="428" spans="1:8" x14ac:dyDescent="0.3">
      <c r="A428" t="s">
        <v>924</v>
      </c>
      <c r="B428" s="6">
        <v>2.45779249578E-6</v>
      </c>
      <c r="D428" t="s">
        <v>8</v>
      </c>
      <c r="E428" t="s">
        <v>170</v>
      </c>
      <c r="F428" t="s">
        <v>36</v>
      </c>
      <c r="G428" t="s">
        <v>956</v>
      </c>
    </row>
    <row r="429" spans="1:8" x14ac:dyDescent="0.3">
      <c r="A429" t="s">
        <v>173</v>
      </c>
      <c r="B429" s="6">
        <v>1.77150537634E-6</v>
      </c>
      <c r="D429" t="s">
        <v>8</v>
      </c>
      <c r="E429" t="s">
        <v>171</v>
      </c>
      <c r="F429" t="s">
        <v>36</v>
      </c>
      <c r="G429" t="s">
        <v>956</v>
      </c>
    </row>
    <row r="430" spans="1:8" x14ac:dyDescent="0.3">
      <c r="A430" t="s">
        <v>174</v>
      </c>
      <c r="B430" s="6">
        <v>1.3898924731199999E-6</v>
      </c>
      <c r="D430" t="s">
        <v>8</v>
      </c>
      <c r="E430" t="s">
        <v>179</v>
      </c>
      <c r="F430" t="s">
        <v>36</v>
      </c>
      <c r="G430" t="s">
        <v>956</v>
      </c>
    </row>
    <row r="431" spans="1:8" x14ac:dyDescent="0.3">
      <c r="A431" t="s">
        <v>953</v>
      </c>
      <c r="B431" s="6">
        <v>1.2234344867999999E-6</v>
      </c>
      <c r="D431" t="s">
        <v>8</v>
      </c>
      <c r="E431" t="s">
        <v>170</v>
      </c>
      <c r="F431" t="s">
        <v>36</v>
      </c>
      <c r="G431" t="s">
        <v>956</v>
      </c>
    </row>
    <row r="432" spans="1:8" x14ac:dyDescent="0.3">
      <c r="A432" t="s">
        <v>934</v>
      </c>
      <c r="B432" s="6">
        <v>1.0486581315400001E-6</v>
      </c>
      <c r="D432" t="s">
        <v>8</v>
      </c>
      <c r="E432" t="s">
        <v>170</v>
      </c>
      <c r="F432" t="s">
        <v>36</v>
      </c>
      <c r="G432" t="s">
        <v>956</v>
      </c>
    </row>
    <row r="433" spans="1:7" x14ac:dyDescent="0.3">
      <c r="A433" t="s">
        <v>936</v>
      </c>
      <c r="B433" s="6">
        <v>1.0049640427199999E-6</v>
      </c>
      <c r="D433" t="s">
        <v>8</v>
      </c>
      <c r="E433" t="s">
        <v>170</v>
      </c>
      <c r="F433" t="s">
        <v>36</v>
      </c>
      <c r="G433" t="s">
        <v>956</v>
      </c>
    </row>
    <row r="434" spans="1:7" x14ac:dyDescent="0.3">
      <c r="A434" t="s">
        <v>954</v>
      </c>
      <c r="B434" s="6">
        <v>7.9523241641499996E-7</v>
      </c>
      <c r="D434" t="s">
        <v>8</v>
      </c>
      <c r="E434" t="s">
        <v>170</v>
      </c>
      <c r="F434" t="s">
        <v>36</v>
      </c>
      <c r="G434" t="s">
        <v>956</v>
      </c>
    </row>
    <row r="435" spans="1:7" x14ac:dyDescent="0.3">
      <c r="A435" t="s">
        <v>955</v>
      </c>
      <c r="B435" s="6">
        <v>6.2045606115800001E-7</v>
      </c>
      <c r="D435" t="s">
        <v>8</v>
      </c>
      <c r="E435" t="s">
        <v>170</v>
      </c>
      <c r="F435" t="s">
        <v>36</v>
      </c>
      <c r="G435" t="s">
        <v>956</v>
      </c>
    </row>
    <row r="436" spans="1:7" x14ac:dyDescent="0.3">
      <c r="A436" t="s">
        <v>206</v>
      </c>
      <c r="B436" s="6">
        <v>1.8708602150499999E-7</v>
      </c>
      <c r="D436" t="s">
        <v>8</v>
      </c>
      <c r="E436" t="s">
        <v>179</v>
      </c>
      <c r="F436" t="s">
        <v>36</v>
      </c>
      <c r="G436" t="s">
        <v>956</v>
      </c>
    </row>
    <row r="437" spans="1:7" x14ac:dyDescent="0.3">
      <c r="A437" t="s">
        <v>206</v>
      </c>
      <c r="B437" s="6">
        <v>1.71623655914E-7</v>
      </c>
      <c r="D437" t="s">
        <v>8</v>
      </c>
      <c r="E437" t="s">
        <v>171</v>
      </c>
      <c r="F437" t="s">
        <v>36</v>
      </c>
      <c r="G437" t="s">
        <v>956</v>
      </c>
    </row>
    <row r="438" spans="1:7" x14ac:dyDescent="0.3">
      <c r="A438" t="s">
        <v>199</v>
      </c>
      <c r="B438" s="6">
        <v>1.2674193548400001E-7</v>
      </c>
      <c r="D438" t="s">
        <v>8</v>
      </c>
      <c r="E438" t="s">
        <v>179</v>
      </c>
      <c r="F438" t="s">
        <v>36</v>
      </c>
      <c r="G438" t="s">
        <v>956</v>
      </c>
    </row>
    <row r="439" spans="1:7" x14ac:dyDescent="0.3">
      <c r="A439" t="s">
        <v>199</v>
      </c>
      <c r="B439" s="6">
        <v>8.7936559139799999E-8</v>
      </c>
      <c r="D439" t="s">
        <v>8</v>
      </c>
      <c r="E439" t="s">
        <v>171</v>
      </c>
      <c r="F439" t="s">
        <v>36</v>
      </c>
      <c r="G439" t="s">
        <v>956</v>
      </c>
    </row>
    <row r="440" spans="1:7" x14ac:dyDescent="0.3">
      <c r="A440" t="s">
        <v>200</v>
      </c>
      <c r="B440" s="6">
        <v>7.6317204301099996E-8</v>
      </c>
      <c r="D440" t="s">
        <v>8</v>
      </c>
      <c r="E440" t="s">
        <v>171</v>
      </c>
      <c r="F440" t="s">
        <v>36</v>
      </c>
      <c r="G440" t="s">
        <v>956</v>
      </c>
    </row>
    <row r="441" spans="1:7" x14ac:dyDescent="0.3">
      <c r="A441" t="s">
        <v>202</v>
      </c>
      <c r="B441" s="6">
        <v>7.5112903225800003E-8</v>
      </c>
      <c r="D441" t="s">
        <v>8</v>
      </c>
      <c r="E441" t="s">
        <v>171</v>
      </c>
      <c r="F441" t="s">
        <v>36</v>
      </c>
      <c r="G441" t="s">
        <v>956</v>
      </c>
    </row>
    <row r="442" spans="1:7" x14ac:dyDescent="0.3">
      <c r="A442" t="s">
        <v>145</v>
      </c>
      <c r="B442" s="6">
        <v>3.7513440859999997E-8</v>
      </c>
      <c r="D442" t="s">
        <v>8</v>
      </c>
      <c r="E442" t="s">
        <v>170</v>
      </c>
      <c r="F442" t="s">
        <v>36</v>
      </c>
      <c r="G442" t="s">
        <v>956</v>
      </c>
    </row>
    <row r="443" spans="1:7" x14ac:dyDescent="0.3">
      <c r="A443" t="s">
        <v>168</v>
      </c>
      <c r="B443" s="6">
        <v>3.3570967741900001E-8</v>
      </c>
      <c r="D443" t="s">
        <v>8</v>
      </c>
      <c r="E443" t="s">
        <v>171</v>
      </c>
      <c r="F443" t="s">
        <v>36</v>
      </c>
      <c r="G443" t="s">
        <v>956</v>
      </c>
    </row>
    <row r="444" spans="1:7" x14ac:dyDescent="0.3">
      <c r="A444" t="s">
        <v>200</v>
      </c>
      <c r="B444" s="6">
        <v>2.23989247312E-8</v>
      </c>
      <c r="D444" t="s">
        <v>8</v>
      </c>
      <c r="E444" t="s">
        <v>179</v>
      </c>
      <c r="F444" t="s">
        <v>36</v>
      </c>
      <c r="G444" t="s">
        <v>956</v>
      </c>
    </row>
    <row r="445" spans="1:7" x14ac:dyDescent="0.3">
      <c r="A445" t="s">
        <v>168</v>
      </c>
      <c r="B445" s="6">
        <v>1.69247311828E-9</v>
      </c>
      <c r="D445" t="s">
        <v>8</v>
      </c>
      <c r="E445" t="s">
        <v>179</v>
      </c>
      <c r="F445" t="s">
        <v>36</v>
      </c>
      <c r="G445" t="s">
        <v>956</v>
      </c>
    </row>
    <row r="446" spans="1:7" x14ac:dyDescent="0.3">
      <c r="A446" t="s">
        <v>198</v>
      </c>
      <c r="B446" s="6">
        <v>8.2931182795700005E-10</v>
      </c>
      <c r="D446" t="s">
        <v>8</v>
      </c>
      <c r="E446" t="s">
        <v>171</v>
      </c>
      <c r="F446" t="s">
        <v>36</v>
      </c>
      <c r="G446" t="s">
        <v>956</v>
      </c>
    </row>
    <row r="447" spans="1:7" x14ac:dyDescent="0.3">
      <c r="A447" t="s">
        <v>198</v>
      </c>
      <c r="B447" s="6">
        <v>2.8310752688199999E-10</v>
      </c>
      <c r="D447" t="s">
        <v>8</v>
      </c>
      <c r="E447" t="s">
        <v>179</v>
      </c>
      <c r="F447" t="s">
        <v>36</v>
      </c>
      <c r="G447" t="s">
        <v>956</v>
      </c>
    </row>
    <row r="448" spans="1:7" x14ac:dyDescent="0.3">
      <c r="A448" t="s">
        <v>201</v>
      </c>
      <c r="B448" s="6">
        <v>2.7364516128999998E-10</v>
      </c>
      <c r="D448" t="s">
        <v>8</v>
      </c>
      <c r="E448" t="s">
        <v>171</v>
      </c>
      <c r="F448" t="s">
        <v>36</v>
      </c>
      <c r="G448" t="s">
        <v>956</v>
      </c>
    </row>
    <row r="449" spans="1:7" x14ac:dyDescent="0.3">
      <c r="A449" t="s">
        <v>201</v>
      </c>
      <c r="B449" s="6">
        <v>9.2362365591400007E-12</v>
      </c>
      <c r="D449" t="s">
        <v>8</v>
      </c>
      <c r="E449" t="s">
        <v>179</v>
      </c>
      <c r="F449" t="s">
        <v>36</v>
      </c>
      <c r="G449" t="s">
        <v>956</v>
      </c>
    </row>
    <row r="450" spans="1:7" x14ac:dyDescent="0.3">
      <c r="A450" t="s">
        <v>202</v>
      </c>
      <c r="B450" s="6">
        <v>1.19301075269E-12</v>
      </c>
      <c r="D450" t="s">
        <v>8</v>
      </c>
      <c r="E450" t="s">
        <v>179</v>
      </c>
      <c r="F450" t="s">
        <v>36</v>
      </c>
      <c r="G450" t="s">
        <v>956</v>
      </c>
    </row>
    <row r="451" spans="1:7" x14ac:dyDescent="0.3">
      <c r="A451" t="s">
        <v>138</v>
      </c>
      <c r="B451" s="6">
        <v>-2.9698924729999901E-9</v>
      </c>
      <c r="D451" t="s">
        <v>8</v>
      </c>
      <c r="E451" t="s">
        <v>170</v>
      </c>
      <c r="F451" t="s">
        <v>36</v>
      </c>
      <c r="G451" t="s">
        <v>956</v>
      </c>
    </row>
    <row r="452" spans="1:7" x14ac:dyDescent="0.3">
      <c r="A452" t="s">
        <v>201</v>
      </c>
      <c r="B452" s="6">
        <v>-4.9112903226000004E-9</v>
      </c>
      <c r="D452" t="s">
        <v>8</v>
      </c>
      <c r="E452" t="s">
        <v>170</v>
      </c>
      <c r="F452" t="s">
        <v>36</v>
      </c>
      <c r="G452" t="s">
        <v>956</v>
      </c>
    </row>
    <row r="453" spans="1:7" x14ac:dyDescent="0.3">
      <c r="A453" t="s">
        <v>148</v>
      </c>
      <c r="B453" s="6">
        <v>-2.9689247311799999E-8</v>
      </c>
      <c r="D453" t="s">
        <v>8</v>
      </c>
      <c r="E453" t="s">
        <v>170</v>
      </c>
      <c r="F453" t="s">
        <v>36</v>
      </c>
      <c r="G453" t="s">
        <v>956</v>
      </c>
    </row>
    <row r="454" spans="1:7" x14ac:dyDescent="0.3">
      <c r="A454" t="s">
        <v>168</v>
      </c>
      <c r="B454" s="6">
        <v>-1.40606451613E-7</v>
      </c>
      <c r="D454" t="s">
        <v>8</v>
      </c>
      <c r="E454" t="s">
        <v>170</v>
      </c>
      <c r="F454" t="s">
        <v>36</v>
      </c>
      <c r="G454" t="s">
        <v>956</v>
      </c>
    </row>
    <row r="455" spans="1:7" x14ac:dyDescent="0.3">
      <c r="A455" t="s">
        <v>142</v>
      </c>
      <c r="B455" s="6">
        <v>-4.3834408601999998E-7</v>
      </c>
      <c r="D455" t="s">
        <v>8</v>
      </c>
      <c r="E455" t="s">
        <v>170</v>
      </c>
      <c r="F455" t="s">
        <v>36</v>
      </c>
      <c r="G455" t="s">
        <v>956</v>
      </c>
    </row>
    <row r="456" spans="1:7" x14ac:dyDescent="0.3">
      <c r="A456" t="s">
        <v>132</v>
      </c>
      <c r="B456" s="6">
        <v>-1.43161290323E-6</v>
      </c>
      <c r="D456" t="s">
        <v>8</v>
      </c>
      <c r="E456" t="s">
        <v>170</v>
      </c>
      <c r="F456" t="s">
        <v>36</v>
      </c>
      <c r="G456" t="s">
        <v>956</v>
      </c>
    </row>
    <row r="458" spans="1:7" ht="15.6" x14ac:dyDescent="0.3">
      <c r="A458" s="1" t="s">
        <v>1</v>
      </c>
      <c r="B458" s="73" t="s">
        <v>874</v>
      </c>
    </row>
    <row r="459" spans="1:7" x14ac:dyDescent="0.3">
      <c r="A459" t="s">
        <v>2</v>
      </c>
      <c r="B459" s="6" t="s">
        <v>581</v>
      </c>
    </row>
    <row r="460" spans="1:7" x14ac:dyDescent="0.3">
      <c r="A460" t="s">
        <v>3</v>
      </c>
      <c r="B460" s="6">
        <v>1</v>
      </c>
    </row>
    <row r="461" spans="1:7" x14ac:dyDescent="0.3">
      <c r="A461" t="s">
        <v>4</v>
      </c>
      <c r="B461" s="6" t="s">
        <v>1027</v>
      </c>
    </row>
    <row r="462" spans="1:7" x14ac:dyDescent="0.3">
      <c r="A462" t="s">
        <v>5</v>
      </c>
      <c r="B462" s="6" t="s">
        <v>6</v>
      </c>
    </row>
    <row r="463" spans="1:7" x14ac:dyDescent="0.3">
      <c r="A463" t="s">
        <v>9</v>
      </c>
      <c r="B463" s="6" t="s">
        <v>641</v>
      </c>
    </row>
    <row r="464" spans="1:7" x14ac:dyDescent="0.3">
      <c r="A464" t="s">
        <v>7</v>
      </c>
      <c r="B464" s="6" t="s">
        <v>8</v>
      </c>
    </row>
    <row r="465" spans="1:8" x14ac:dyDescent="0.3">
      <c r="A465" t="s">
        <v>497</v>
      </c>
      <c r="B465" s="72">
        <f>Summary!O52</f>
        <v>0.16347079589216948</v>
      </c>
    </row>
    <row r="466" spans="1:8" ht="15.6" x14ac:dyDescent="0.3">
      <c r="A466" s="1" t="s">
        <v>12</v>
      </c>
    </row>
    <row r="467" spans="1:8" x14ac:dyDescent="0.3">
      <c r="A467" t="s">
        <v>13</v>
      </c>
      <c r="B467" s="6" t="s">
        <v>14</v>
      </c>
      <c r="C467" t="s">
        <v>2</v>
      </c>
      <c r="D467" t="s">
        <v>7</v>
      </c>
      <c r="E467" t="s">
        <v>15</v>
      </c>
      <c r="F467" t="s">
        <v>5</v>
      </c>
      <c r="G467" t="s">
        <v>11</v>
      </c>
      <c r="H467" t="s">
        <v>4</v>
      </c>
    </row>
    <row r="468" spans="1:8" x14ac:dyDescent="0.3">
      <c r="A468" t="s">
        <v>874</v>
      </c>
      <c r="B468" s="6">
        <v>1</v>
      </c>
      <c r="C468" t="s">
        <v>581</v>
      </c>
      <c r="D468" t="s">
        <v>8</v>
      </c>
      <c r="E468" t="s">
        <v>669</v>
      </c>
      <c r="F468" t="s">
        <v>17</v>
      </c>
      <c r="G468" t="s">
        <v>18</v>
      </c>
      <c r="H468" s="6" t="s">
        <v>1027</v>
      </c>
    </row>
    <row r="469" spans="1:8" x14ac:dyDescent="0.3">
      <c r="A469" t="s">
        <v>871</v>
      </c>
      <c r="B469" s="3">
        <f>35.1616/B408</f>
        <v>8.6286134969325143</v>
      </c>
      <c r="C469" t="s">
        <v>581</v>
      </c>
      <c r="D469" t="s">
        <v>8</v>
      </c>
      <c r="E469" t="s">
        <v>643</v>
      </c>
      <c r="F469" t="s">
        <v>20</v>
      </c>
      <c r="G469" t="s">
        <v>18</v>
      </c>
      <c r="H469" t="s">
        <v>670</v>
      </c>
    </row>
    <row r="470" spans="1:8" x14ac:dyDescent="0.3">
      <c r="A470" t="s">
        <v>645</v>
      </c>
      <c r="B470" s="6">
        <v>1.9939199999999999</v>
      </c>
      <c r="C470" t="s">
        <v>581</v>
      </c>
      <c r="D470" t="s">
        <v>19</v>
      </c>
      <c r="E470" t="s">
        <v>646</v>
      </c>
      <c r="F470" t="s">
        <v>20</v>
      </c>
      <c r="G470" t="s">
        <v>671</v>
      </c>
      <c r="H470" t="s">
        <v>648</v>
      </c>
    </row>
    <row r="471" spans="1:8" x14ac:dyDescent="0.3">
      <c r="A471" t="s">
        <v>100</v>
      </c>
      <c r="B471" s="6">
        <v>0.27336000000000005</v>
      </c>
      <c r="C471" t="s">
        <v>633</v>
      </c>
      <c r="D471" t="s">
        <v>41</v>
      </c>
      <c r="E471" t="s">
        <v>646</v>
      </c>
      <c r="F471" t="s">
        <v>20</v>
      </c>
      <c r="G471" t="s">
        <v>654</v>
      </c>
      <c r="H471" t="s">
        <v>103</v>
      </c>
    </row>
    <row r="472" spans="1:8" x14ac:dyDescent="0.3">
      <c r="A472" t="s">
        <v>97</v>
      </c>
      <c r="B472" s="6">
        <v>0.15276000000000001</v>
      </c>
      <c r="C472" t="s">
        <v>581</v>
      </c>
      <c r="D472" t="s">
        <v>41</v>
      </c>
      <c r="E472" t="s">
        <v>646</v>
      </c>
      <c r="F472" t="s">
        <v>20</v>
      </c>
      <c r="G472" t="s">
        <v>655</v>
      </c>
      <c r="H472" t="s">
        <v>98</v>
      </c>
    </row>
    <row r="473" spans="1:8" x14ac:dyDescent="0.3">
      <c r="A473" t="s">
        <v>352</v>
      </c>
      <c r="B473" s="6">
        <v>0.36474800000000002</v>
      </c>
      <c r="C473" t="s">
        <v>581</v>
      </c>
      <c r="D473" t="s">
        <v>41</v>
      </c>
      <c r="E473" t="s">
        <v>646</v>
      </c>
      <c r="F473" t="s">
        <v>20</v>
      </c>
      <c r="G473" t="s">
        <v>676</v>
      </c>
      <c r="H473" t="s">
        <v>353</v>
      </c>
    </row>
    <row r="474" spans="1:8" x14ac:dyDescent="0.3">
      <c r="A474" t="s">
        <v>352</v>
      </c>
      <c r="B474" s="6">
        <v>0.32963999999999999</v>
      </c>
      <c r="C474" t="s">
        <v>581</v>
      </c>
      <c r="D474" t="s">
        <v>41</v>
      </c>
      <c r="E474" t="s">
        <v>646</v>
      </c>
      <c r="F474" t="s">
        <v>20</v>
      </c>
      <c r="G474" t="s">
        <v>677</v>
      </c>
      <c r="H474" t="s">
        <v>353</v>
      </c>
    </row>
    <row r="475" spans="1:8" x14ac:dyDescent="0.3">
      <c r="A475" t="s">
        <v>352</v>
      </c>
      <c r="B475" s="6">
        <v>0.1608</v>
      </c>
      <c r="C475" t="s">
        <v>581</v>
      </c>
      <c r="D475" t="s">
        <v>41</v>
      </c>
      <c r="E475" t="s">
        <v>646</v>
      </c>
      <c r="F475" t="s">
        <v>20</v>
      </c>
      <c r="G475" t="s">
        <v>678</v>
      </c>
      <c r="H475" t="s">
        <v>353</v>
      </c>
    </row>
    <row r="476" spans="1:8" x14ac:dyDescent="0.3">
      <c r="A476" t="s">
        <v>990</v>
      </c>
      <c r="B476" s="6">
        <v>1.1175600000000001</v>
      </c>
      <c r="C476" t="s">
        <v>26</v>
      </c>
      <c r="D476" t="s">
        <v>41</v>
      </c>
      <c r="E476" t="s">
        <v>646</v>
      </c>
      <c r="F476" t="s">
        <v>20</v>
      </c>
      <c r="G476" t="s">
        <v>658</v>
      </c>
      <c r="H476" t="s">
        <v>991</v>
      </c>
    </row>
    <row r="477" spans="1:8" x14ac:dyDescent="0.3">
      <c r="A477" t="s">
        <v>660</v>
      </c>
      <c r="B477" s="6">
        <v>0.21159136000000003</v>
      </c>
      <c r="C477" t="s">
        <v>633</v>
      </c>
      <c r="D477" t="s">
        <v>29</v>
      </c>
      <c r="E477" t="s">
        <v>646</v>
      </c>
      <c r="F477" t="s">
        <v>20</v>
      </c>
      <c r="G477" t="s">
        <v>671</v>
      </c>
      <c r="H477" t="s">
        <v>662</v>
      </c>
    </row>
    <row r="478" spans="1:8" x14ac:dyDescent="0.3">
      <c r="A478" t="s">
        <v>660</v>
      </c>
      <c r="B478" s="6">
        <v>3.1589696E-2</v>
      </c>
      <c r="C478" t="s">
        <v>633</v>
      </c>
      <c r="D478" t="s">
        <v>29</v>
      </c>
      <c r="E478" t="s">
        <v>646</v>
      </c>
      <c r="F478" t="s">
        <v>20</v>
      </c>
      <c r="G478" t="s">
        <v>680</v>
      </c>
      <c r="H478" t="s">
        <v>662</v>
      </c>
    </row>
    <row r="479" spans="1:8" x14ac:dyDescent="0.3">
      <c r="A479" t="s">
        <v>265</v>
      </c>
      <c r="B479" s="6">
        <f>('Cozzolini 2018'!B469*'Cozzolini 2018'!B410*(1+B398))-Parameters!$B$13</f>
        <v>2.0985209914110428</v>
      </c>
      <c r="D479" t="s">
        <v>8</v>
      </c>
      <c r="E479" t="s">
        <v>37</v>
      </c>
      <c r="F479" t="s">
        <v>36</v>
      </c>
    </row>
    <row r="481" spans="1:11" ht="15.6" x14ac:dyDescent="0.3">
      <c r="A481" s="1" t="s">
        <v>1</v>
      </c>
      <c r="B481" s="73" t="s">
        <v>666</v>
      </c>
    </row>
    <row r="482" spans="1:11" x14ac:dyDescent="0.3">
      <c r="A482" t="s">
        <v>2</v>
      </c>
      <c r="B482" s="6" t="s">
        <v>581</v>
      </c>
    </row>
    <row r="483" spans="1:11" x14ac:dyDescent="0.3">
      <c r="A483" t="s">
        <v>3</v>
      </c>
      <c r="B483" s="6">
        <v>1</v>
      </c>
    </row>
    <row r="484" spans="1:11" ht="15.6" x14ac:dyDescent="0.3">
      <c r="A484" t="s">
        <v>4</v>
      </c>
      <c r="B484" s="74" t="s">
        <v>337</v>
      </c>
    </row>
    <row r="485" spans="1:11" x14ac:dyDescent="0.3">
      <c r="A485" t="s">
        <v>9</v>
      </c>
      <c r="B485" s="6" t="s">
        <v>641</v>
      </c>
    </row>
    <row r="486" spans="1:11" x14ac:dyDescent="0.3">
      <c r="A486" t="s">
        <v>5</v>
      </c>
      <c r="B486" s="6" t="s">
        <v>6</v>
      </c>
    </row>
    <row r="487" spans="1:11" x14ac:dyDescent="0.3">
      <c r="A487" t="s">
        <v>7</v>
      </c>
      <c r="B487" s="6" t="s">
        <v>8</v>
      </c>
    </row>
    <row r="488" spans="1:11" ht="15.6" x14ac:dyDescent="0.3">
      <c r="A488" s="1" t="s">
        <v>12</v>
      </c>
    </row>
    <row r="489" spans="1:11" x14ac:dyDescent="0.3">
      <c r="A489" t="s">
        <v>13</v>
      </c>
      <c r="B489" s="6" t="s">
        <v>14</v>
      </c>
      <c r="C489" t="s">
        <v>2</v>
      </c>
      <c r="D489" t="s">
        <v>7</v>
      </c>
      <c r="E489" t="s">
        <v>15</v>
      </c>
      <c r="F489" t="s">
        <v>5</v>
      </c>
      <c r="G489" t="s">
        <v>338</v>
      </c>
      <c r="H489" t="s">
        <v>339</v>
      </c>
      <c r="I489" t="s">
        <v>16</v>
      </c>
      <c r="J489" t="s">
        <v>11</v>
      </c>
      <c r="K489" t="s">
        <v>4</v>
      </c>
    </row>
    <row r="490" spans="1:11" x14ac:dyDescent="0.3">
      <c r="A490" t="s">
        <v>666</v>
      </c>
      <c r="B490" s="6">
        <v>1</v>
      </c>
      <c r="C490" t="s">
        <v>581</v>
      </c>
      <c r="D490" t="s">
        <v>8</v>
      </c>
      <c r="F490" t="s">
        <v>17</v>
      </c>
      <c r="I490">
        <v>100</v>
      </c>
      <c r="J490" t="s">
        <v>18</v>
      </c>
      <c r="K490" t="s">
        <v>337</v>
      </c>
    </row>
    <row r="491" spans="1:11" x14ac:dyDescent="0.3">
      <c r="A491" t="s">
        <v>874</v>
      </c>
      <c r="B491" s="6">
        <v>1.00057</v>
      </c>
      <c r="C491" t="s">
        <v>581</v>
      </c>
      <c r="D491" t="s">
        <v>8</v>
      </c>
      <c r="F491" t="s">
        <v>20</v>
      </c>
      <c r="K491" s="6" t="s">
        <v>1027</v>
      </c>
    </row>
    <row r="492" spans="1:11" x14ac:dyDescent="0.3">
      <c r="A492" t="s">
        <v>28</v>
      </c>
      <c r="B492" s="6">
        <v>6.7000000000000002E-3</v>
      </c>
      <c r="C492" t="s">
        <v>581</v>
      </c>
      <c r="D492" t="s">
        <v>29</v>
      </c>
      <c r="F492" t="s">
        <v>20</v>
      </c>
      <c r="K492" t="s">
        <v>30</v>
      </c>
    </row>
    <row r="493" spans="1:11" x14ac:dyDescent="0.3">
      <c r="A493" t="s">
        <v>340</v>
      </c>
      <c r="B493" s="6">
        <v>-1.6799999999999999E-4</v>
      </c>
      <c r="C493" t="s">
        <v>633</v>
      </c>
      <c r="D493" t="s">
        <v>8</v>
      </c>
      <c r="F493" t="s">
        <v>20</v>
      </c>
      <c r="K493" t="s">
        <v>341</v>
      </c>
    </row>
    <row r="494" spans="1:11" x14ac:dyDescent="0.3">
      <c r="A494" t="s">
        <v>342</v>
      </c>
      <c r="B494" s="6">
        <v>5.8399999999999999E-4</v>
      </c>
      <c r="C494" t="s">
        <v>640</v>
      </c>
      <c r="D494" t="s">
        <v>19</v>
      </c>
      <c r="F494" t="s">
        <v>20</v>
      </c>
      <c r="K494" t="s">
        <v>343</v>
      </c>
    </row>
    <row r="495" spans="1:11" x14ac:dyDescent="0.3">
      <c r="A495" t="s">
        <v>344</v>
      </c>
      <c r="B495" s="6">
        <v>2.5999999999999998E-10</v>
      </c>
      <c r="C495" t="s">
        <v>581</v>
      </c>
      <c r="D495" t="s">
        <v>7</v>
      </c>
      <c r="F495" t="s">
        <v>20</v>
      </c>
      <c r="K495" t="s">
        <v>345</v>
      </c>
    </row>
    <row r="496" spans="1:11" x14ac:dyDescent="0.3">
      <c r="A496" t="s">
        <v>346</v>
      </c>
      <c r="B496" s="6">
        <v>-6.2700000000000001E-6</v>
      </c>
      <c r="C496" t="s">
        <v>640</v>
      </c>
      <c r="D496" t="s">
        <v>8</v>
      </c>
      <c r="F496" t="s">
        <v>20</v>
      </c>
      <c r="K496" t="s">
        <v>347</v>
      </c>
    </row>
    <row r="497" spans="1:11" x14ac:dyDescent="0.3">
      <c r="A497" t="s">
        <v>348</v>
      </c>
      <c r="B497" s="6">
        <v>-7.4999999999999993E-5</v>
      </c>
      <c r="C497" t="s">
        <v>633</v>
      </c>
      <c r="D497" t="s">
        <v>121</v>
      </c>
      <c r="F497" t="s">
        <v>20</v>
      </c>
      <c r="K497" t="s">
        <v>349</v>
      </c>
    </row>
    <row r="498" spans="1:11" x14ac:dyDescent="0.3">
      <c r="A498" t="s">
        <v>350</v>
      </c>
      <c r="B498" s="6">
        <v>6.8900000000000005E-4</v>
      </c>
      <c r="C498" t="s">
        <v>633</v>
      </c>
      <c r="D498" t="s">
        <v>8</v>
      </c>
      <c r="F498" t="s">
        <v>20</v>
      </c>
      <c r="K498" t="s">
        <v>351</v>
      </c>
    </row>
    <row r="499" spans="1:11" x14ac:dyDescent="0.3">
      <c r="A499" t="s">
        <v>100</v>
      </c>
      <c r="B499" s="6">
        <v>3.3599999999999998E-2</v>
      </c>
      <c r="C499" t="s">
        <v>633</v>
      </c>
      <c r="D499" t="s">
        <v>41</v>
      </c>
      <c r="F499" t="s">
        <v>20</v>
      </c>
      <c r="K499" t="s">
        <v>103</v>
      </c>
    </row>
    <row r="500" spans="1:11" x14ac:dyDescent="0.3">
      <c r="A500" t="s">
        <v>352</v>
      </c>
      <c r="B500" s="6">
        <v>3.2599999999999997E-2</v>
      </c>
      <c r="C500" t="s">
        <v>581</v>
      </c>
      <c r="D500" t="s">
        <v>41</v>
      </c>
      <c r="F500" t="s">
        <v>20</v>
      </c>
      <c r="K500" t="s">
        <v>353</v>
      </c>
    </row>
    <row r="501" spans="1:11" x14ac:dyDescent="0.3">
      <c r="A501" t="s">
        <v>354</v>
      </c>
      <c r="B501" s="6">
        <v>-6.8899999999999999E-7</v>
      </c>
      <c r="C501" t="s">
        <v>633</v>
      </c>
      <c r="D501" t="s">
        <v>121</v>
      </c>
      <c r="F501" t="s">
        <v>20</v>
      </c>
      <c r="K501" t="s">
        <v>355</v>
      </c>
    </row>
    <row r="502" spans="1:11" ht="16.2" customHeight="1" x14ac:dyDescent="0.3">
      <c r="A502" s="1"/>
      <c r="B502" s="73"/>
    </row>
    <row r="503" spans="1:11" ht="15.6" x14ac:dyDescent="0.3">
      <c r="A503" s="1" t="s">
        <v>1</v>
      </c>
      <c r="B503" s="73" t="s">
        <v>69</v>
      </c>
    </row>
    <row r="504" spans="1:11" x14ac:dyDescent="0.3">
      <c r="A504" t="s">
        <v>2</v>
      </c>
      <c r="B504" s="6" t="s">
        <v>581</v>
      </c>
    </row>
    <row r="505" spans="1:11" x14ac:dyDescent="0.3">
      <c r="A505" t="s">
        <v>3</v>
      </c>
      <c r="B505" s="6">
        <v>1</v>
      </c>
    </row>
    <row r="506" spans="1:11" x14ac:dyDescent="0.3">
      <c r="A506" t="s">
        <v>4</v>
      </c>
      <c r="B506" s="6" t="s">
        <v>877</v>
      </c>
    </row>
    <row r="507" spans="1:11" x14ac:dyDescent="0.3">
      <c r="A507" t="s">
        <v>5</v>
      </c>
      <c r="B507" s="6" t="s">
        <v>6</v>
      </c>
    </row>
    <row r="508" spans="1:11" x14ac:dyDescent="0.3">
      <c r="A508" t="s">
        <v>7</v>
      </c>
      <c r="B508" s="6" t="s">
        <v>8</v>
      </c>
    </row>
    <row r="509" spans="1:11" x14ac:dyDescent="0.3">
      <c r="A509" t="s">
        <v>9</v>
      </c>
      <c r="B509" s="6" t="s">
        <v>641</v>
      </c>
    </row>
    <row r="510" spans="1:11" x14ac:dyDescent="0.3">
      <c r="A510" t="s">
        <v>850</v>
      </c>
      <c r="B510" s="6">
        <v>19</v>
      </c>
    </row>
    <row r="511" spans="1:11" x14ac:dyDescent="0.3">
      <c r="A511" t="s">
        <v>856</v>
      </c>
      <c r="B511" s="6">
        <v>0</v>
      </c>
    </row>
    <row r="512" spans="1:11" x14ac:dyDescent="0.3">
      <c r="A512" t="s">
        <v>11</v>
      </c>
      <c r="B512" s="6" t="s">
        <v>1053</v>
      </c>
    </row>
    <row r="513" spans="1:8" ht="15.6" x14ac:dyDescent="0.3">
      <c r="A513" s="1" t="s">
        <v>12</v>
      </c>
    </row>
    <row r="514" spans="1:8" x14ac:dyDescent="0.3">
      <c r="A514" t="s">
        <v>13</v>
      </c>
      <c r="B514" s="6" t="s">
        <v>14</v>
      </c>
      <c r="C514" t="s">
        <v>2</v>
      </c>
      <c r="D514" t="s">
        <v>7</v>
      </c>
      <c r="E514" t="s">
        <v>15</v>
      </c>
      <c r="F514" t="s">
        <v>5</v>
      </c>
      <c r="G514" t="s">
        <v>11</v>
      </c>
      <c r="H514" t="s">
        <v>4</v>
      </c>
    </row>
    <row r="515" spans="1:8" x14ac:dyDescent="0.3">
      <c r="A515" t="s">
        <v>69</v>
      </c>
      <c r="B515" s="6">
        <v>1</v>
      </c>
      <c r="C515" t="s">
        <v>581</v>
      </c>
      <c r="D515" t="s">
        <v>8</v>
      </c>
      <c r="E515" t="s">
        <v>839</v>
      </c>
      <c r="F515" t="s">
        <v>17</v>
      </c>
      <c r="G515" t="s">
        <v>18</v>
      </c>
      <c r="H515" t="s">
        <v>877</v>
      </c>
    </row>
    <row r="516" spans="1:8" x14ac:dyDescent="0.3">
      <c r="A516" t="s">
        <v>69</v>
      </c>
      <c r="B516" s="6">
        <v>0.14000000000000001</v>
      </c>
      <c r="C516" t="s">
        <v>581</v>
      </c>
      <c r="D516" t="s">
        <v>8</v>
      </c>
      <c r="E516" t="s">
        <v>839</v>
      </c>
      <c r="F516" t="s">
        <v>20</v>
      </c>
      <c r="G516" t="s">
        <v>18</v>
      </c>
      <c r="H516" t="s">
        <v>877</v>
      </c>
    </row>
    <row r="517" spans="1:8" x14ac:dyDescent="0.3">
      <c r="A517" t="s">
        <v>22</v>
      </c>
      <c r="B517" s="6">
        <f>132180*Parameters!$B$3/1000</f>
        <v>0.13945728886199998</v>
      </c>
      <c r="C517" t="s">
        <v>26</v>
      </c>
      <c r="D517" t="s">
        <v>19</v>
      </c>
      <c r="F517" t="s">
        <v>20</v>
      </c>
      <c r="G517" t="s">
        <v>60</v>
      </c>
      <c r="H517" t="s">
        <v>23</v>
      </c>
    </row>
    <row r="518" spans="1:8" x14ac:dyDescent="0.3">
      <c r="A518" t="s">
        <v>97</v>
      </c>
      <c r="B518" s="6">
        <v>2</v>
      </c>
      <c r="C518" t="s">
        <v>581</v>
      </c>
      <c r="D518" t="s">
        <v>41</v>
      </c>
      <c r="E518" t="s">
        <v>643</v>
      </c>
      <c r="F518" t="s">
        <v>20</v>
      </c>
      <c r="G518" t="s">
        <v>18</v>
      </c>
      <c r="H518" t="s">
        <v>98</v>
      </c>
    </row>
    <row r="519" spans="1:8" x14ac:dyDescent="0.3">
      <c r="A519" t="s">
        <v>352</v>
      </c>
      <c r="B519" s="6">
        <v>0.5</v>
      </c>
      <c r="C519" t="s">
        <v>581</v>
      </c>
      <c r="D519" t="s">
        <v>41</v>
      </c>
      <c r="E519" t="s">
        <v>643</v>
      </c>
      <c r="F519" t="s">
        <v>20</v>
      </c>
      <c r="G519" t="s">
        <v>18</v>
      </c>
      <c r="H519" t="s">
        <v>353</v>
      </c>
    </row>
    <row r="520" spans="1:8" x14ac:dyDescent="0.3">
      <c r="A520" t="s">
        <v>108</v>
      </c>
      <c r="B520" s="6">
        <f>B510*(1-B511)</f>
        <v>19</v>
      </c>
      <c r="D520" t="s">
        <v>19</v>
      </c>
      <c r="E520" t="s">
        <v>112</v>
      </c>
      <c r="F520" t="s">
        <v>36</v>
      </c>
      <c r="G520" t="s">
        <v>804</v>
      </c>
    </row>
    <row r="521" spans="1:8" x14ac:dyDescent="0.3">
      <c r="A521" t="s">
        <v>1046</v>
      </c>
      <c r="B521" s="6">
        <f>0.496*(44/12)*(1-B511)</f>
        <v>1.8186666666666667</v>
      </c>
      <c r="D521" t="s">
        <v>8</v>
      </c>
      <c r="E521" t="s">
        <v>1047</v>
      </c>
      <c r="F521" t="s">
        <v>36</v>
      </c>
      <c r="G521" t="s">
        <v>879</v>
      </c>
    </row>
    <row r="522" spans="1:8" x14ac:dyDescent="0.3">
      <c r="A522" t="s">
        <v>211</v>
      </c>
      <c r="B522" s="6">
        <v>2.3256000000000001E-3</v>
      </c>
      <c r="D522" t="s">
        <v>121</v>
      </c>
      <c r="E522" t="s">
        <v>112</v>
      </c>
      <c r="F522" t="s">
        <v>36</v>
      </c>
      <c r="G522" t="s">
        <v>210</v>
      </c>
    </row>
    <row r="524" spans="1:8" ht="15.6" x14ac:dyDescent="0.3">
      <c r="A524" s="1" t="s">
        <v>1</v>
      </c>
      <c r="B524" s="73" t="s">
        <v>400</v>
      </c>
    </row>
    <row r="525" spans="1:8" x14ac:dyDescent="0.3">
      <c r="A525" t="s">
        <v>2</v>
      </c>
      <c r="B525" s="6" t="s">
        <v>581</v>
      </c>
    </row>
    <row r="526" spans="1:8" x14ac:dyDescent="0.3">
      <c r="A526" t="s">
        <v>3</v>
      </c>
      <c r="B526" s="6">
        <v>1</v>
      </c>
    </row>
    <row r="527" spans="1:8" ht="15.6" x14ac:dyDescent="0.3">
      <c r="A527" t="s">
        <v>4</v>
      </c>
      <c r="B527" s="74" t="s">
        <v>1028</v>
      </c>
    </row>
    <row r="528" spans="1:8" x14ac:dyDescent="0.3">
      <c r="A528" t="s">
        <v>5</v>
      </c>
      <c r="B528" s="6" t="s">
        <v>6</v>
      </c>
    </row>
    <row r="529" spans="1:8" x14ac:dyDescent="0.3">
      <c r="A529" t="s">
        <v>7</v>
      </c>
      <c r="B529" s="6" t="s">
        <v>8</v>
      </c>
    </row>
    <row r="530" spans="1:8" x14ac:dyDescent="0.3">
      <c r="A530" t="s">
        <v>9</v>
      </c>
      <c r="B530" s="6" t="s">
        <v>641</v>
      </c>
    </row>
    <row r="531" spans="1:8" x14ac:dyDescent="0.3">
      <c r="A531" t="s">
        <v>497</v>
      </c>
      <c r="B531" s="72">
        <f>Summary!O53</f>
        <v>0.21942979280863237</v>
      </c>
    </row>
    <row r="532" spans="1:8" ht="15.6" x14ac:dyDescent="0.3">
      <c r="A532" s="1" t="s">
        <v>12</v>
      </c>
    </row>
    <row r="533" spans="1:8" x14ac:dyDescent="0.3">
      <c r="A533" t="s">
        <v>13</v>
      </c>
      <c r="B533" s="6" t="s">
        <v>14</v>
      </c>
      <c r="C533" t="s">
        <v>2</v>
      </c>
      <c r="D533" t="s">
        <v>7</v>
      </c>
      <c r="E533" t="s">
        <v>15</v>
      </c>
      <c r="F533" t="s">
        <v>5</v>
      </c>
      <c r="G533" t="s">
        <v>11</v>
      </c>
      <c r="H533" t="s">
        <v>4</v>
      </c>
    </row>
    <row r="534" spans="1:8" ht="15.6" x14ac:dyDescent="0.3">
      <c r="A534" s="2" t="s">
        <v>400</v>
      </c>
      <c r="B534" s="6">
        <v>1</v>
      </c>
      <c r="C534" t="s">
        <v>581</v>
      </c>
      <c r="D534" t="s">
        <v>8</v>
      </c>
      <c r="E534" t="s">
        <v>691</v>
      </c>
      <c r="F534" t="s">
        <v>17</v>
      </c>
      <c r="G534" t="s">
        <v>18</v>
      </c>
      <c r="H534" s="74" t="s">
        <v>1028</v>
      </c>
    </row>
    <row r="535" spans="1:8" ht="15.6" x14ac:dyDescent="0.3">
      <c r="A535" s="2" t="s">
        <v>69</v>
      </c>
      <c r="B535" s="6">
        <f>58.6/B520</f>
        <v>3.0842105263157897</v>
      </c>
      <c r="C535" t="s">
        <v>581</v>
      </c>
      <c r="D535" t="s">
        <v>8</v>
      </c>
      <c r="F535" t="s">
        <v>20</v>
      </c>
      <c r="H535" t="s">
        <v>877</v>
      </c>
    </row>
    <row r="536" spans="1:8" x14ac:dyDescent="0.3">
      <c r="A536" t="s">
        <v>692</v>
      </c>
      <c r="B536" s="6">
        <v>0.13935999999999998</v>
      </c>
      <c r="C536" t="s">
        <v>581</v>
      </c>
      <c r="D536" t="s">
        <v>8</v>
      </c>
      <c r="E536" t="s">
        <v>643</v>
      </c>
      <c r="F536" t="s">
        <v>20</v>
      </c>
      <c r="G536" t="s">
        <v>18</v>
      </c>
      <c r="H536" t="s">
        <v>693</v>
      </c>
    </row>
    <row r="537" spans="1:8" x14ac:dyDescent="0.3">
      <c r="A537" t="s">
        <v>388</v>
      </c>
      <c r="B537" s="6">
        <v>2.4120000000000001E-4</v>
      </c>
      <c r="C537" t="s">
        <v>26</v>
      </c>
      <c r="D537" t="s">
        <v>8</v>
      </c>
      <c r="E537" t="s">
        <v>643</v>
      </c>
      <c r="F537" t="s">
        <v>20</v>
      </c>
      <c r="G537" t="s">
        <v>18</v>
      </c>
      <c r="H537" t="s">
        <v>389</v>
      </c>
    </row>
    <row r="538" spans="1:8" x14ac:dyDescent="0.3">
      <c r="A538" t="s">
        <v>100</v>
      </c>
      <c r="B538" s="6">
        <v>0.23315999999999998</v>
      </c>
      <c r="C538" t="s">
        <v>633</v>
      </c>
      <c r="D538" t="s">
        <v>41</v>
      </c>
      <c r="E538" t="s">
        <v>646</v>
      </c>
      <c r="F538" t="s">
        <v>20</v>
      </c>
      <c r="G538" t="s">
        <v>18</v>
      </c>
      <c r="H538" t="s">
        <v>103</v>
      </c>
    </row>
    <row r="539" spans="1:8" x14ac:dyDescent="0.3">
      <c r="A539" t="s">
        <v>97</v>
      </c>
      <c r="B539" s="6">
        <v>9.3800000000000008E-2</v>
      </c>
      <c r="C539" t="s">
        <v>581</v>
      </c>
      <c r="D539" t="s">
        <v>41</v>
      </c>
      <c r="E539" t="s">
        <v>646</v>
      </c>
      <c r="F539" t="s">
        <v>20</v>
      </c>
      <c r="G539" t="s">
        <v>18</v>
      </c>
      <c r="H539" t="s">
        <v>98</v>
      </c>
    </row>
    <row r="540" spans="1:8" x14ac:dyDescent="0.3">
      <c r="A540" t="s">
        <v>352</v>
      </c>
      <c r="B540" s="6">
        <v>2.2868976000000001</v>
      </c>
      <c r="C540" t="s">
        <v>581</v>
      </c>
      <c r="D540" t="s">
        <v>41</v>
      </c>
      <c r="E540" t="s">
        <v>646</v>
      </c>
      <c r="F540" t="s">
        <v>20</v>
      </c>
      <c r="G540" t="s">
        <v>694</v>
      </c>
      <c r="H540" t="s">
        <v>353</v>
      </c>
    </row>
    <row r="541" spans="1:8" x14ac:dyDescent="0.3">
      <c r="A541" t="s">
        <v>352</v>
      </c>
      <c r="B541" s="6">
        <v>0.20099999999999998</v>
      </c>
      <c r="C541" t="s">
        <v>581</v>
      </c>
      <c r="D541" t="s">
        <v>41</v>
      </c>
      <c r="E541" t="s">
        <v>646</v>
      </c>
      <c r="F541" t="s">
        <v>20</v>
      </c>
      <c r="G541" t="s">
        <v>18</v>
      </c>
      <c r="H541" t="s">
        <v>353</v>
      </c>
    </row>
    <row r="542" spans="1:8" x14ac:dyDescent="0.3">
      <c r="A542" t="s">
        <v>990</v>
      </c>
      <c r="B542" s="6">
        <v>0.68071999999999999</v>
      </c>
      <c r="C542" t="s">
        <v>26</v>
      </c>
      <c r="D542" t="s">
        <v>41</v>
      </c>
      <c r="E542" t="s">
        <v>646</v>
      </c>
      <c r="F542" t="s">
        <v>20</v>
      </c>
      <c r="G542" t="s">
        <v>18</v>
      </c>
      <c r="H542" t="s">
        <v>991</v>
      </c>
    </row>
    <row r="543" spans="1:8" x14ac:dyDescent="0.3">
      <c r="A543" t="s">
        <v>990</v>
      </c>
      <c r="B543" s="6">
        <v>8.819075999999999</v>
      </c>
      <c r="C543" t="s">
        <v>26</v>
      </c>
      <c r="D543" t="s">
        <v>41</v>
      </c>
      <c r="E543" t="s">
        <v>646</v>
      </c>
      <c r="F543" t="s">
        <v>20</v>
      </c>
      <c r="G543" t="s">
        <v>18</v>
      </c>
      <c r="H543" t="s">
        <v>991</v>
      </c>
    </row>
    <row r="544" spans="1:8" x14ac:dyDescent="0.3">
      <c r="A544" t="s">
        <v>660</v>
      </c>
      <c r="B544" s="6">
        <v>3.1589696E-2</v>
      </c>
      <c r="C544" t="s">
        <v>633</v>
      </c>
      <c r="D544" t="s">
        <v>29</v>
      </c>
      <c r="E544" t="s">
        <v>646</v>
      </c>
      <c r="F544" t="s">
        <v>20</v>
      </c>
      <c r="G544" t="s">
        <v>18</v>
      </c>
      <c r="H544" t="s">
        <v>662</v>
      </c>
    </row>
    <row r="545" spans="1:11" x14ac:dyDescent="0.3">
      <c r="A545" t="s">
        <v>265</v>
      </c>
      <c r="B545" s="6">
        <f>('Cozzolini 2018'!B535*'Cozzolini 2018'!B521*(1+B516))-Parameters!$B$13</f>
        <v>4.4804320000000013</v>
      </c>
      <c r="D545" t="s">
        <v>8</v>
      </c>
      <c r="E545" t="s">
        <v>37</v>
      </c>
      <c r="F545" t="s">
        <v>36</v>
      </c>
    </row>
    <row r="547" spans="1:11" ht="15.6" x14ac:dyDescent="0.3">
      <c r="A547" s="1" t="s">
        <v>1</v>
      </c>
      <c r="B547" s="73" t="s">
        <v>690</v>
      </c>
    </row>
    <row r="548" spans="1:11" x14ac:dyDescent="0.3">
      <c r="A548" t="s">
        <v>2</v>
      </c>
      <c r="B548" s="6" t="s">
        <v>581</v>
      </c>
    </row>
    <row r="549" spans="1:11" x14ac:dyDescent="0.3">
      <c r="A549" t="s">
        <v>3</v>
      </c>
      <c r="B549" s="6">
        <v>1</v>
      </c>
    </row>
    <row r="550" spans="1:11" ht="15.6" x14ac:dyDescent="0.3">
      <c r="A550" t="s">
        <v>4</v>
      </c>
      <c r="B550" s="74" t="s">
        <v>337</v>
      </c>
    </row>
    <row r="551" spans="1:11" x14ac:dyDescent="0.3">
      <c r="A551" t="s">
        <v>9</v>
      </c>
      <c r="B551" s="6" t="s">
        <v>641</v>
      </c>
    </row>
    <row r="552" spans="1:11" x14ac:dyDescent="0.3">
      <c r="A552" t="s">
        <v>5</v>
      </c>
      <c r="B552" s="6" t="s">
        <v>6</v>
      </c>
    </row>
    <row r="553" spans="1:11" x14ac:dyDescent="0.3">
      <c r="A553" t="s">
        <v>7</v>
      </c>
      <c r="B553" s="6" t="s">
        <v>8</v>
      </c>
    </row>
    <row r="554" spans="1:11" ht="15.6" x14ac:dyDescent="0.3">
      <c r="A554" s="1" t="s">
        <v>12</v>
      </c>
    </row>
    <row r="555" spans="1:11" x14ac:dyDescent="0.3">
      <c r="A555" t="s">
        <v>13</v>
      </c>
      <c r="B555" s="6" t="s">
        <v>14</v>
      </c>
      <c r="C555" t="s">
        <v>2</v>
      </c>
      <c r="D555" t="s">
        <v>7</v>
      </c>
      <c r="E555" t="s">
        <v>15</v>
      </c>
      <c r="F555" t="s">
        <v>5</v>
      </c>
      <c r="G555" t="s">
        <v>338</v>
      </c>
      <c r="H555" t="s">
        <v>339</v>
      </c>
      <c r="I555" t="s">
        <v>16</v>
      </c>
      <c r="J555" t="s">
        <v>11</v>
      </c>
      <c r="K555" t="s">
        <v>4</v>
      </c>
    </row>
    <row r="556" spans="1:11" x14ac:dyDescent="0.3">
      <c r="A556" t="s">
        <v>690</v>
      </c>
      <c r="B556" s="6">
        <v>1</v>
      </c>
      <c r="C556" t="s">
        <v>581</v>
      </c>
      <c r="D556" t="s">
        <v>8</v>
      </c>
      <c r="F556" t="s">
        <v>17</v>
      </c>
      <c r="I556">
        <v>100</v>
      </c>
      <c r="J556" t="s">
        <v>18</v>
      </c>
      <c r="K556" t="s">
        <v>337</v>
      </c>
    </row>
    <row r="557" spans="1:11" ht="15.6" x14ac:dyDescent="0.3">
      <c r="A557" s="2" t="s">
        <v>400</v>
      </c>
      <c r="B557" s="6">
        <v>1.00057</v>
      </c>
      <c r="C557" t="s">
        <v>581</v>
      </c>
      <c r="D557" t="s">
        <v>8</v>
      </c>
      <c r="F557" t="s">
        <v>20</v>
      </c>
      <c r="K557" s="74" t="s">
        <v>1028</v>
      </c>
    </row>
    <row r="558" spans="1:11" x14ac:dyDescent="0.3">
      <c r="A558" t="s">
        <v>28</v>
      </c>
      <c r="B558" s="6">
        <v>6.7000000000000002E-3</v>
      </c>
      <c r="C558" t="s">
        <v>581</v>
      </c>
      <c r="D558" t="s">
        <v>29</v>
      </c>
      <c r="F558" t="s">
        <v>20</v>
      </c>
      <c r="K558" t="s">
        <v>30</v>
      </c>
    </row>
    <row r="559" spans="1:11" x14ac:dyDescent="0.3">
      <c r="A559" t="s">
        <v>340</v>
      </c>
      <c r="B559" s="6">
        <v>-1.6799999999999999E-4</v>
      </c>
      <c r="C559" t="s">
        <v>633</v>
      </c>
      <c r="D559" t="s">
        <v>8</v>
      </c>
      <c r="F559" t="s">
        <v>20</v>
      </c>
      <c r="K559" t="s">
        <v>341</v>
      </c>
    </row>
    <row r="560" spans="1:11" x14ac:dyDescent="0.3">
      <c r="A560" t="s">
        <v>342</v>
      </c>
      <c r="B560" s="6">
        <v>5.8399999999999999E-4</v>
      </c>
      <c r="C560" t="s">
        <v>640</v>
      </c>
      <c r="D560" t="s">
        <v>19</v>
      </c>
      <c r="F560" t="s">
        <v>20</v>
      </c>
      <c r="K560" t="s">
        <v>343</v>
      </c>
    </row>
    <row r="561" spans="1:11" x14ac:dyDescent="0.3">
      <c r="A561" t="s">
        <v>344</v>
      </c>
      <c r="B561" s="6">
        <v>2.5999999999999998E-10</v>
      </c>
      <c r="C561" t="s">
        <v>581</v>
      </c>
      <c r="D561" t="s">
        <v>7</v>
      </c>
      <c r="F561" t="s">
        <v>20</v>
      </c>
      <c r="K561" t="s">
        <v>345</v>
      </c>
    </row>
    <row r="562" spans="1:11" x14ac:dyDescent="0.3">
      <c r="A562" t="s">
        <v>346</v>
      </c>
      <c r="B562" s="6">
        <v>-6.2700000000000001E-6</v>
      </c>
      <c r="C562" t="s">
        <v>640</v>
      </c>
      <c r="D562" t="s">
        <v>8</v>
      </c>
      <c r="F562" t="s">
        <v>20</v>
      </c>
      <c r="K562" t="s">
        <v>347</v>
      </c>
    </row>
    <row r="563" spans="1:11" x14ac:dyDescent="0.3">
      <c r="A563" t="s">
        <v>348</v>
      </c>
      <c r="B563" s="6">
        <v>-7.4999999999999993E-5</v>
      </c>
      <c r="C563" t="s">
        <v>633</v>
      </c>
      <c r="D563" t="s">
        <v>121</v>
      </c>
      <c r="F563" t="s">
        <v>20</v>
      </c>
      <c r="K563" t="s">
        <v>349</v>
      </c>
    </row>
    <row r="564" spans="1:11" x14ac:dyDescent="0.3">
      <c r="A564" t="s">
        <v>350</v>
      </c>
      <c r="B564" s="6">
        <v>6.8900000000000005E-4</v>
      </c>
      <c r="C564" t="s">
        <v>633</v>
      </c>
      <c r="D564" t="s">
        <v>8</v>
      </c>
      <c r="F564" t="s">
        <v>20</v>
      </c>
      <c r="K564" t="s">
        <v>351</v>
      </c>
    </row>
    <row r="565" spans="1:11" x14ac:dyDescent="0.3">
      <c r="A565" t="s">
        <v>100</v>
      </c>
      <c r="B565" s="6">
        <v>3.3599999999999998E-2</v>
      </c>
      <c r="C565" t="s">
        <v>633</v>
      </c>
      <c r="D565" t="s">
        <v>41</v>
      </c>
      <c r="F565" t="s">
        <v>20</v>
      </c>
      <c r="K565" t="s">
        <v>103</v>
      </c>
    </row>
    <row r="566" spans="1:11" x14ac:dyDescent="0.3">
      <c r="A566" t="s">
        <v>352</v>
      </c>
      <c r="B566" s="6">
        <v>3.2599999999999997E-2</v>
      </c>
      <c r="C566" t="s">
        <v>581</v>
      </c>
      <c r="D566" t="s">
        <v>41</v>
      </c>
      <c r="F566" t="s">
        <v>20</v>
      </c>
      <c r="K566" t="s">
        <v>353</v>
      </c>
    </row>
    <row r="567" spans="1:11" x14ac:dyDescent="0.3">
      <c r="A567" t="s">
        <v>354</v>
      </c>
      <c r="B567" s="6">
        <v>-6.8899999999999999E-7</v>
      </c>
      <c r="C567" t="s">
        <v>633</v>
      </c>
      <c r="D567" t="s">
        <v>121</v>
      </c>
      <c r="F567" t="s">
        <v>20</v>
      </c>
      <c r="K567" t="s">
        <v>355</v>
      </c>
    </row>
    <row r="568" spans="1:11" ht="16.2" customHeight="1" x14ac:dyDescent="0.3">
      <c r="A568" s="1"/>
      <c r="B568" s="73"/>
    </row>
    <row r="569" spans="1:11" ht="15.6" x14ac:dyDescent="0.3">
      <c r="A569" s="1" t="s">
        <v>1</v>
      </c>
      <c r="B569" s="73" t="s">
        <v>884</v>
      </c>
    </row>
    <row r="570" spans="1:11" x14ac:dyDescent="0.3">
      <c r="A570" t="s">
        <v>2</v>
      </c>
      <c r="B570" s="6" t="s">
        <v>581</v>
      </c>
    </row>
    <row r="571" spans="1:11" x14ac:dyDescent="0.3">
      <c r="A571" t="s">
        <v>3</v>
      </c>
      <c r="B571" s="6">
        <v>1</v>
      </c>
    </row>
    <row r="572" spans="1:11" x14ac:dyDescent="0.3">
      <c r="A572" t="s">
        <v>4</v>
      </c>
      <c r="B572" s="6" t="s">
        <v>823</v>
      </c>
    </row>
    <row r="573" spans="1:11" x14ac:dyDescent="0.3">
      <c r="A573" t="s">
        <v>9</v>
      </c>
      <c r="B573" s="6" t="s">
        <v>641</v>
      </c>
    </row>
    <row r="574" spans="1:11" x14ac:dyDescent="0.3">
      <c r="A574" t="s">
        <v>5</v>
      </c>
      <c r="B574" s="6" t="s">
        <v>6</v>
      </c>
    </row>
    <row r="575" spans="1:11" x14ac:dyDescent="0.3">
      <c r="A575" t="s">
        <v>7</v>
      </c>
      <c r="B575" s="6" t="s">
        <v>8</v>
      </c>
    </row>
    <row r="576" spans="1:11" x14ac:dyDescent="0.3">
      <c r="A576" t="s">
        <v>850</v>
      </c>
      <c r="B576" s="6">
        <v>39.6</v>
      </c>
    </row>
    <row r="577" spans="1:8" ht="15.6" x14ac:dyDescent="0.3">
      <c r="A577" s="1" t="s">
        <v>12</v>
      </c>
    </row>
    <row r="578" spans="1:8" x14ac:dyDescent="0.3">
      <c r="A578" t="s">
        <v>13</v>
      </c>
      <c r="B578" s="6" t="s">
        <v>14</v>
      </c>
      <c r="C578" t="s">
        <v>2</v>
      </c>
      <c r="D578" t="s">
        <v>7</v>
      </c>
      <c r="E578" t="s">
        <v>15</v>
      </c>
      <c r="F578" t="s">
        <v>5</v>
      </c>
      <c r="G578" t="s">
        <v>11</v>
      </c>
      <c r="H578" t="s">
        <v>4</v>
      </c>
    </row>
    <row r="579" spans="1:8" x14ac:dyDescent="0.3">
      <c r="A579" t="s">
        <v>884</v>
      </c>
      <c r="B579" s="6">
        <v>1</v>
      </c>
      <c r="C579" t="s">
        <v>581</v>
      </c>
      <c r="D579" t="s">
        <v>8</v>
      </c>
      <c r="E579" t="s">
        <v>711</v>
      </c>
      <c r="F579" t="s">
        <v>17</v>
      </c>
      <c r="G579" t="s">
        <v>18</v>
      </c>
      <c r="H579" t="s">
        <v>823</v>
      </c>
    </row>
    <row r="580" spans="1:8" x14ac:dyDescent="0.3">
      <c r="A580" t="s">
        <v>108</v>
      </c>
      <c r="B580" s="6">
        <v>39.6</v>
      </c>
      <c r="D580" t="s">
        <v>19</v>
      </c>
      <c r="E580" t="s">
        <v>112</v>
      </c>
      <c r="F580" t="s">
        <v>36</v>
      </c>
      <c r="G580" t="s">
        <v>804</v>
      </c>
    </row>
    <row r="581" spans="1:8" x14ac:dyDescent="0.3">
      <c r="A581" t="s">
        <v>805</v>
      </c>
      <c r="B581" s="6">
        <v>1.0246</v>
      </c>
      <c r="C581" t="s">
        <v>26</v>
      </c>
      <c r="D581" t="s">
        <v>8</v>
      </c>
      <c r="F581" t="s">
        <v>20</v>
      </c>
      <c r="G581" t="s">
        <v>806</v>
      </c>
      <c r="H581" t="s">
        <v>807</v>
      </c>
    </row>
    <row r="582" spans="1:8" x14ac:dyDescent="0.3">
      <c r="A582" t="s">
        <v>645</v>
      </c>
      <c r="B582" s="6">
        <v>0.15840000000000001</v>
      </c>
      <c r="C582" t="s">
        <v>581</v>
      </c>
      <c r="D582" t="s">
        <v>19</v>
      </c>
      <c r="E582" t="s">
        <v>643</v>
      </c>
      <c r="F582" t="s">
        <v>20</v>
      </c>
      <c r="G582" t="s">
        <v>790</v>
      </c>
      <c r="H582" t="s">
        <v>648</v>
      </c>
    </row>
    <row r="583" spans="1:8" x14ac:dyDescent="0.3">
      <c r="A583" t="s">
        <v>717</v>
      </c>
      <c r="B583" s="6">
        <v>1.2672E-3</v>
      </c>
      <c r="C583" t="s">
        <v>26</v>
      </c>
      <c r="D583" t="s">
        <v>8</v>
      </c>
      <c r="E583" t="s">
        <v>643</v>
      </c>
      <c r="F583" t="s">
        <v>20</v>
      </c>
      <c r="G583" t="s">
        <v>790</v>
      </c>
      <c r="H583" t="s">
        <v>718</v>
      </c>
    </row>
    <row r="584" spans="1:8" x14ac:dyDescent="0.3">
      <c r="A584" t="s">
        <v>388</v>
      </c>
      <c r="B584" s="6">
        <v>3.4848000000000001E-3</v>
      </c>
      <c r="C584" t="s">
        <v>26</v>
      </c>
      <c r="D584" t="s">
        <v>8</v>
      </c>
      <c r="E584" t="s">
        <v>643</v>
      </c>
      <c r="F584" t="s">
        <v>20</v>
      </c>
      <c r="G584" t="s">
        <v>790</v>
      </c>
      <c r="H584" t="s">
        <v>389</v>
      </c>
    </row>
    <row r="585" spans="1:8" x14ac:dyDescent="0.3">
      <c r="A585" t="s">
        <v>352</v>
      </c>
      <c r="B585" s="6">
        <v>0.11484</v>
      </c>
      <c r="C585" t="s">
        <v>581</v>
      </c>
      <c r="D585" t="s">
        <v>41</v>
      </c>
      <c r="E585" t="s">
        <v>646</v>
      </c>
      <c r="F585" t="s">
        <v>20</v>
      </c>
      <c r="G585" t="s">
        <v>808</v>
      </c>
      <c r="H585" t="s">
        <v>353</v>
      </c>
    </row>
    <row r="586" spans="1:8" x14ac:dyDescent="0.3">
      <c r="A586" t="s">
        <v>990</v>
      </c>
      <c r="B586" s="6">
        <v>7.4923200000000003</v>
      </c>
      <c r="C586" t="s">
        <v>26</v>
      </c>
      <c r="D586" t="s">
        <v>41</v>
      </c>
      <c r="E586" t="s">
        <v>646</v>
      </c>
      <c r="F586" t="s">
        <v>20</v>
      </c>
      <c r="G586" t="s">
        <v>809</v>
      </c>
      <c r="H586" t="s">
        <v>991</v>
      </c>
    </row>
    <row r="587" spans="1:8" x14ac:dyDescent="0.3">
      <c r="A587" t="s">
        <v>660</v>
      </c>
      <c r="B587" s="6">
        <v>9.9079200000000006E-3</v>
      </c>
      <c r="C587" t="s">
        <v>633</v>
      </c>
      <c r="D587" t="s">
        <v>29</v>
      </c>
      <c r="E587" t="s">
        <v>643</v>
      </c>
      <c r="F587" t="s">
        <v>20</v>
      </c>
      <c r="G587" t="s">
        <v>790</v>
      </c>
      <c r="H587" t="s">
        <v>662</v>
      </c>
    </row>
    <row r="588" spans="1:8" x14ac:dyDescent="0.3">
      <c r="A588" t="s">
        <v>1046</v>
      </c>
      <c r="B588" s="6">
        <f>0.52*(44/12)</f>
        <v>1.9066666666666667</v>
      </c>
      <c r="D588" t="s">
        <v>8</v>
      </c>
      <c r="E588" t="s">
        <v>1047</v>
      </c>
      <c r="F588" t="s">
        <v>36</v>
      </c>
      <c r="G588" t="s">
        <v>885</v>
      </c>
    </row>
    <row r="590" spans="1:8" ht="15.6" x14ac:dyDescent="0.3">
      <c r="A590" s="1" t="s">
        <v>1</v>
      </c>
      <c r="B590" s="73" t="s">
        <v>886</v>
      </c>
    </row>
    <row r="591" spans="1:8" x14ac:dyDescent="0.3">
      <c r="A591" t="s">
        <v>2</v>
      </c>
      <c r="B591" s="6" t="s">
        <v>581</v>
      </c>
    </row>
    <row r="592" spans="1:8" x14ac:dyDescent="0.3">
      <c r="A592" t="s">
        <v>3</v>
      </c>
      <c r="B592" s="6">
        <v>1</v>
      </c>
    </row>
    <row r="593" spans="1:8" ht="15.6" x14ac:dyDescent="0.3">
      <c r="A593" t="s">
        <v>4</v>
      </c>
      <c r="B593" s="74" t="s">
        <v>1029</v>
      </c>
    </row>
    <row r="594" spans="1:8" x14ac:dyDescent="0.3">
      <c r="A594" t="s">
        <v>5</v>
      </c>
      <c r="B594" s="6" t="s">
        <v>6</v>
      </c>
    </row>
    <row r="595" spans="1:8" x14ac:dyDescent="0.3">
      <c r="A595" t="s">
        <v>7</v>
      </c>
      <c r="B595" s="6" t="s">
        <v>8</v>
      </c>
    </row>
    <row r="596" spans="1:8" x14ac:dyDescent="0.3">
      <c r="A596" t="s">
        <v>9</v>
      </c>
      <c r="B596" s="6" t="s">
        <v>641</v>
      </c>
    </row>
    <row r="597" spans="1:8" x14ac:dyDescent="0.3">
      <c r="A597" t="s">
        <v>497</v>
      </c>
      <c r="B597" s="72">
        <f>Summary!O54</f>
        <v>1.3483271375464685</v>
      </c>
    </row>
    <row r="598" spans="1:8" ht="15.6" x14ac:dyDescent="0.3">
      <c r="A598" s="1" t="s">
        <v>12</v>
      </c>
    </row>
    <row r="599" spans="1:8" x14ac:dyDescent="0.3">
      <c r="A599" t="s">
        <v>13</v>
      </c>
      <c r="B599" s="6" t="s">
        <v>14</v>
      </c>
      <c r="C599" t="s">
        <v>2</v>
      </c>
      <c r="D599" t="s">
        <v>7</v>
      </c>
      <c r="E599" t="s">
        <v>15</v>
      </c>
      <c r="F599" t="s">
        <v>5</v>
      </c>
      <c r="G599" t="s">
        <v>11</v>
      </c>
      <c r="H599" t="s">
        <v>4</v>
      </c>
    </row>
    <row r="600" spans="1:8" ht="15.6" x14ac:dyDescent="0.3">
      <c r="A600" s="2" t="s">
        <v>886</v>
      </c>
      <c r="B600" s="6">
        <v>1</v>
      </c>
      <c r="C600" t="s">
        <v>581</v>
      </c>
      <c r="D600" t="s">
        <v>8</v>
      </c>
      <c r="E600" t="s">
        <v>711</v>
      </c>
      <c r="F600" t="s">
        <v>17</v>
      </c>
      <c r="G600" t="s">
        <v>18</v>
      </c>
      <c r="H600" s="74" t="s">
        <v>1029</v>
      </c>
    </row>
    <row r="601" spans="1:8" x14ac:dyDescent="0.3">
      <c r="A601" t="s">
        <v>884</v>
      </c>
      <c r="B601" s="6">
        <f>1/0.975</f>
        <v>1.0256410256410258</v>
      </c>
      <c r="C601" t="s">
        <v>581</v>
      </c>
      <c r="D601" t="s">
        <v>8</v>
      </c>
      <c r="E601" t="s">
        <v>643</v>
      </c>
      <c r="F601" t="s">
        <v>20</v>
      </c>
      <c r="G601" t="s">
        <v>712</v>
      </c>
      <c r="H601" t="s">
        <v>823</v>
      </c>
    </row>
    <row r="602" spans="1:8" x14ac:dyDescent="0.3">
      <c r="A602" t="s">
        <v>713</v>
      </c>
      <c r="B602" s="6">
        <v>0.11309544000000001</v>
      </c>
      <c r="C602" t="s">
        <v>26</v>
      </c>
      <c r="D602" t="s">
        <v>8</v>
      </c>
      <c r="E602" t="s">
        <v>643</v>
      </c>
      <c r="F602" t="s">
        <v>20</v>
      </c>
      <c r="G602" t="s">
        <v>714</v>
      </c>
      <c r="H602" t="s">
        <v>715</v>
      </c>
    </row>
    <row r="603" spans="1:8" x14ac:dyDescent="0.3">
      <c r="A603" t="s">
        <v>979</v>
      </c>
      <c r="B603" s="6">
        <v>7.7480160000000006E-2</v>
      </c>
      <c r="C603" t="s">
        <v>26</v>
      </c>
      <c r="D603" t="s">
        <v>8</v>
      </c>
      <c r="E603" t="s">
        <v>643</v>
      </c>
      <c r="F603" t="s">
        <v>20</v>
      </c>
      <c r="G603" t="s">
        <v>714</v>
      </c>
      <c r="H603" t="s">
        <v>980</v>
      </c>
    </row>
    <row r="604" spans="1:8" x14ac:dyDescent="0.3">
      <c r="A604" t="s">
        <v>717</v>
      </c>
      <c r="B604" s="6">
        <v>1.4508E-2</v>
      </c>
      <c r="C604" t="s">
        <v>26</v>
      </c>
      <c r="D604" t="s">
        <v>8</v>
      </c>
      <c r="E604" t="s">
        <v>643</v>
      </c>
      <c r="F604" t="s">
        <v>20</v>
      </c>
      <c r="G604" t="s">
        <v>714</v>
      </c>
      <c r="H604" t="s">
        <v>718</v>
      </c>
    </row>
    <row r="605" spans="1:8" x14ac:dyDescent="0.3">
      <c r="A605" t="s">
        <v>720</v>
      </c>
      <c r="B605" s="6">
        <v>1.3392000000000001E-2</v>
      </c>
      <c r="C605" t="s">
        <v>26</v>
      </c>
      <c r="D605" t="s">
        <v>8</v>
      </c>
      <c r="E605" t="s">
        <v>643</v>
      </c>
      <c r="F605" t="s">
        <v>20</v>
      </c>
      <c r="G605" t="s">
        <v>714</v>
      </c>
      <c r="H605" t="s">
        <v>721</v>
      </c>
    </row>
    <row r="606" spans="1:8" x14ac:dyDescent="0.3">
      <c r="A606" t="s">
        <v>983</v>
      </c>
      <c r="B606" s="6">
        <v>2.6784000000000002E-2</v>
      </c>
      <c r="C606" t="s">
        <v>581</v>
      </c>
      <c r="D606" t="s">
        <v>8</v>
      </c>
      <c r="E606" t="s">
        <v>643</v>
      </c>
      <c r="F606" t="s">
        <v>20</v>
      </c>
      <c r="G606" t="s">
        <v>714</v>
      </c>
      <c r="H606" t="s">
        <v>984</v>
      </c>
    </row>
    <row r="607" spans="1:8" x14ac:dyDescent="0.3">
      <c r="A607" t="s">
        <v>100</v>
      </c>
      <c r="B607" s="6">
        <v>0.37944000000000006</v>
      </c>
      <c r="C607" t="s">
        <v>633</v>
      </c>
      <c r="D607" t="s">
        <v>41</v>
      </c>
      <c r="E607" t="s">
        <v>646</v>
      </c>
      <c r="F607" t="s">
        <v>20</v>
      </c>
      <c r="G607" t="s">
        <v>18</v>
      </c>
      <c r="H607" t="s">
        <v>103</v>
      </c>
    </row>
    <row r="608" spans="1:8" x14ac:dyDescent="0.3">
      <c r="A608" t="s">
        <v>97</v>
      </c>
      <c r="B608" s="6">
        <v>0.15252000000000002</v>
      </c>
      <c r="C608" t="s">
        <v>581</v>
      </c>
      <c r="D608" t="s">
        <v>41</v>
      </c>
      <c r="E608" t="s">
        <v>646</v>
      </c>
      <c r="F608" t="s">
        <v>20</v>
      </c>
      <c r="G608" t="s">
        <v>18</v>
      </c>
      <c r="H608" t="s">
        <v>98</v>
      </c>
    </row>
    <row r="609" spans="1:8" x14ac:dyDescent="0.3">
      <c r="A609" t="s">
        <v>352</v>
      </c>
      <c r="B609" s="6">
        <v>0.32736000000000004</v>
      </c>
      <c r="C609" t="s">
        <v>581</v>
      </c>
      <c r="D609" t="s">
        <v>41</v>
      </c>
      <c r="E609" t="s">
        <v>646</v>
      </c>
      <c r="F609" t="s">
        <v>20</v>
      </c>
      <c r="G609" t="s">
        <v>722</v>
      </c>
      <c r="H609" t="s">
        <v>353</v>
      </c>
    </row>
    <row r="610" spans="1:8" x14ac:dyDescent="0.3">
      <c r="A610" t="s">
        <v>352</v>
      </c>
      <c r="B610" s="6">
        <v>0.15996000000000002</v>
      </c>
      <c r="C610" t="s">
        <v>581</v>
      </c>
      <c r="D610" t="s">
        <v>41</v>
      </c>
      <c r="E610" t="s">
        <v>646</v>
      </c>
      <c r="F610" t="s">
        <v>20</v>
      </c>
      <c r="G610" t="s">
        <v>723</v>
      </c>
      <c r="H610" t="s">
        <v>353</v>
      </c>
    </row>
    <row r="611" spans="1:8" x14ac:dyDescent="0.3">
      <c r="A611" t="s">
        <v>990</v>
      </c>
      <c r="B611" s="6">
        <v>1.11972</v>
      </c>
      <c r="C611" t="s">
        <v>26</v>
      </c>
      <c r="D611" t="s">
        <v>41</v>
      </c>
      <c r="E611" t="s">
        <v>646</v>
      </c>
      <c r="F611" t="s">
        <v>20</v>
      </c>
      <c r="G611" t="s">
        <v>18</v>
      </c>
      <c r="H611" t="s">
        <v>991</v>
      </c>
    </row>
    <row r="612" spans="1:8" x14ac:dyDescent="0.3">
      <c r="A612" t="s">
        <v>660</v>
      </c>
      <c r="B612" s="6">
        <v>4.2090311999999998E-2</v>
      </c>
      <c r="C612" t="s">
        <v>633</v>
      </c>
      <c r="D612" t="s">
        <v>29</v>
      </c>
      <c r="E612" t="s">
        <v>646</v>
      </c>
      <c r="F612" t="s">
        <v>20</v>
      </c>
      <c r="G612" t="s">
        <v>724</v>
      </c>
      <c r="H612" t="s">
        <v>662</v>
      </c>
    </row>
    <row r="613" spans="1:8" x14ac:dyDescent="0.3">
      <c r="A613" t="s">
        <v>660</v>
      </c>
      <c r="B613" s="6">
        <v>8.6869440000000003E-3</v>
      </c>
      <c r="C613" t="s">
        <v>633</v>
      </c>
      <c r="D613" t="s">
        <v>29</v>
      </c>
      <c r="E613" t="s">
        <v>646</v>
      </c>
      <c r="F613" t="s">
        <v>20</v>
      </c>
      <c r="G613" t="s">
        <v>725</v>
      </c>
      <c r="H613" t="s">
        <v>662</v>
      </c>
    </row>
    <row r="614" spans="1:8" x14ac:dyDescent="0.3">
      <c r="A614" t="s">
        <v>660</v>
      </c>
      <c r="B614" s="6">
        <v>3.5161440000000002E-2</v>
      </c>
      <c r="C614" t="s">
        <v>633</v>
      </c>
      <c r="D614" t="s">
        <v>29</v>
      </c>
      <c r="E614" t="s">
        <v>646</v>
      </c>
      <c r="F614" t="s">
        <v>20</v>
      </c>
      <c r="G614" t="s">
        <v>726</v>
      </c>
      <c r="H614" t="s">
        <v>662</v>
      </c>
    </row>
    <row r="615" spans="1:8" x14ac:dyDescent="0.3">
      <c r="A615" t="s">
        <v>1046</v>
      </c>
      <c r="B615" s="6">
        <f>Parameters!$B$14-(B601*B588)</f>
        <v>0.89444444444444415</v>
      </c>
      <c r="D615" t="s">
        <v>8</v>
      </c>
      <c r="E615" t="s">
        <v>1047</v>
      </c>
      <c r="F615" t="s">
        <v>36</v>
      </c>
    </row>
    <row r="617" spans="1:8" ht="15.6" x14ac:dyDescent="0.3">
      <c r="A617" s="1" t="s">
        <v>1</v>
      </c>
      <c r="B617" s="73" t="s">
        <v>709</v>
      </c>
    </row>
    <row r="618" spans="1:8" x14ac:dyDescent="0.3">
      <c r="A618" t="s">
        <v>2</v>
      </c>
      <c r="B618" s="6" t="s">
        <v>581</v>
      </c>
    </row>
    <row r="619" spans="1:8" x14ac:dyDescent="0.3">
      <c r="A619" t="s">
        <v>3</v>
      </c>
      <c r="B619" s="6">
        <v>1</v>
      </c>
    </row>
    <row r="620" spans="1:8" ht="15.6" x14ac:dyDescent="0.3">
      <c r="A620" t="s">
        <v>4</v>
      </c>
      <c r="B620" s="74" t="s">
        <v>710</v>
      </c>
    </row>
    <row r="621" spans="1:8" x14ac:dyDescent="0.3">
      <c r="A621" t="s">
        <v>9</v>
      </c>
      <c r="B621" s="6" t="s">
        <v>641</v>
      </c>
    </row>
    <row r="622" spans="1:8" x14ac:dyDescent="0.3">
      <c r="A622" t="s">
        <v>5</v>
      </c>
      <c r="B622" s="6" t="s">
        <v>6</v>
      </c>
    </row>
    <row r="623" spans="1:8" x14ac:dyDescent="0.3">
      <c r="A623" t="s">
        <v>7</v>
      </c>
      <c r="B623" s="6" t="s">
        <v>8</v>
      </c>
    </row>
    <row r="624" spans="1:8" ht="15.6" x14ac:dyDescent="0.3">
      <c r="A624" s="1" t="s">
        <v>12</v>
      </c>
    </row>
    <row r="625" spans="1:11" x14ac:dyDescent="0.3">
      <c r="A625" t="s">
        <v>13</v>
      </c>
      <c r="B625" s="6" t="s">
        <v>14</v>
      </c>
      <c r="C625" t="s">
        <v>2</v>
      </c>
      <c r="D625" t="s">
        <v>7</v>
      </c>
      <c r="E625" t="s">
        <v>15</v>
      </c>
      <c r="F625" t="s">
        <v>5</v>
      </c>
      <c r="G625" t="s">
        <v>338</v>
      </c>
      <c r="H625" t="s">
        <v>339</v>
      </c>
      <c r="I625" t="s">
        <v>16</v>
      </c>
      <c r="J625" t="s">
        <v>11</v>
      </c>
      <c r="K625" t="s">
        <v>4</v>
      </c>
    </row>
    <row r="626" spans="1:11" x14ac:dyDescent="0.3">
      <c r="A626" t="s">
        <v>709</v>
      </c>
      <c r="B626" s="6">
        <v>1</v>
      </c>
      <c r="C626" t="s">
        <v>581</v>
      </c>
      <c r="D626" t="s">
        <v>8</v>
      </c>
      <c r="F626" t="s">
        <v>17</v>
      </c>
      <c r="I626">
        <v>100</v>
      </c>
      <c r="J626" t="s">
        <v>18</v>
      </c>
      <c r="K626" t="s">
        <v>710</v>
      </c>
    </row>
    <row r="627" spans="1:11" ht="15.6" x14ac:dyDescent="0.3">
      <c r="A627" s="2" t="s">
        <v>886</v>
      </c>
      <c r="B627" s="6">
        <v>1.00057</v>
      </c>
      <c r="C627" t="s">
        <v>581</v>
      </c>
      <c r="D627" t="s">
        <v>8</v>
      </c>
      <c r="F627" t="s">
        <v>20</v>
      </c>
      <c r="K627" s="74" t="s">
        <v>1029</v>
      </c>
    </row>
    <row r="628" spans="1:11" x14ac:dyDescent="0.3">
      <c r="A628" t="s">
        <v>28</v>
      </c>
      <c r="B628" s="6">
        <v>6.7000000000000002E-3</v>
      </c>
      <c r="C628" t="s">
        <v>581</v>
      </c>
      <c r="D628" t="s">
        <v>29</v>
      </c>
      <c r="F628" t="s">
        <v>20</v>
      </c>
      <c r="K628" t="s">
        <v>30</v>
      </c>
    </row>
    <row r="629" spans="1:11" x14ac:dyDescent="0.3">
      <c r="A629" t="s">
        <v>340</v>
      </c>
      <c r="B629" s="6">
        <v>-1.6799999999999999E-4</v>
      </c>
      <c r="C629" t="s">
        <v>633</v>
      </c>
      <c r="D629" t="s">
        <v>8</v>
      </c>
      <c r="F629" t="s">
        <v>20</v>
      </c>
      <c r="K629" t="s">
        <v>341</v>
      </c>
    </row>
    <row r="630" spans="1:11" x14ac:dyDescent="0.3">
      <c r="A630" t="s">
        <v>342</v>
      </c>
      <c r="B630" s="6">
        <v>5.8399999999999999E-4</v>
      </c>
      <c r="C630" t="s">
        <v>640</v>
      </c>
      <c r="D630" t="s">
        <v>19</v>
      </c>
      <c r="F630" t="s">
        <v>20</v>
      </c>
      <c r="K630" t="s">
        <v>343</v>
      </c>
    </row>
    <row r="631" spans="1:11" x14ac:dyDescent="0.3">
      <c r="A631" t="s">
        <v>344</v>
      </c>
      <c r="B631" s="6">
        <v>2.5999999999999998E-10</v>
      </c>
      <c r="C631" t="s">
        <v>581</v>
      </c>
      <c r="D631" t="s">
        <v>7</v>
      </c>
      <c r="F631" t="s">
        <v>20</v>
      </c>
      <c r="K631" t="s">
        <v>345</v>
      </c>
    </row>
    <row r="632" spans="1:11" x14ac:dyDescent="0.3">
      <c r="A632" t="s">
        <v>346</v>
      </c>
      <c r="B632" s="6">
        <v>-6.2700000000000001E-6</v>
      </c>
      <c r="C632" t="s">
        <v>640</v>
      </c>
      <c r="D632" t="s">
        <v>8</v>
      </c>
      <c r="F632" t="s">
        <v>20</v>
      </c>
      <c r="K632" t="s">
        <v>347</v>
      </c>
    </row>
    <row r="633" spans="1:11" x14ac:dyDescent="0.3">
      <c r="A633" t="s">
        <v>348</v>
      </c>
      <c r="B633" s="6">
        <v>-7.4999999999999993E-5</v>
      </c>
      <c r="C633" t="s">
        <v>633</v>
      </c>
      <c r="D633" t="s">
        <v>121</v>
      </c>
      <c r="F633" t="s">
        <v>20</v>
      </c>
      <c r="K633" t="s">
        <v>349</v>
      </c>
    </row>
    <row r="634" spans="1:11" x14ac:dyDescent="0.3">
      <c r="A634" t="s">
        <v>350</v>
      </c>
      <c r="B634" s="6">
        <v>6.8900000000000005E-4</v>
      </c>
      <c r="C634" t="s">
        <v>633</v>
      </c>
      <c r="D634" t="s">
        <v>8</v>
      </c>
      <c r="F634" t="s">
        <v>20</v>
      </c>
      <c r="K634" t="s">
        <v>351</v>
      </c>
    </row>
    <row r="635" spans="1:11" x14ac:dyDescent="0.3">
      <c r="A635" t="s">
        <v>100</v>
      </c>
      <c r="B635" s="6">
        <v>3.3599999999999998E-2</v>
      </c>
      <c r="C635" t="s">
        <v>633</v>
      </c>
      <c r="D635" t="s">
        <v>41</v>
      </c>
      <c r="F635" t="s">
        <v>20</v>
      </c>
      <c r="K635" t="s">
        <v>103</v>
      </c>
    </row>
    <row r="636" spans="1:11" x14ac:dyDescent="0.3">
      <c r="A636" t="s">
        <v>352</v>
      </c>
      <c r="B636" s="6">
        <v>3.2599999999999997E-2</v>
      </c>
      <c r="C636" t="s">
        <v>581</v>
      </c>
      <c r="D636" t="s">
        <v>41</v>
      </c>
      <c r="F636" t="s">
        <v>20</v>
      </c>
      <c r="K636" t="s">
        <v>353</v>
      </c>
    </row>
    <row r="637" spans="1:11" x14ac:dyDescent="0.3">
      <c r="A637" t="s">
        <v>354</v>
      </c>
      <c r="B637" s="6">
        <v>-6.8899999999999999E-7</v>
      </c>
      <c r="C637" t="s">
        <v>633</v>
      </c>
      <c r="D637" t="s">
        <v>121</v>
      </c>
      <c r="F637" t="s">
        <v>20</v>
      </c>
      <c r="K637" t="s">
        <v>355</v>
      </c>
    </row>
    <row r="638" spans="1:11" ht="16.2" customHeight="1" x14ac:dyDescent="0.3">
      <c r="A638" s="1"/>
      <c r="B638" s="73"/>
    </row>
    <row r="639" spans="1:11" ht="15.6" x14ac:dyDescent="0.3">
      <c r="A639" s="1" t="s">
        <v>1</v>
      </c>
      <c r="B639" s="73" t="s">
        <v>889</v>
      </c>
    </row>
    <row r="640" spans="1:11" x14ac:dyDescent="0.3">
      <c r="A640" t="s">
        <v>2</v>
      </c>
      <c r="B640" s="6" t="s">
        <v>581</v>
      </c>
    </row>
    <row r="641" spans="1:8" x14ac:dyDescent="0.3">
      <c r="A641" t="s">
        <v>3</v>
      </c>
      <c r="B641" s="6">
        <v>1</v>
      </c>
    </row>
    <row r="642" spans="1:8" x14ac:dyDescent="0.3">
      <c r="A642" t="s">
        <v>4</v>
      </c>
      <c r="B642" s="6" t="s">
        <v>767</v>
      </c>
    </row>
    <row r="643" spans="1:8" x14ac:dyDescent="0.3">
      <c r="A643" t="s">
        <v>5</v>
      </c>
      <c r="B643" s="6" t="s">
        <v>6</v>
      </c>
    </row>
    <row r="644" spans="1:8" x14ac:dyDescent="0.3">
      <c r="A644" t="s">
        <v>7</v>
      </c>
      <c r="B644" s="6" t="s">
        <v>8</v>
      </c>
    </row>
    <row r="645" spans="1:8" x14ac:dyDescent="0.3">
      <c r="A645" t="s">
        <v>9</v>
      </c>
      <c r="B645" s="6" t="s">
        <v>641</v>
      </c>
    </row>
    <row r="646" spans="1:8" x14ac:dyDescent="0.3">
      <c r="A646" t="s">
        <v>872</v>
      </c>
      <c r="B646" s="6">
        <v>3</v>
      </c>
    </row>
    <row r="647" spans="1:8" x14ac:dyDescent="0.3">
      <c r="A647" t="s">
        <v>850</v>
      </c>
      <c r="B647" s="6">
        <f>27/0.91</f>
        <v>29.670329670329668</v>
      </c>
    </row>
    <row r="648" spans="1:8" x14ac:dyDescent="0.3">
      <c r="A648" t="s">
        <v>856</v>
      </c>
      <c r="B648" s="75">
        <v>0.15</v>
      </c>
    </row>
    <row r="649" spans="1:8" ht="15.6" x14ac:dyDescent="0.3">
      <c r="A649" s="1" t="s">
        <v>12</v>
      </c>
    </row>
    <row r="650" spans="1:8" x14ac:dyDescent="0.3">
      <c r="A650" t="s">
        <v>13</v>
      </c>
      <c r="B650" s="6" t="s">
        <v>14</v>
      </c>
      <c r="C650" t="s">
        <v>2</v>
      </c>
      <c r="D650" t="s">
        <v>7</v>
      </c>
      <c r="E650" t="s">
        <v>15</v>
      </c>
      <c r="F650" t="s">
        <v>5</v>
      </c>
      <c r="G650" t="s">
        <v>11</v>
      </c>
      <c r="H650" t="s">
        <v>4</v>
      </c>
    </row>
    <row r="651" spans="1:8" x14ac:dyDescent="0.3">
      <c r="A651" t="s">
        <v>889</v>
      </c>
      <c r="B651" s="6">
        <v>1</v>
      </c>
      <c r="C651" t="s">
        <v>581</v>
      </c>
      <c r="D651" t="s">
        <v>8</v>
      </c>
      <c r="E651" t="s">
        <v>728</v>
      </c>
      <c r="F651" t="s">
        <v>17</v>
      </c>
      <c r="G651" t="s">
        <v>18</v>
      </c>
      <c r="H651" t="s">
        <v>767</v>
      </c>
    </row>
    <row r="652" spans="1:8" x14ac:dyDescent="0.3">
      <c r="A652" t="s">
        <v>889</v>
      </c>
      <c r="B652" s="6">
        <v>0.14000000000000001</v>
      </c>
      <c r="C652" t="s">
        <v>581</v>
      </c>
      <c r="D652" t="s">
        <v>8</v>
      </c>
      <c r="E652" t="s">
        <v>728</v>
      </c>
      <c r="F652" t="s">
        <v>20</v>
      </c>
      <c r="H652" t="s">
        <v>767</v>
      </c>
    </row>
    <row r="653" spans="1:8" x14ac:dyDescent="0.3">
      <c r="A653" t="s">
        <v>979</v>
      </c>
      <c r="B653" s="6">
        <v>3.3196796703296701E-3</v>
      </c>
      <c r="C653" t="s">
        <v>26</v>
      </c>
      <c r="D653" t="s">
        <v>8</v>
      </c>
      <c r="E653" t="s">
        <v>643</v>
      </c>
      <c r="F653" t="s">
        <v>20</v>
      </c>
      <c r="G653" t="s">
        <v>793</v>
      </c>
      <c r="H653" t="s">
        <v>980</v>
      </c>
    </row>
    <row r="654" spans="1:8" x14ac:dyDescent="0.3">
      <c r="A654" t="s">
        <v>42</v>
      </c>
      <c r="B654" s="6">
        <v>4.6404395604395604E-2</v>
      </c>
      <c r="C654" t="s">
        <v>640</v>
      </c>
      <c r="D654" t="s">
        <v>8</v>
      </c>
      <c r="E654" t="s">
        <v>643</v>
      </c>
      <c r="F654" t="s">
        <v>20</v>
      </c>
      <c r="G654" t="s">
        <v>794</v>
      </c>
      <c r="H654" t="s">
        <v>43</v>
      </c>
    </row>
    <row r="655" spans="1:8" x14ac:dyDescent="0.3">
      <c r="A655" t="s">
        <v>617</v>
      </c>
      <c r="B655" s="6">
        <f>0.00226978021978022/1000</f>
        <v>2.26978021978022E-6</v>
      </c>
      <c r="C655" t="s">
        <v>26</v>
      </c>
      <c r="D655" t="s">
        <v>8</v>
      </c>
      <c r="E655" t="s">
        <v>643</v>
      </c>
      <c r="F655" t="s">
        <v>20</v>
      </c>
      <c r="G655" t="s">
        <v>795</v>
      </c>
      <c r="H655" t="s">
        <v>616</v>
      </c>
    </row>
    <row r="656" spans="1:8" x14ac:dyDescent="0.3">
      <c r="A656" t="s">
        <v>44</v>
      </c>
      <c r="B656" s="6">
        <v>1.0340109890109889E-2</v>
      </c>
      <c r="C656" t="s">
        <v>640</v>
      </c>
      <c r="D656" t="s">
        <v>8</v>
      </c>
      <c r="E656" t="s">
        <v>643</v>
      </c>
      <c r="F656" t="s">
        <v>20</v>
      </c>
      <c r="G656" t="s">
        <v>796</v>
      </c>
      <c r="H656" t="s">
        <v>45</v>
      </c>
    </row>
    <row r="657" spans="1:8" x14ac:dyDescent="0.3">
      <c r="A657" t="s">
        <v>46</v>
      </c>
      <c r="B657" s="6">
        <v>1.4123076923076919E-2</v>
      </c>
      <c r="C657" t="s">
        <v>640</v>
      </c>
      <c r="D657" t="s">
        <v>8</v>
      </c>
      <c r="E657" t="s">
        <v>643</v>
      </c>
      <c r="F657" t="s">
        <v>20</v>
      </c>
      <c r="G657" t="s">
        <v>797</v>
      </c>
      <c r="H657" t="s">
        <v>47</v>
      </c>
    </row>
    <row r="658" spans="1:8" x14ac:dyDescent="0.3">
      <c r="A658" t="s">
        <v>798</v>
      </c>
      <c r="B658" s="6">
        <v>9.0791208791208781E-3</v>
      </c>
      <c r="C658" t="s">
        <v>26</v>
      </c>
      <c r="D658" t="s">
        <v>8</v>
      </c>
      <c r="E658" t="s">
        <v>643</v>
      </c>
      <c r="F658" t="s">
        <v>20</v>
      </c>
      <c r="G658" t="s">
        <v>799</v>
      </c>
      <c r="H658" t="s">
        <v>800</v>
      </c>
    </row>
    <row r="659" spans="1:8" x14ac:dyDescent="0.3">
      <c r="A659" t="s">
        <v>48</v>
      </c>
      <c r="B659" s="6">
        <v>0.10214010989010987</v>
      </c>
      <c r="C659" t="s">
        <v>26</v>
      </c>
      <c r="D659" t="s">
        <v>8</v>
      </c>
      <c r="E659" t="s">
        <v>643</v>
      </c>
      <c r="F659" t="s">
        <v>20</v>
      </c>
      <c r="G659" t="s">
        <v>801</v>
      </c>
      <c r="H659" t="s">
        <v>49</v>
      </c>
    </row>
    <row r="660" spans="1:8" x14ac:dyDescent="0.3">
      <c r="A660" t="s">
        <v>22</v>
      </c>
      <c r="B660" s="6">
        <f>0.022609532967033*43</f>
        <v>0.97220991758241904</v>
      </c>
      <c r="C660" t="s">
        <v>26</v>
      </c>
      <c r="D660" t="s">
        <v>19</v>
      </c>
      <c r="E660" t="s">
        <v>643</v>
      </c>
      <c r="F660" t="s">
        <v>20</v>
      </c>
      <c r="G660" t="s">
        <v>802</v>
      </c>
      <c r="H660" t="s">
        <v>23</v>
      </c>
    </row>
    <row r="661" spans="1:8" x14ac:dyDescent="0.3">
      <c r="A661" t="s">
        <v>660</v>
      </c>
      <c r="B661" s="6">
        <v>2.1103407692307695E-2</v>
      </c>
      <c r="C661" t="s">
        <v>633</v>
      </c>
      <c r="D661" t="s">
        <v>29</v>
      </c>
      <c r="E661" t="s">
        <v>646</v>
      </c>
      <c r="F661" t="s">
        <v>20</v>
      </c>
      <c r="G661" t="s">
        <v>803</v>
      </c>
      <c r="H661" t="s">
        <v>662</v>
      </c>
    </row>
    <row r="662" spans="1:8" x14ac:dyDescent="0.3">
      <c r="A662" t="s">
        <v>783</v>
      </c>
      <c r="B662" s="6">
        <v>3.851312637362637E-3</v>
      </c>
      <c r="C662" t="s">
        <v>581</v>
      </c>
      <c r="D662" t="s">
        <v>8</v>
      </c>
      <c r="E662" t="s">
        <v>643</v>
      </c>
      <c r="F662" t="s">
        <v>20</v>
      </c>
      <c r="G662" t="s">
        <v>793</v>
      </c>
      <c r="H662" t="s">
        <v>784</v>
      </c>
    </row>
    <row r="663" spans="1:8" x14ac:dyDescent="0.3">
      <c r="A663" t="s">
        <v>50</v>
      </c>
      <c r="B663" s="6">
        <f>2099/1000000</f>
        <v>2.0990000000000002E-3</v>
      </c>
      <c r="C663" t="s">
        <v>26</v>
      </c>
      <c r="D663" t="s">
        <v>8</v>
      </c>
      <c r="F663" t="s">
        <v>20</v>
      </c>
      <c r="G663" t="s">
        <v>1043</v>
      </c>
      <c r="H663" t="s">
        <v>53</v>
      </c>
    </row>
    <row r="664" spans="1:8" x14ac:dyDescent="0.3">
      <c r="A664" t="s">
        <v>108</v>
      </c>
      <c r="B664" s="6">
        <v>25.219780219780215</v>
      </c>
      <c r="D664" t="s">
        <v>19</v>
      </c>
      <c r="E664" t="s">
        <v>112</v>
      </c>
      <c r="F664" t="s">
        <v>36</v>
      </c>
      <c r="G664" t="s">
        <v>804</v>
      </c>
    </row>
    <row r="665" spans="1:8" x14ac:dyDescent="0.3">
      <c r="A665" t="s">
        <v>40</v>
      </c>
      <c r="B665" s="6">
        <v>1.4425714285714285E-3</v>
      </c>
      <c r="C665" s="6"/>
      <c r="D665" t="s">
        <v>8</v>
      </c>
      <c r="E665" t="s">
        <v>37</v>
      </c>
      <c r="F665" t="s">
        <v>36</v>
      </c>
      <c r="G665" t="s">
        <v>791</v>
      </c>
    </row>
    <row r="666" spans="1:8" x14ac:dyDescent="0.3">
      <c r="A666" t="s">
        <v>40</v>
      </c>
      <c r="B666" s="6">
        <v>3.026373626373626E-6</v>
      </c>
      <c r="D666" t="s">
        <v>8</v>
      </c>
      <c r="E666" t="s">
        <v>37</v>
      </c>
      <c r="F666" t="s">
        <v>36</v>
      </c>
      <c r="G666" t="s">
        <v>792</v>
      </c>
    </row>
    <row r="667" spans="1:8" x14ac:dyDescent="0.3">
      <c r="A667" t="s">
        <v>1046</v>
      </c>
      <c r="B667" s="6">
        <f>0.535*(44/12)*(1-B648)</f>
        <v>1.6674166666666665</v>
      </c>
      <c r="D667" t="s">
        <v>8</v>
      </c>
      <c r="E667" t="s">
        <v>1047</v>
      </c>
      <c r="F667" t="s">
        <v>36</v>
      </c>
      <c r="G667" t="s">
        <v>890</v>
      </c>
    </row>
    <row r="668" spans="1:8" x14ac:dyDescent="0.3">
      <c r="A668" t="s">
        <v>194</v>
      </c>
      <c r="B668" s="6">
        <v>3.58</v>
      </c>
      <c r="D668" t="s">
        <v>113</v>
      </c>
      <c r="E668" t="s">
        <v>114</v>
      </c>
      <c r="F668" t="s">
        <v>36</v>
      </c>
      <c r="G668" t="s">
        <v>957</v>
      </c>
    </row>
    <row r="669" spans="1:8" x14ac:dyDescent="0.3">
      <c r="A669" t="s">
        <v>195</v>
      </c>
      <c r="B669" s="6">
        <v>3.31</v>
      </c>
      <c r="D669" t="s">
        <v>115</v>
      </c>
      <c r="E669" t="s">
        <v>114</v>
      </c>
      <c r="F669" t="s">
        <v>36</v>
      </c>
      <c r="G669" t="s">
        <v>891</v>
      </c>
    </row>
    <row r="670" spans="1:8" x14ac:dyDescent="0.3">
      <c r="A670" t="s">
        <v>196</v>
      </c>
      <c r="B670" s="6">
        <v>3.31</v>
      </c>
      <c r="D670" t="s">
        <v>115</v>
      </c>
      <c r="E670" t="s">
        <v>114</v>
      </c>
      <c r="F670" t="s">
        <v>36</v>
      </c>
      <c r="G670" t="s">
        <v>891</v>
      </c>
    </row>
    <row r="671" spans="1:8" x14ac:dyDescent="0.3">
      <c r="A671" t="s">
        <v>120</v>
      </c>
      <c r="B671" s="6">
        <v>0.27484999999999998</v>
      </c>
      <c r="C671" t="s">
        <v>972</v>
      </c>
      <c r="D671" t="s">
        <v>121</v>
      </c>
      <c r="F671" t="s">
        <v>20</v>
      </c>
      <c r="G671" t="s">
        <v>969</v>
      </c>
      <c r="H671" t="s">
        <v>122</v>
      </c>
    </row>
    <row r="672" spans="1:8" x14ac:dyDescent="0.3">
      <c r="A672" t="s">
        <v>974</v>
      </c>
      <c r="B672" s="6">
        <v>0.23088</v>
      </c>
      <c r="C672" t="s">
        <v>26</v>
      </c>
      <c r="D672" t="s">
        <v>8</v>
      </c>
      <c r="F672" t="s">
        <v>20</v>
      </c>
      <c r="G672" t="s">
        <v>969</v>
      </c>
      <c r="H672" t="s">
        <v>900</v>
      </c>
    </row>
    <row r="673" spans="1:8" x14ac:dyDescent="0.3">
      <c r="A673" t="s">
        <v>901</v>
      </c>
      <c r="B673" s="6">
        <v>1.8833999999999999E-3</v>
      </c>
      <c r="C673" t="s">
        <v>26</v>
      </c>
      <c r="D673" t="s">
        <v>8</v>
      </c>
      <c r="F673" t="s">
        <v>20</v>
      </c>
      <c r="G673" t="s">
        <v>969</v>
      </c>
      <c r="H673" t="s">
        <v>902</v>
      </c>
    </row>
    <row r="674" spans="1:8" x14ac:dyDescent="0.3">
      <c r="A674" t="s">
        <v>126</v>
      </c>
      <c r="B674" s="6">
        <v>0.21836674491491001</v>
      </c>
      <c r="D674" t="s">
        <v>121</v>
      </c>
      <c r="E674" t="s">
        <v>37</v>
      </c>
      <c r="F674" t="s">
        <v>36</v>
      </c>
      <c r="G674" t="s">
        <v>969</v>
      </c>
    </row>
    <row r="675" spans="1:8" x14ac:dyDescent="0.3">
      <c r="A675" t="s">
        <v>172</v>
      </c>
      <c r="B675" s="6">
        <v>6.9572454000000006E-2</v>
      </c>
      <c r="D675" t="s">
        <v>8</v>
      </c>
      <c r="E675" t="s">
        <v>179</v>
      </c>
      <c r="F675" t="s">
        <v>36</v>
      </c>
      <c r="G675" t="s">
        <v>969</v>
      </c>
    </row>
    <row r="676" spans="1:8" x14ac:dyDescent="0.3">
      <c r="A676" t="s">
        <v>126</v>
      </c>
      <c r="B676" s="6">
        <v>4.5185013044696201E-2</v>
      </c>
      <c r="D676" t="s">
        <v>121</v>
      </c>
      <c r="E676" t="s">
        <v>179</v>
      </c>
      <c r="F676" t="s">
        <v>36</v>
      </c>
      <c r="G676" t="s">
        <v>969</v>
      </c>
    </row>
    <row r="677" spans="1:8" x14ac:dyDescent="0.3">
      <c r="A677" t="s">
        <v>325</v>
      </c>
      <c r="B677" s="6">
        <v>2.9804000000000001E-2</v>
      </c>
      <c r="D677" t="s">
        <v>8</v>
      </c>
      <c r="E677" t="s">
        <v>169</v>
      </c>
      <c r="F677" t="s">
        <v>36</v>
      </c>
      <c r="G677" t="s">
        <v>969</v>
      </c>
    </row>
    <row r="678" spans="1:8" x14ac:dyDescent="0.3">
      <c r="A678" t="s">
        <v>126</v>
      </c>
      <c r="B678" s="6">
        <v>1.1296253261174101E-2</v>
      </c>
      <c r="D678" t="s">
        <v>121</v>
      </c>
      <c r="E678" t="s">
        <v>171</v>
      </c>
      <c r="F678" t="s">
        <v>36</v>
      </c>
      <c r="G678" t="s">
        <v>969</v>
      </c>
    </row>
    <row r="679" spans="1:8" x14ac:dyDescent="0.3">
      <c r="A679" t="s">
        <v>127</v>
      </c>
      <c r="B679" s="6">
        <v>5.1229170000000003E-3</v>
      </c>
      <c r="D679" t="s">
        <v>8</v>
      </c>
      <c r="E679" t="s">
        <v>169</v>
      </c>
      <c r="F679" t="s">
        <v>36</v>
      </c>
      <c r="G679" t="s">
        <v>969</v>
      </c>
    </row>
    <row r="680" spans="1:8" x14ac:dyDescent="0.3">
      <c r="A680" t="s">
        <v>958</v>
      </c>
      <c r="B680" s="6">
        <v>3.0517000000000001E-4</v>
      </c>
      <c r="D680" t="s">
        <v>8</v>
      </c>
      <c r="E680" t="s">
        <v>170</v>
      </c>
      <c r="F680" t="s">
        <v>36</v>
      </c>
      <c r="G680" t="s">
        <v>969</v>
      </c>
    </row>
    <row r="681" spans="1:8" x14ac:dyDescent="0.3">
      <c r="A681" t="s">
        <v>38</v>
      </c>
      <c r="B681" s="6">
        <v>3.0220239000000002E-4</v>
      </c>
      <c r="D681" t="s">
        <v>8</v>
      </c>
      <c r="E681" t="s">
        <v>169</v>
      </c>
      <c r="F681" t="s">
        <v>36</v>
      </c>
      <c r="G681" t="s">
        <v>969</v>
      </c>
    </row>
    <row r="682" spans="1:8" x14ac:dyDescent="0.3">
      <c r="A682" t="s">
        <v>174</v>
      </c>
      <c r="B682" s="6">
        <v>2.1311E-4</v>
      </c>
      <c r="D682" t="s">
        <v>8</v>
      </c>
      <c r="E682" t="s">
        <v>171</v>
      </c>
      <c r="F682" t="s">
        <v>36</v>
      </c>
      <c r="G682" t="s">
        <v>969</v>
      </c>
    </row>
    <row r="683" spans="1:8" x14ac:dyDescent="0.3">
      <c r="A683" t="s">
        <v>959</v>
      </c>
      <c r="B683" s="6">
        <v>1.3363000000000001E-4</v>
      </c>
      <c r="D683" t="s">
        <v>8</v>
      </c>
      <c r="E683" t="s">
        <v>170</v>
      </c>
      <c r="F683" t="s">
        <v>36</v>
      </c>
      <c r="G683" t="s">
        <v>969</v>
      </c>
    </row>
    <row r="684" spans="1:8" x14ac:dyDescent="0.3">
      <c r="A684" t="s">
        <v>960</v>
      </c>
      <c r="B684" s="6">
        <v>1.166E-4</v>
      </c>
      <c r="D684" t="s">
        <v>8</v>
      </c>
      <c r="E684" t="s">
        <v>170</v>
      </c>
      <c r="F684" t="s">
        <v>36</v>
      </c>
      <c r="G684" t="s">
        <v>969</v>
      </c>
    </row>
    <row r="685" spans="1:8" x14ac:dyDescent="0.3">
      <c r="A685" t="s">
        <v>909</v>
      </c>
      <c r="B685" s="6">
        <v>8.4437000000000005E-5</v>
      </c>
      <c r="D685" t="s">
        <v>8</v>
      </c>
      <c r="E685" t="s">
        <v>170</v>
      </c>
      <c r="F685" t="s">
        <v>36</v>
      </c>
      <c r="G685" t="s">
        <v>969</v>
      </c>
    </row>
    <row r="686" spans="1:8" x14ac:dyDescent="0.3">
      <c r="A686" t="s">
        <v>961</v>
      </c>
      <c r="B686" s="6">
        <v>7.9843000000000001E-5</v>
      </c>
      <c r="D686" t="s">
        <v>8</v>
      </c>
      <c r="E686" t="s">
        <v>170</v>
      </c>
      <c r="F686" t="s">
        <v>36</v>
      </c>
      <c r="G686" t="s">
        <v>969</v>
      </c>
    </row>
    <row r="687" spans="1:8" x14ac:dyDescent="0.3">
      <c r="A687" t="s">
        <v>174</v>
      </c>
      <c r="B687" s="6">
        <v>7.1031999999999993E-5</v>
      </c>
      <c r="D687" t="s">
        <v>8</v>
      </c>
      <c r="E687" t="s">
        <v>179</v>
      </c>
      <c r="F687" t="s">
        <v>36</v>
      </c>
      <c r="G687" t="s">
        <v>969</v>
      </c>
    </row>
    <row r="688" spans="1:8" x14ac:dyDescent="0.3">
      <c r="A688" t="s">
        <v>962</v>
      </c>
      <c r="B688" s="6">
        <v>5.2151999999999998E-5</v>
      </c>
      <c r="D688" t="s">
        <v>8</v>
      </c>
      <c r="E688" t="s">
        <v>170</v>
      </c>
      <c r="F688" t="s">
        <v>36</v>
      </c>
      <c r="G688" t="s">
        <v>969</v>
      </c>
    </row>
    <row r="689" spans="1:7" x14ac:dyDescent="0.3">
      <c r="A689" t="s">
        <v>963</v>
      </c>
      <c r="B689" s="6">
        <v>5.1523000000000001E-5</v>
      </c>
      <c r="D689" t="s">
        <v>8</v>
      </c>
      <c r="E689" t="s">
        <v>170</v>
      </c>
      <c r="F689" t="s">
        <v>36</v>
      </c>
      <c r="G689" t="s">
        <v>969</v>
      </c>
    </row>
    <row r="690" spans="1:7" x14ac:dyDescent="0.3">
      <c r="A690" t="s">
        <v>173</v>
      </c>
      <c r="B690" s="6">
        <v>4.1866000000000002E-5</v>
      </c>
      <c r="D690" t="s">
        <v>8</v>
      </c>
      <c r="E690" t="s">
        <v>171</v>
      </c>
      <c r="F690" t="s">
        <v>36</v>
      </c>
      <c r="G690" t="s">
        <v>969</v>
      </c>
    </row>
    <row r="691" spans="1:7" x14ac:dyDescent="0.3">
      <c r="A691" t="s">
        <v>903</v>
      </c>
      <c r="B691" s="6">
        <v>3.9734999999999998E-5</v>
      </c>
      <c r="D691" t="s">
        <v>8</v>
      </c>
      <c r="E691" t="s">
        <v>170</v>
      </c>
      <c r="F691" t="s">
        <v>36</v>
      </c>
      <c r="G691" t="s">
        <v>969</v>
      </c>
    </row>
    <row r="692" spans="1:7" x14ac:dyDescent="0.3">
      <c r="A692" t="s">
        <v>964</v>
      </c>
      <c r="B692" s="6">
        <v>1.8626000000000001E-5</v>
      </c>
      <c r="D692" t="s">
        <v>8</v>
      </c>
      <c r="E692" t="s">
        <v>170</v>
      </c>
      <c r="F692" t="s">
        <v>36</v>
      </c>
      <c r="G692" t="s">
        <v>969</v>
      </c>
    </row>
    <row r="693" spans="1:7" x14ac:dyDescent="0.3">
      <c r="A693" t="s">
        <v>965</v>
      </c>
      <c r="B693" s="6">
        <v>1.7960000000000001E-5</v>
      </c>
      <c r="D693" t="s">
        <v>8</v>
      </c>
      <c r="E693" t="s">
        <v>170</v>
      </c>
      <c r="F693" t="s">
        <v>36</v>
      </c>
      <c r="G693" t="s">
        <v>969</v>
      </c>
    </row>
    <row r="694" spans="1:7" x14ac:dyDescent="0.3">
      <c r="A694" t="s">
        <v>165</v>
      </c>
      <c r="B694" s="6">
        <f>AVERAGE(0.00000285,0.0000091)</f>
        <v>5.9749999999999995E-6</v>
      </c>
      <c r="D694" t="s">
        <v>8</v>
      </c>
      <c r="E694" t="s">
        <v>170</v>
      </c>
      <c r="F694" t="s">
        <v>36</v>
      </c>
      <c r="G694" t="s">
        <v>969</v>
      </c>
    </row>
    <row r="695" spans="1:7" x14ac:dyDescent="0.3">
      <c r="A695" t="s">
        <v>145</v>
      </c>
      <c r="B695" s="6">
        <v>7.1273000000000004E-6</v>
      </c>
      <c r="D695" t="s">
        <v>8</v>
      </c>
      <c r="E695" t="s">
        <v>170</v>
      </c>
      <c r="F695" t="s">
        <v>36</v>
      </c>
      <c r="G695" t="s">
        <v>969</v>
      </c>
    </row>
    <row r="696" spans="1:7" x14ac:dyDescent="0.3">
      <c r="A696" t="s">
        <v>922</v>
      </c>
      <c r="B696" s="6">
        <v>6.8294999999999996E-6</v>
      </c>
      <c r="D696" t="s">
        <v>8</v>
      </c>
      <c r="E696" t="s">
        <v>170</v>
      </c>
      <c r="F696" t="s">
        <v>36</v>
      </c>
      <c r="G696" t="s">
        <v>969</v>
      </c>
    </row>
    <row r="697" spans="1:7" x14ac:dyDescent="0.3">
      <c r="A697" t="s">
        <v>199</v>
      </c>
      <c r="B697" s="6">
        <v>6.4968999999999996E-6</v>
      </c>
      <c r="D697" t="s">
        <v>8</v>
      </c>
      <c r="E697" t="s">
        <v>179</v>
      </c>
      <c r="F697" t="s">
        <v>36</v>
      </c>
      <c r="G697" t="s">
        <v>969</v>
      </c>
    </row>
    <row r="698" spans="1:7" x14ac:dyDescent="0.3">
      <c r="A698" t="s">
        <v>966</v>
      </c>
      <c r="B698" s="6">
        <v>6.2086000000000002E-6</v>
      </c>
      <c r="D698" t="s">
        <v>8</v>
      </c>
      <c r="E698" t="s">
        <v>170</v>
      </c>
      <c r="F698" t="s">
        <v>36</v>
      </c>
      <c r="G698" t="s">
        <v>969</v>
      </c>
    </row>
    <row r="699" spans="1:7" x14ac:dyDescent="0.3">
      <c r="A699" t="s">
        <v>206</v>
      </c>
      <c r="B699" s="6">
        <v>5.0923999999999997E-6</v>
      </c>
      <c r="D699" t="s">
        <v>8</v>
      </c>
      <c r="E699" t="s">
        <v>179</v>
      </c>
      <c r="F699" t="s">
        <v>36</v>
      </c>
      <c r="G699" t="s">
        <v>969</v>
      </c>
    </row>
    <row r="700" spans="1:7" x14ac:dyDescent="0.3">
      <c r="A700" t="s">
        <v>967</v>
      </c>
      <c r="B700" s="6">
        <v>4.1390999999999999E-6</v>
      </c>
      <c r="D700" t="s">
        <v>8</v>
      </c>
      <c r="E700" t="s">
        <v>170</v>
      </c>
      <c r="F700" t="s">
        <v>36</v>
      </c>
      <c r="G700" t="s">
        <v>969</v>
      </c>
    </row>
    <row r="701" spans="1:7" x14ac:dyDescent="0.3">
      <c r="A701" t="s">
        <v>968</v>
      </c>
      <c r="B701" s="6">
        <v>2.3841000000000002E-6</v>
      </c>
      <c r="D701" t="s">
        <v>8</v>
      </c>
      <c r="E701" t="s">
        <v>170</v>
      </c>
      <c r="F701" t="s">
        <v>36</v>
      </c>
      <c r="G701" t="s">
        <v>969</v>
      </c>
    </row>
    <row r="702" spans="1:7" x14ac:dyDescent="0.3">
      <c r="A702" t="s">
        <v>942</v>
      </c>
      <c r="B702" s="6">
        <v>2.0488000000000002E-6</v>
      </c>
      <c r="D702" t="s">
        <v>8</v>
      </c>
      <c r="E702" t="s">
        <v>170</v>
      </c>
      <c r="F702" t="s">
        <v>36</v>
      </c>
      <c r="G702" t="s">
        <v>969</v>
      </c>
    </row>
    <row r="703" spans="1:7" x14ac:dyDescent="0.3">
      <c r="A703" t="s">
        <v>137</v>
      </c>
      <c r="B703" s="6">
        <v>2.0488000000000002E-6</v>
      </c>
      <c r="D703" t="s">
        <v>8</v>
      </c>
      <c r="E703" t="s">
        <v>170</v>
      </c>
      <c r="F703" t="s">
        <v>36</v>
      </c>
      <c r="G703" t="s">
        <v>969</v>
      </c>
    </row>
    <row r="704" spans="1:7" x14ac:dyDescent="0.3">
      <c r="A704" t="s">
        <v>148</v>
      </c>
      <c r="B704" s="6">
        <v>1.5694E-6</v>
      </c>
      <c r="D704" t="s">
        <v>8</v>
      </c>
      <c r="E704" t="s">
        <v>170</v>
      </c>
      <c r="F704" t="s">
        <v>36</v>
      </c>
      <c r="G704" t="s">
        <v>969</v>
      </c>
    </row>
    <row r="705" spans="1:7" x14ac:dyDescent="0.3">
      <c r="A705" t="s">
        <v>138</v>
      </c>
      <c r="B705" s="6">
        <v>1.2883E-6</v>
      </c>
      <c r="D705" t="s">
        <v>8</v>
      </c>
      <c r="E705" t="s">
        <v>170</v>
      </c>
      <c r="F705" t="s">
        <v>36</v>
      </c>
      <c r="G705" t="s">
        <v>969</v>
      </c>
    </row>
    <row r="706" spans="1:7" x14ac:dyDescent="0.3">
      <c r="A706" t="s">
        <v>206</v>
      </c>
      <c r="B706" s="6">
        <v>1.0187000000000001E-6</v>
      </c>
      <c r="D706" t="s">
        <v>8</v>
      </c>
      <c r="E706" t="s">
        <v>171</v>
      </c>
      <c r="F706" t="s">
        <v>36</v>
      </c>
      <c r="G706" t="s">
        <v>969</v>
      </c>
    </row>
    <row r="707" spans="1:7" x14ac:dyDescent="0.3">
      <c r="A707" t="s">
        <v>199</v>
      </c>
      <c r="B707" s="6">
        <v>9.8295000000000005E-7</v>
      </c>
      <c r="D707" t="s">
        <v>8</v>
      </c>
      <c r="E707" t="s">
        <v>171</v>
      </c>
      <c r="F707" t="s">
        <v>36</v>
      </c>
      <c r="G707" t="s">
        <v>969</v>
      </c>
    </row>
    <row r="708" spans="1:7" x14ac:dyDescent="0.3">
      <c r="A708" t="s">
        <v>200</v>
      </c>
      <c r="B708" s="6">
        <v>9.8286999999999996E-7</v>
      </c>
      <c r="D708" t="s">
        <v>8</v>
      </c>
      <c r="E708" t="s">
        <v>179</v>
      </c>
      <c r="F708" t="s">
        <v>36</v>
      </c>
      <c r="G708" t="s">
        <v>969</v>
      </c>
    </row>
    <row r="709" spans="1:7" x14ac:dyDescent="0.3">
      <c r="A709" t="s">
        <v>200</v>
      </c>
      <c r="B709" s="6">
        <v>7.3035999999999998E-7</v>
      </c>
      <c r="D709" t="s">
        <v>8</v>
      </c>
      <c r="E709" t="s">
        <v>171</v>
      </c>
      <c r="F709" t="s">
        <v>36</v>
      </c>
      <c r="G709" t="s">
        <v>969</v>
      </c>
    </row>
    <row r="710" spans="1:7" x14ac:dyDescent="0.3">
      <c r="A710" t="s">
        <v>202</v>
      </c>
      <c r="B710" s="6">
        <v>6.6466000000000002E-7</v>
      </c>
      <c r="D710" t="s">
        <v>8</v>
      </c>
      <c r="E710" t="s">
        <v>171</v>
      </c>
      <c r="F710" t="s">
        <v>36</v>
      </c>
      <c r="G710" t="s">
        <v>969</v>
      </c>
    </row>
    <row r="711" spans="1:7" x14ac:dyDescent="0.3">
      <c r="A711" t="s">
        <v>937</v>
      </c>
      <c r="B711" s="6">
        <v>5.2152000000000003E-7</v>
      </c>
      <c r="D711" t="s">
        <v>8</v>
      </c>
      <c r="E711" t="s">
        <v>170</v>
      </c>
      <c r="F711" t="s">
        <v>36</v>
      </c>
      <c r="G711" t="s">
        <v>969</v>
      </c>
    </row>
    <row r="712" spans="1:7" x14ac:dyDescent="0.3">
      <c r="A712" t="s">
        <v>142</v>
      </c>
      <c r="B712" s="6">
        <v>3.2912999999999998E-7</v>
      </c>
      <c r="D712" t="s">
        <v>8</v>
      </c>
      <c r="E712" t="s">
        <v>170</v>
      </c>
      <c r="F712" t="s">
        <v>36</v>
      </c>
      <c r="G712" t="s">
        <v>969</v>
      </c>
    </row>
    <row r="713" spans="1:7" x14ac:dyDescent="0.3">
      <c r="A713" t="s">
        <v>168</v>
      </c>
      <c r="B713" s="6">
        <v>1.2601E-7</v>
      </c>
      <c r="D713" t="s">
        <v>8</v>
      </c>
      <c r="E713" t="s">
        <v>170</v>
      </c>
      <c r="F713" t="s">
        <v>36</v>
      </c>
      <c r="G713" t="s">
        <v>969</v>
      </c>
    </row>
    <row r="714" spans="1:7" x14ac:dyDescent="0.3">
      <c r="A714" t="s">
        <v>168</v>
      </c>
      <c r="B714" s="6">
        <v>8.8442000000000005E-8</v>
      </c>
      <c r="D714" t="s">
        <v>8</v>
      </c>
      <c r="E714" t="s">
        <v>171</v>
      </c>
      <c r="F714" t="s">
        <v>36</v>
      </c>
      <c r="G714" t="s">
        <v>969</v>
      </c>
    </row>
    <row r="715" spans="1:7" x14ac:dyDescent="0.3">
      <c r="A715" t="s">
        <v>168</v>
      </c>
      <c r="B715" s="6">
        <v>2.0447000000000001E-8</v>
      </c>
      <c r="D715" t="s">
        <v>8</v>
      </c>
      <c r="E715" t="s">
        <v>179</v>
      </c>
      <c r="F715" t="s">
        <v>36</v>
      </c>
      <c r="G715" t="s">
        <v>969</v>
      </c>
    </row>
    <row r="716" spans="1:7" x14ac:dyDescent="0.3">
      <c r="A716" t="s">
        <v>198</v>
      </c>
      <c r="B716" s="6">
        <v>1.5329999999999999E-8</v>
      </c>
      <c r="D716" t="s">
        <v>8</v>
      </c>
      <c r="E716" t="s">
        <v>179</v>
      </c>
      <c r="F716" t="s">
        <v>36</v>
      </c>
      <c r="G716" t="s">
        <v>969</v>
      </c>
    </row>
    <row r="717" spans="1:7" x14ac:dyDescent="0.3">
      <c r="A717" t="s">
        <v>198</v>
      </c>
      <c r="B717" s="6">
        <v>9.7934999999999993E-9</v>
      </c>
      <c r="D717" t="s">
        <v>8</v>
      </c>
      <c r="E717" t="s">
        <v>171</v>
      </c>
      <c r="F717" t="s">
        <v>36</v>
      </c>
      <c r="G717" t="s">
        <v>969</v>
      </c>
    </row>
    <row r="718" spans="1:7" x14ac:dyDescent="0.3">
      <c r="A718" t="s">
        <v>201</v>
      </c>
      <c r="B718" s="6">
        <v>1.9653000000000001E-11</v>
      </c>
      <c r="D718" t="s">
        <v>8</v>
      </c>
      <c r="E718" t="s">
        <v>179</v>
      </c>
      <c r="F718" t="s">
        <v>36</v>
      </c>
      <c r="G718" t="s">
        <v>969</v>
      </c>
    </row>
    <row r="719" spans="1:7" x14ac:dyDescent="0.3">
      <c r="A719" t="s">
        <v>201</v>
      </c>
      <c r="B719" s="6">
        <v>1.6897000000000001E-11</v>
      </c>
      <c r="D719" t="s">
        <v>8</v>
      </c>
      <c r="E719" t="s">
        <v>171</v>
      </c>
      <c r="F719" t="s">
        <v>36</v>
      </c>
      <c r="G719" t="s">
        <v>969</v>
      </c>
    </row>
    <row r="720" spans="1:7" x14ac:dyDescent="0.3">
      <c r="A720" t="s">
        <v>201</v>
      </c>
      <c r="B720" s="6">
        <v>-4.1133000000000002E-10</v>
      </c>
      <c r="D720" t="s">
        <v>8</v>
      </c>
      <c r="E720" t="s">
        <v>170</v>
      </c>
      <c r="F720" t="s">
        <v>36</v>
      </c>
      <c r="G720" t="s">
        <v>969</v>
      </c>
    </row>
    <row r="721" spans="1:8" x14ac:dyDescent="0.3">
      <c r="A721" t="s">
        <v>132</v>
      </c>
      <c r="B721" s="6">
        <v>-3.7361000000000002E-7</v>
      </c>
      <c r="D721" t="s">
        <v>8</v>
      </c>
      <c r="E721" t="s">
        <v>170</v>
      </c>
      <c r="F721" t="s">
        <v>36</v>
      </c>
      <c r="G721" t="s">
        <v>969</v>
      </c>
    </row>
    <row r="723" spans="1:8" ht="15.6" x14ac:dyDescent="0.3">
      <c r="A723" s="1" t="s">
        <v>1</v>
      </c>
      <c r="B723" s="73" t="s">
        <v>766</v>
      </c>
    </row>
    <row r="724" spans="1:8" x14ac:dyDescent="0.3">
      <c r="A724" t="s">
        <v>2</v>
      </c>
      <c r="B724" s="6" t="s">
        <v>581</v>
      </c>
    </row>
    <row r="725" spans="1:8" x14ac:dyDescent="0.3">
      <c r="A725" t="s">
        <v>3</v>
      </c>
      <c r="B725" s="6">
        <v>1</v>
      </c>
    </row>
    <row r="726" spans="1:8" x14ac:dyDescent="0.3">
      <c r="A726" t="s">
        <v>4</v>
      </c>
      <c r="B726" s="6" t="s">
        <v>766</v>
      </c>
    </row>
    <row r="727" spans="1:8" x14ac:dyDescent="0.3">
      <c r="A727" t="s">
        <v>9</v>
      </c>
      <c r="B727" s="6" t="s">
        <v>641</v>
      </c>
    </row>
    <row r="728" spans="1:8" x14ac:dyDescent="0.3">
      <c r="A728" t="s">
        <v>5</v>
      </c>
      <c r="B728" s="6" t="s">
        <v>6</v>
      </c>
    </row>
    <row r="729" spans="1:8" x14ac:dyDescent="0.3">
      <c r="A729" t="s">
        <v>7</v>
      </c>
      <c r="B729" s="6" t="s">
        <v>8</v>
      </c>
    </row>
    <row r="730" spans="1:8" x14ac:dyDescent="0.3">
      <c r="A730" t="s">
        <v>878</v>
      </c>
      <c r="B730" s="6">
        <v>37</v>
      </c>
    </row>
    <row r="731" spans="1:8" ht="15.6" x14ac:dyDescent="0.3">
      <c r="A731" s="1" t="s">
        <v>12</v>
      </c>
    </row>
    <row r="732" spans="1:8" x14ac:dyDescent="0.3">
      <c r="A732" t="s">
        <v>13</v>
      </c>
      <c r="B732" s="6" t="s">
        <v>14</v>
      </c>
      <c r="C732" t="s">
        <v>2</v>
      </c>
      <c r="D732" t="s">
        <v>7</v>
      </c>
      <c r="E732" t="s">
        <v>15</v>
      </c>
      <c r="F732" t="s">
        <v>5</v>
      </c>
      <c r="G732" t="s">
        <v>11</v>
      </c>
      <c r="H732" t="s">
        <v>4</v>
      </c>
    </row>
    <row r="733" spans="1:8" x14ac:dyDescent="0.3">
      <c r="A733" t="s">
        <v>766</v>
      </c>
      <c r="B733" s="6">
        <v>1</v>
      </c>
      <c r="C733" t="s">
        <v>581</v>
      </c>
      <c r="D733" t="s">
        <v>8</v>
      </c>
      <c r="E733" t="s">
        <v>728</v>
      </c>
      <c r="F733" t="s">
        <v>17</v>
      </c>
      <c r="G733" t="s">
        <v>18</v>
      </c>
      <c r="H733" t="s">
        <v>766</v>
      </c>
    </row>
    <row r="734" spans="1:8" x14ac:dyDescent="0.3">
      <c r="A734" t="s">
        <v>889</v>
      </c>
      <c r="B734" s="6">
        <f>1/0.42/0.91</f>
        <v>2.6164311878597593</v>
      </c>
      <c r="C734" t="s">
        <v>581</v>
      </c>
      <c r="D734" t="s">
        <v>8</v>
      </c>
      <c r="E734" t="s">
        <v>643</v>
      </c>
      <c r="F734" t="s">
        <v>20</v>
      </c>
      <c r="G734" t="s">
        <v>768</v>
      </c>
      <c r="H734" t="s">
        <v>767</v>
      </c>
    </row>
    <row r="735" spans="1:8" x14ac:dyDescent="0.3">
      <c r="A735" t="s">
        <v>645</v>
      </c>
      <c r="B735" s="6">
        <v>2.826E-2</v>
      </c>
      <c r="C735" t="s">
        <v>581</v>
      </c>
      <c r="D735" t="s">
        <v>19</v>
      </c>
      <c r="E735" t="s">
        <v>643</v>
      </c>
      <c r="F735" t="s">
        <v>20</v>
      </c>
      <c r="G735" t="s">
        <v>769</v>
      </c>
      <c r="H735" t="s">
        <v>648</v>
      </c>
    </row>
    <row r="736" spans="1:8" x14ac:dyDescent="0.3">
      <c r="A736" t="s">
        <v>758</v>
      </c>
      <c r="B736" s="6">
        <v>3.3000000000000003E-5</v>
      </c>
      <c r="C736" t="s">
        <v>26</v>
      </c>
      <c r="D736" t="s">
        <v>8</v>
      </c>
      <c r="E736" t="s">
        <v>643</v>
      </c>
      <c r="F736" t="s">
        <v>20</v>
      </c>
      <c r="G736" t="s">
        <v>770</v>
      </c>
      <c r="H736" t="s">
        <v>759</v>
      </c>
    </row>
    <row r="737" spans="1:14" x14ac:dyDescent="0.3">
      <c r="A737" t="s">
        <v>100</v>
      </c>
      <c r="B737" s="6">
        <v>1.9900000000000001E-2</v>
      </c>
      <c r="C737" t="s">
        <v>633</v>
      </c>
      <c r="D737" t="s">
        <v>41</v>
      </c>
      <c r="E737" t="s">
        <v>646</v>
      </c>
      <c r="F737" t="s">
        <v>20</v>
      </c>
      <c r="G737" t="s">
        <v>18</v>
      </c>
      <c r="H737" t="s">
        <v>103</v>
      </c>
    </row>
    <row r="738" spans="1:14" x14ac:dyDescent="0.3">
      <c r="A738" t="s">
        <v>97</v>
      </c>
      <c r="B738" s="6">
        <v>2.4170000000000001E-2</v>
      </c>
      <c r="C738" t="s">
        <v>581</v>
      </c>
      <c r="D738" t="s">
        <v>41</v>
      </c>
      <c r="E738" t="s">
        <v>646</v>
      </c>
      <c r="F738" t="s">
        <v>20</v>
      </c>
      <c r="G738" t="s">
        <v>18</v>
      </c>
      <c r="H738" t="s">
        <v>98</v>
      </c>
    </row>
    <row r="739" spans="1:14" x14ac:dyDescent="0.3">
      <c r="A739" t="s">
        <v>352</v>
      </c>
      <c r="B739" s="6">
        <v>1.04257E-2</v>
      </c>
      <c r="C739" t="s">
        <v>581</v>
      </c>
      <c r="D739" t="s">
        <v>41</v>
      </c>
      <c r="E739" t="s">
        <v>646</v>
      </c>
      <c r="F739" t="s">
        <v>20</v>
      </c>
      <c r="G739" t="s">
        <v>771</v>
      </c>
      <c r="H739" t="s">
        <v>353</v>
      </c>
    </row>
    <row r="740" spans="1:14" x14ac:dyDescent="0.3">
      <c r="A740" t="s">
        <v>990</v>
      </c>
      <c r="B740" s="6">
        <v>0.32177499999999998</v>
      </c>
      <c r="C740" t="s">
        <v>26</v>
      </c>
      <c r="D740" t="s">
        <v>41</v>
      </c>
      <c r="E740" t="s">
        <v>646</v>
      </c>
      <c r="F740" t="s">
        <v>20</v>
      </c>
      <c r="G740" t="s">
        <v>18</v>
      </c>
      <c r="H740" t="s">
        <v>991</v>
      </c>
    </row>
    <row r="741" spans="1:14" x14ac:dyDescent="0.3">
      <c r="A741" t="s">
        <v>660</v>
      </c>
      <c r="B741" s="6">
        <v>1.7653E-3</v>
      </c>
      <c r="C741" t="s">
        <v>633</v>
      </c>
      <c r="D741" t="s">
        <v>29</v>
      </c>
      <c r="E741" t="s">
        <v>643</v>
      </c>
      <c r="F741" t="s">
        <v>20</v>
      </c>
      <c r="G741" t="s">
        <v>772</v>
      </c>
      <c r="H741" t="s">
        <v>662</v>
      </c>
    </row>
    <row r="743" spans="1:14" ht="15.6" x14ac:dyDescent="0.3">
      <c r="A743" s="1" t="s">
        <v>1</v>
      </c>
      <c r="B743" s="73" t="s">
        <v>729</v>
      </c>
    </row>
    <row r="744" spans="1:14" x14ac:dyDescent="0.3">
      <c r="A744" t="s">
        <v>2</v>
      </c>
      <c r="B744" s="6" t="s">
        <v>581</v>
      </c>
    </row>
    <row r="745" spans="1:14" x14ac:dyDescent="0.3">
      <c r="A745" t="s">
        <v>3</v>
      </c>
      <c r="B745" s="6">
        <v>1</v>
      </c>
    </row>
    <row r="746" spans="1:14" x14ac:dyDescent="0.3">
      <c r="A746" t="s">
        <v>4</v>
      </c>
      <c r="B746" s="6" t="s">
        <v>729</v>
      </c>
    </row>
    <row r="747" spans="1:14" x14ac:dyDescent="0.3">
      <c r="A747" t="s">
        <v>9</v>
      </c>
      <c r="B747" s="6" t="s">
        <v>641</v>
      </c>
    </row>
    <row r="748" spans="1:14" x14ac:dyDescent="0.3">
      <c r="A748" t="s">
        <v>5</v>
      </c>
      <c r="B748" s="6" t="s">
        <v>6</v>
      </c>
    </row>
    <row r="749" spans="1:14" x14ac:dyDescent="0.3">
      <c r="A749" t="s">
        <v>7</v>
      </c>
      <c r="B749" s="6" t="s">
        <v>8</v>
      </c>
    </row>
    <row r="750" spans="1:14" x14ac:dyDescent="0.3">
      <c r="A750" t="s">
        <v>878</v>
      </c>
      <c r="B750" s="6">
        <v>37</v>
      </c>
    </row>
    <row r="751" spans="1:14" ht="15.6" x14ac:dyDescent="0.3">
      <c r="A751" s="1" t="s">
        <v>12</v>
      </c>
    </row>
    <row r="752" spans="1:14" x14ac:dyDescent="0.3">
      <c r="A752" t="s">
        <v>13</v>
      </c>
      <c r="B752" s="6" t="s">
        <v>14</v>
      </c>
      <c r="C752" t="s">
        <v>2</v>
      </c>
      <c r="D752" t="s">
        <v>7</v>
      </c>
      <c r="E752" t="s">
        <v>15</v>
      </c>
      <c r="F752" t="s">
        <v>5</v>
      </c>
      <c r="G752" t="s">
        <v>338</v>
      </c>
      <c r="H752" t="s">
        <v>339</v>
      </c>
      <c r="I752" t="s">
        <v>16</v>
      </c>
      <c r="J752" t="s">
        <v>11</v>
      </c>
      <c r="K752" t="s">
        <v>642</v>
      </c>
      <c r="L752" t="s">
        <v>4</v>
      </c>
      <c r="M752" t="s">
        <v>667</v>
      </c>
      <c r="N752" t="s">
        <v>668</v>
      </c>
    </row>
    <row r="753" spans="1:14" x14ac:dyDescent="0.3">
      <c r="A753" t="s">
        <v>729</v>
      </c>
      <c r="B753" s="6">
        <v>1</v>
      </c>
      <c r="C753" t="s">
        <v>581</v>
      </c>
      <c r="D753" t="s">
        <v>8</v>
      </c>
      <c r="E753" t="s">
        <v>728</v>
      </c>
      <c r="F753" t="s">
        <v>17</v>
      </c>
      <c r="I753">
        <v>100</v>
      </c>
      <c r="J753" t="s">
        <v>18</v>
      </c>
      <c r="K753" t="s">
        <v>729</v>
      </c>
    </row>
    <row r="754" spans="1:14" x14ac:dyDescent="0.3">
      <c r="A754" t="s">
        <v>766</v>
      </c>
      <c r="B754" s="6">
        <v>1.0246</v>
      </c>
      <c r="C754" t="s">
        <v>581</v>
      </c>
      <c r="D754" t="s">
        <v>8</v>
      </c>
      <c r="E754" t="s">
        <v>643</v>
      </c>
      <c r="F754" t="s">
        <v>20</v>
      </c>
      <c r="G754">
        <v>0</v>
      </c>
      <c r="H754">
        <v>1.0246</v>
      </c>
      <c r="J754" t="s">
        <v>790</v>
      </c>
      <c r="K754" t="s">
        <v>766</v>
      </c>
    </row>
    <row r="755" spans="1:14" x14ac:dyDescent="0.3">
      <c r="A755" t="s">
        <v>645</v>
      </c>
      <c r="B755" s="6">
        <v>4.0000000000000001E-3</v>
      </c>
      <c r="C755" t="s">
        <v>581</v>
      </c>
      <c r="D755" t="s">
        <v>19</v>
      </c>
      <c r="E755" t="s">
        <v>643</v>
      </c>
      <c r="F755" t="s">
        <v>20</v>
      </c>
      <c r="G755">
        <v>0</v>
      </c>
      <c r="H755">
        <v>4.0000000000000001E-3</v>
      </c>
      <c r="J755" t="s">
        <v>790</v>
      </c>
      <c r="K755" t="s">
        <v>648</v>
      </c>
      <c r="L755" t="s">
        <v>648</v>
      </c>
      <c r="M755" t="s">
        <v>672</v>
      </c>
      <c r="N755" t="s">
        <v>673</v>
      </c>
    </row>
    <row r="756" spans="1:14" x14ac:dyDescent="0.3">
      <c r="A756" t="s">
        <v>717</v>
      </c>
      <c r="B756" s="6">
        <v>3.1999999999999999E-5</v>
      </c>
      <c r="C756" t="s">
        <v>26</v>
      </c>
      <c r="D756" t="s">
        <v>8</v>
      </c>
      <c r="E756" t="s">
        <v>643</v>
      </c>
      <c r="F756" t="s">
        <v>20</v>
      </c>
      <c r="G756">
        <v>0</v>
      </c>
      <c r="H756">
        <v>3.1999999999999999E-5</v>
      </c>
      <c r="J756" t="s">
        <v>790</v>
      </c>
      <c r="K756" t="s">
        <v>718</v>
      </c>
      <c r="L756" t="s">
        <v>718</v>
      </c>
      <c r="M756" t="s">
        <v>719</v>
      </c>
      <c r="N756" t="s">
        <v>673</v>
      </c>
    </row>
    <row r="757" spans="1:14" x14ac:dyDescent="0.3">
      <c r="A757" t="s">
        <v>388</v>
      </c>
      <c r="B757" s="6">
        <v>8.7999999999999998E-5</v>
      </c>
      <c r="C757" t="s">
        <v>26</v>
      </c>
      <c r="D757" t="s">
        <v>8</v>
      </c>
      <c r="E757" t="s">
        <v>643</v>
      </c>
      <c r="F757" t="s">
        <v>20</v>
      </c>
      <c r="G757">
        <v>0</v>
      </c>
      <c r="H757">
        <v>8.7999999999999998E-5</v>
      </c>
      <c r="J757" t="s">
        <v>790</v>
      </c>
      <c r="K757" t="s">
        <v>389</v>
      </c>
      <c r="L757" t="s">
        <v>389</v>
      </c>
      <c r="M757" t="s">
        <v>686</v>
      </c>
      <c r="N757" t="s">
        <v>673</v>
      </c>
    </row>
    <row r="758" spans="1:14" x14ac:dyDescent="0.3">
      <c r="A758" t="s">
        <v>660</v>
      </c>
      <c r="B758" s="6">
        <v>2.5020000000000001E-4</v>
      </c>
      <c r="C758" t="s">
        <v>633</v>
      </c>
      <c r="D758" t="s">
        <v>29</v>
      </c>
      <c r="E758" t="s">
        <v>643</v>
      </c>
      <c r="F758" t="s">
        <v>20</v>
      </c>
      <c r="G758">
        <v>0</v>
      </c>
      <c r="H758">
        <v>8.9999999999999998E-4</v>
      </c>
      <c r="J758" t="s">
        <v>790</v>
      </c>
      <c r="K758" t="s">
        <v>662</v>
      </c>
      <c r="L758" t="s">
        <v>662</v>
      </c>
      <c r="M758" t="s">
        <v>679</v>
      </c>
      <c r="N758" t="s">
        <v>673</v>
      </c>
    </row>
    <row r="760" spans="1:14" ht="15.6" x14ac:dyDescent="0.3">
      <c r="A760" s="1" t="s">
        <v>1</v>
      </c>
      <c r="B760" s="73" t="s">
        <v>892</v>
      </c>
    </row>
    <row r="761" spans="1:14" x14ac:dyDescent="0.3">
      <c r="A761" t="s">
        <v>2</v>
      </c>
      <c r="B761" s="6" t="s">
        <v>581</v>
      </c>
    </row>
    <row r="762" spans="1:14" x14ac:dyDescent="0.3">
      <c r="A762" t="s">
        <v>3</v>
      </c>
      <c r="B762" s="6">
        <v>1</v>
      </c>
    </row>
    <row r="763" spans="1:14" ht="15.6" x14ac:dyDescent="0.3">
      <c r="A763" t="s">
        <v>4</v>
      </c>
      <c r="B763" s="74" t="s">
        <v>1030</v>
      </c>
    </row>
    <row r="764" spans="1:14" x14ac:dyDescent="0.3">
      <c r="A764" t="s">
        <v>5</v>
      </c>
      <c r="B764" s="6" t="s">
        <v>6</v>
      </c>
    </row>
    <row r="765" spans="1:14" x14ac:dyDescent="0.3">
      <c r="A765" t="s">
        <v>7</v>
      </c>
      <c r="B765" s="6" t="s">
        <v>8</v>
      </c>
    </row>
    <row r="766" spans="1:14" x14ac:dyDescent="0.3">
      <c r="A766" t="s">
        <v>9</v>
      </c>
      <c r="B766" s="6" t="s">
        <v>641</v>
      </c>
    </row>
    <row r="767" spans="1:14" x14ac:dyDescent="0.3">
      <c r="A767" t="s">
        <v>497</v>
      </c>
      <c r="B767" s="72">
        <f>Summary!O55</f>
        <v>0.57471600816529522</v>
      </c>
    </row>
    <row r="768" spans="1:14" ht="15.6" x14ac:dyDescent="0.3">
      <c r="A768" s="1" t="s">
        <v>12</v>
      </c>
    </row>
    <row r="769" spans="1:8" x14ac:dyDescent="0.3">
      <c r="A769" t="s">
        <v>13</v>
      </c>
      <c r="B769" s="6" t="s">
        <v>14</v>
      </c>
      <c r="C769" t="s">
        <v>2</v>
      </c>
      <c r="D769" t="s">
        <v>7</v>
      </c>
      <c r="E769" t="s">
        <v>15</v>
      </c>
      <c r="F769" t="s">
        <v>5</v>
      </c>
      <c r="G769" t="s">
        <v>11</v>
      </c>
      <c r="H769" t="s">
        <v>4</v>
      </c>
    </row>
    <row r="770" spans="1:8" ht="15.6" x14ac:dyDescent="0.3">
      <c r="A770" s="2" t="s">
        <v>892</v>
      </c>
      <c r="B770" s="6">
        <v>1</v>
      </c>
      <c r="C770" t="s">
        <v>581</v>
      </c>
      <c r="D770" t="s">
        <v>8</v>
      </c>
      <c r="E770" t="s">
        <v>728</v>
      </c>
      <c r="F770" t="s">
        <v>17</v>
      </c>
      <c r="G770" t="s">
        <v>18</v>
      </c>
      <c r="H770" s="74" t="s">
        <v>1030</v>
      </c>
    </row>
    <row r="771" spans="1:8" x14ac:dyDescent="0.3">
      <c r="A771" t="s">
        <v>729</v>
      </c>
      <c r="B771" s="6">
        <f>37.223436/B750</f>
        <v>1.0060388108108107</v>
      </c>
      <c r="C771" t="s">
        <v>581</v>
      </c>
      <c r="D771" t="s">
        <v>8</v>
      </c>
      <c r="E771" t="s">
        <v>643</v>
      </c>
      <c r="F771" t="s">
        <v>20</v>
      </c>
      <c r="G771" t="s">
        <v>730</v>
      </c>
    </row>
    <row r="772" spans="1:8" x14ac:dyDescent="0.3">
      <c r="A772" t="s">
        <v>645</v>
      </c>
      <c r="B772" s="6">
        <v>1.2276000000000002</v>
      </c>
      <c r="C772" t="s">
        <v>581</v>
      </c>
      <c r="D772" t="s">
        <v>19</v>
      </c>
      <c r="E772" t="s">
        <v>646</v>
      </c>
      <c r="F772" t="s">
        <v>20</v>
      </c>
      <c r="G772" t="s">
        <v>731</v>
      </c>
      <c r="H772" t="s">
        <v>648</v>
      </c>
    </row>
    <row r="773" spans="1:8" x14ac:dyDescent="0.3">
      <c r="A773" t="s">
        <v>732</v>
      </c>
      <c r="B773" s="6">
        <v>3.6084000000000003E-3</v>
      </c>
      <c r="C773" t="s">
        <v>581</v>
      </c>
      <c r="D773" t="s">
        <v>8</v>
      </c>
      <c r="E773" t="s">
        <v>643</v>
      </c>
      <c r="F773" t="s">
        <v>20</v>
      </c>
      <c r="G773" t="s">
        <v>730</v>
      </c>
      <c r="H773" t="s">
        <v>733</v>
      </c>
    </row>
    <row r="774" spans="1:8" x14ac:dyDescent="0.3">
      <c r="A774" t="s">
        <v>713</v>
      </c>
      <c r="B774" s="6">
        <v>9.5284080000000007E-2</v>
      </c>
      <c r="C774" t="s">
        <v>26</v>
      </c>
      <c r="D774" t="s">
        <v>8</v>
      </c>
      <c r="E774" t="s">
        <v>643</v>
      </c>
      <c r="F774" t="s">
        <v>20</v>
      </c>
      <c r="G774" t="s">
        <v>730</v>
      </c>
      <c r="H774" t="s">
        <v>715</v>
      </c>
    </row>
    <row r="775" spans="1:8" x14ac:dyDescent="0.3">
      <c r="A775" t="s">
        <v>735</v>
      </c>
      <c r="B775" s="6">
        <v>4.2594000000000009E-3</v>
      </c>
      <c r="C775" t="s">
        <v>26</v>
      </c>
      <c r="D775" t="s">
        <v>8</v>
      </c>
      <c r="E775" t="s">
        <v>643</v>
      </c>
      <c r="F775" t="s">
        <v>20</v>
      </c>
      <c r="G775" t="s">
        <v>736</v>
      </c>
      <c r="H775" t="s">
        <v>737</v>
      </c>
    </row>
    <row r="776" spans="1:8" x14ac:dyDescent="0.3">
      <c r="A776" t="s">
        <v>100</v>
      </c>
      <c r="B776" s="6">
        <v>0.37944000000000006</v>
      </c>
      <c r="C776" t="s">
        <v>633</v>
      </c>
      <c r="D776" t="s">
        <v>41</v>
      </c>
      <c r="E776" t="s">
        <v>646</v>
      </c>
      <c r="F776" t="s">
        <v>20</v>
      </c>
      <c r="G776" t="s">
        <v>18</v>
      </c>
      <c r="H776" t="s">
        <v>103</v>
      </c>
    </row>
    <row r="777" spans="1:8" x14ac:dyDescent="0.3">
      <c r="A777" t="s">
        <v>97</v>
      </c>
      <c r="B777" s="6">
        <v>0.15252000000000002</v>
      </c>
      <c r="C777" t="s">
        <v>581</v>
      </c>
      <c r="D777" t="s">
        <v>41</v>
      </c>
      <c r="E777" t="s">
        <v>646</v>
      </c>
      <c r="F777" t="s">
        <v>20</v>
      </c>
      <c r="G777" t="s">
        <v>18</v>
      </c>
      <c r="H777" t="s">
        <v>98</v>
      </c>
    </row>
    <row r="778" spans="1:8" x14ac:dyDescent="0.3">
      <c r="A778" t="s">
        <v>352</v>
      </c>
      <c r="B778" s="6">
        <v>0.32736000000000004</v>
      </c>
      <c r="C778" t="s">
        <v>581</v>
      </c>
      <c r="D778" t="s">
        <v>41</v>
      </c>
      <c r="E778" t="s">
        <v>646</v>
      </c>
      <c r="F778" t="s">
        <v>20</v>
      </c>
      <c r="G778" t="s">
        <v>739</v>
      </c>
      <c r="H778" t="s">
        <v>353</v>
      </c>
    </row>
    <row r="779" spans="1:8" x14ac:dyDescent="0.3">
      <c r="A779" t="s">
        <v>352</v>
      </c>
      <c r="B779" s="6">
        <v>0.15996000000000002</v>
      </c>
      <c r="C779" t="s">
        <v>581</v>
      </c>
      <c r="D779" t="s">
        <v>41</v>
      </c>
      <c r="E779" t="s">
        <v>646</v>
      </c>
      <c r="F779" t="s">
        <v>20</v>
      </c>
      <c r="G779" t="s">
        <v>740</v>
      </c>
      <c r="H779" t="s">
        <v>353</v>
      </c>
    </row>
    <row r="780" spans="1:8" x14ac:dyDescent="0.3">
      <c r="A780" t="s">
        <v>990</v>
      </c>
      <c r="B780" s="6">
        <v>1.11972</v>
      </c>
      <c r="C780" t="s">
        <v>26</v>
      </c>
      <c r="D780" t="s">
        <v>41</v>
      </c>
      <c r="E780" t="s">
        <v>646</v>
      </c>
      <c r="F780" t="s">
        <v>20</v>
      </c>
      <c r="G780" t="s">
        <v>18</v>
      </c>
      <c r="H780" t="s">
        <v>991</v>
      </c>
    </row>
    <row r="781" spans="1:8" x14ac:dyDescent="0.3">
      <c r="A781" t="s">
        <v>741</v>
      </c>
      <c r="B781" s="6">
        <v>7.4400000000000013E-3</v>
      </c>
      <c r="C781" t="s">
        <v>581</v>
      </c>
      <c r="D781" t="s">
        <v>41</v>
      </c>
      <c r="E781" t="s">
        <v>646</v>
      </c>
      <c r="F781" t="s">
        <v>20</v>
      </c>
      <c r="G781" t="s">
        <v>18</v>
      </c>
      <c r="H781" t="s">
        <v>742</v>
      </c>
    </row>
    <row r="782" spans="1:8" x14ac:dyDescent="0.3">
      <c r="A782" t="s">
        <v>660</v>
      </c>
      <c r="B782" s="6">
        <v>4.1883480000000001E-2</v>
      </c>
      <c r="C782" t="s">
        <v>633</v>
      </c>
      <c r="D782" t="s">
        <v>29</v>
      </c>
      <c r="E782" t="s">
        <v>646</v>
      </c>
      <c r="F782" t="s">
        <v>20</v>
      </c>
      <c r="G782" t="s">
        <v>743</v>
      </c>
      <c r="H782" t="s">
        <v>662</v>
      </c>
    </row>
    <row r="783" spans="1:8" x14ac:dyDescent="0.3">
      <c r="A783" t="s">
        <v>660</v>
      </c>
      <c r="B783" s="6">
        <v>8.6869440000000003E-3</v>
      </c>
      <c r="C783" t="s">
        <v>633</v>
      </c>
      <c r="D783" t="s">
        <v>29</v>
      </c>
      <c r="E783" t="s">
        <v>646</v>
      </c>
      <c r="F783" t="s">
        <v>20</v>
      </c>
      <c r="G783" t="s">
        <v>744</v>
      </c>
      <c r="H783" t="s">
        <v>662</v>
      </c>
    </row>
    <row r="784" spans="1:8" x14ac:dyDescent="0.3">
      <c r="A784" t="s">
        <v>660</v>
      </c>
      <c r="B784" s="6">
        <v>3.5161440000000002E-2</v>
      </c>
      <c r="C784" t="s">
        <v>633</v>
      </c>
      <c r="D784" t="s">
        <v>29</v>
      </c>
      <c r="E784" t="s">
        <v>646</v>
      </c>
      <c r="F784" t="s">
        <v>20</v>
      </c>
      <c r="G784" t="s">
        <v>745</v>
      </c>
      <c r="H784" t="s">
        <v>662</v>
      </c>
    </row>
    <row r="785" spans="1:11" x14ac:dyDescent="0.3">
      <c r="A785" t="s">
        <v>265</v>
      </c>
      <c r="B785" s="6">
        <f>(B771*B754*B734*(1+B652)*B667)-Parameters!B14</f>
        <v>2.2765759229602005</v>
      </c>
      <c r="D785" t="s">
        <v>8</v>
      </c>
      <c r="E785" t="s">
        <v>37</v>
      </c>
      <c r="F785" t="s">
        <v>36</v>
      </c>
    </row>
    <row r="787" spans="1:11" ht="15.6" x14ac:dyDescent="0.3">
      <c r="A787" s="1" t="s">
        <v>1</v>
      </c>
      <c r="B787" s="73" t="s">
        <v>727</v>
      </c>
    </row>
    <row r="788" spans="1:11" x14ac:dyDescent="0.3">
      <c r="A788" t="s">
        <v>2</v>
      </c>
      <c r="B788" s="6" t="s">
        <v>581</v>
      </c>
    </row>
    <row r="789" spans="1:11" x14ac:dyDescent="0.3">
      <c r="A789" t="s">
        <v>3</v>
      </c>
      <c r="B789" s="6">
        <v>1</v>
      </c>
    </row>
    <row r="790" spans="1:11" ht="15.6" x14ac:dyDescent="0.3">
      <c r="A790" t="s">
        <v>4</v>
      </c>
      <c r="B790" s="74" t="s">
        <v>710</v>
      </c>
    </row>
    <row r="791" spans="1:11" x14ac:dyDescent="0.3">
      <c r="A791" t="s">
        <v>9</v>
      </c>
      <c r="B791" s="6" t="s">
        <v>641</v>
      </c>
    </row>
    <row r="792" spans="1:11" x14ac:dyDescent="0.3">
      <c r="A792" t="s">
        <v>5</v>
      </c>
      <c r="B792" s="6" t="s">
        <v>6</v>
      </c>
    </row>
    <row r="793" spans="1:11" x14ac:dyDescent="0.3">
      <c r="A793" t="s">
        <v>7</v>
      </c>
      <c r="B793" s="6" t="s">
        <v>8</v>
      </c>
    </row>
    <row r="794" spans="1:11" ht="15.6" x14ac:dyDescent="0.3">
      <c r="A794" s="1" t="s">
        <v>12</v>
      </c>
    </row>
    <row r="795" spans="1:11" x14ac:dyDescent="0.3">
      <c r="A795" t="s">
        <v>13</v>
      </c>
      <c r="B795" s="6" t="s">
        <v>14</v>
      </c>
      <c r="C795" t="s">
        <v>2</v>
      </c>
      <c r="D795" t="s">
        <v>7</v>
      </c>
      <c r="E795" t="s">
        <v>15</v>
      </c>
      <c r="F795" t="s">
        <v>5</v>
      </c>
      <c r="G795" t="s">
        <v>338</v>
      </c>
      <c r="H795" t="s">
        <v>339</v>
      </c>
      <c r="I795" t="s">
        <v>16</v>
      </c>
      <c r="J795" t="s">
        <v>11</v>
      </c>
      <c r="K795" t="s">
        <v>4</v>
      </c>
    </row>
    <row r="796" spans="1:11" x14ac:dyDescent="0.3">
      <c r="A796" t="s">
        <v>727</v>
      </c>
      <c r="B796" s="6">
        <v>1</v>
      </c>
      <c r="C796" t="s">
        <v>581</v>
      </c>
      <c r="D796" t="s">
        <v>8</v>
      </c>
      <c r="F796" t="s">
        <v>17</v>
      </c>
      <c r="I796">
        <v>100</v>
      </c>
      <c r="J796" t="s">
        <v>18</v>
      </c>
      <c r="K796" t="s">
        <v>710</v>
      </c>
    </row>
    <row r="797" spans="1:11" ht="15.6" x14ac:dyDescent="0.3">
      <c r="A797" s="2" t="s">
        <v>892</v>
      </c>
      <c r="B797" s="6">
        <v>1.00057</v>
      </c>
      <c r="C797" t="s">
        <v>581</v>
      </c>
      <c r="D797" t="s">
        <v>8</v>
      </c>
      <c r="F797" t="s">
        <v>20</v>
      </c>
      <c r="K797" s="74" t="s">
        <v>1030</v>
      </c>
    </row>
    <row r="798" spans="1:11" x14ac:dyDescent="0.3">
      <c r="A798" t="s">
        <v>28</v>
      </c>
      <c r="B798" s="6">
        <v>6.7000000000000002E-3</v>
      </c>
      <c r="C798" t="s">
        <v>581</v>
      </c>
      <c r="D798" t="s">
        <v>29</v>
      </c>
      <c r="F798" t="s">
        <v>20</v>
      </c>
      <c r="K798" t="s">
        <v>30</v>
      </c>
    </row>
    <row r="799" spans="1:11" x14ac:dyDescent="0.3">
      <c r="A799" t="s">
        <v>340</v>
      </c>
      <c r="B799" s="6">
        <v>-1.6799999999999999E-4</v>
      </c>
      <c r="C799" t="s">
        <v>633</v>
      </c>
      <c r="D799" t="s">
        <v>8</v>
      </c>
      <c r="F799" t="s">
        <v>20</v>
      </c>
      <c r="K799" t="s">
        <v>341</v>
      </c>
    </row>
    <row r="800" spans="1:11" x14ac:dyDescent="0.3">
      <c r="A800" t="s">
        <v>342</v>
      </c>
      <c r="B800" s="6">
        <v>5.8399999999999999E-4</v>
      </c>
      <c r="C800" t="s">
        <v>640</v>
      </c>
      <c r="D800" t="s">
        <v>19</v>
      </c>
      <c r="F800" t="s">
        <v>20</v>
      </c>
      <c r="K800" t="s">
        <v>343</v>
      </c>
    </row>
    <row r="801" spans="1:11" x14ac:dyDescent="0.3">
      <c r="A801" t="s">
        <v>344</v>
      </c>
      <c r="B801" s="6">
        <v>2.5999999999999998E-10</v>
      </c>
      <c r="C801" t="s">
        <v>581</v>
      </c>
      <c r="D801" t="s">
        <v>7</v>
      </c>
      <c r="F801" t="s">
        <v>20</v>
      </c>
      <c r="K801" t="s">
        <v>345</v>
      </c>
    </row>
    <row r="802" spans="1:11" x14ac:dyDescent="0.3">
      <c r="A802" t="s">
        <v>346</v>
      </c>
      <c r="B802" s="6">
        <v>-6.2700000000000001E-6</v>
      </c>
      <c r="C802" t="s">
        <v>640</v>
      </c>
      <c r="D802" t="s">
        <v>8</v>
      </c>
      <c r="F802" t="s">
        <v>20</v>
      </c>
      <c r="K802" t="s">
        <v>347</v>
      </c>
    </row>
    <row r="803" spans="1:11" x14ac:dyDescent="0.3">
      <c r="A803" t="s">
        <v>348</v>
      </c>
      <c r="B803" s="6">
        <v>-7.4999999999999993E-5</v>
      </c>
      <c r="C803" t="s">
        <v>633</v>
      </c>
      <c r="D803" t="s">
        <v>121</v>
      </c>
      <c r="F803" t="s">
        <v>20</v>
      </c>
      <c r="K803" t="s">
        <v>349</v>
      </c>
    </row>
    <row r="804" spans="1:11" x14ac:dyDescent="0.3">
      <c r="A804" t="s">
        <v>350</v>
      </c>
      <c r="B804" s="6">
        <v>6.8900000000000005E-4</v>
      </c>
      <c r="C804" t="s">
        <v>633</v>
      </c>
      <c r="D804" t="s">
        <v>8</v>
      </c>
      <c r="F804" t="s">
        <v>20</v>
      </c>
      <c r="K804" t="s">
        <v>351</v>
      </c>
    </row>
    <row r="805" spans="1:11" x14ac:dyDescent="0.3">
      <c r="A805" t="s">
        <v>100</v>
      </c>
      <c r="B805" s="6">
        <v>3.3599999999999998E-2</v>
      </c>
      <c r="C805" t="s">
        <v>633</v>
      </c>
      <c r="D805" t="s">
        <v>41</v>
      </c>
      <c r="F805" t="s">
        <v>20</v>
      </c>
      <c r="K805" t="s">
        <v>103</v>
      </c>
    </row>
    <row r="806" spans="1:11" x14ac:dyDescent="0.3">
      <c r="A806" t="s">
        <v>352</v>
      </c>
      <c r="B806" s="6">
        <v>3.2599999999999997E-2</v>
      </c>
      <c r="C806" t="s">
        <v>581</v>
      </c>
      <c r="D806" t="s">
        <v>41</v>
      </c>
      <c r="F806" t="s">
        <v>20</v>
      </c>
      <c r="K806" t="s">
        <v>353</v>
      </c>
    </row>
    <row r="807" spans="1:11" x14ac:dyDescent="0.3">
      <c r="A807" t="s">
        <v>354</v>
      </c>
      <c r="B807" s="6">
        <v>-6.8899999999999999E-7</v>
      </c>
      <c r="C807" t="s">
        <v>633</v>
      </c>
      <c r="D807" t="s">
        <v>121</v>
      </c>
      <c r="F807" t="s">
        <v>20</v>
      </c>
      <c r="K807" t="s">
        <v>355</v>
      </c>
    </row>
    <row r="808" spans="1:11" ht="16.2" customHeight="1" x14ac:dyDescent="0.3">
      <c r="A808" s="1"/>
      <c r="B808" s="73"/>
    </row>
    <row r="809" spans="1:11" ht="15.6" x14ac:dyDescent="0.3">
      <c r="A809" s="1" t="s">
        <v>1</v>
      </c>
      <c r="B809" s="73" t="s">
        <v>1049</v>
      </c>
    </row>
    <row r="810" spans="1:11" x14ac:dyDescent="0.3">
      <c r="A810" t="s">
        <v>2</v>
      </c>
      <c r="B810" s="6" t="s">
        <v>970</v>
      </c>
    </row>
    <row r="811" spans="1:11" x14ac:dyDescent="0.3">
      <c r="A811" t="s">
        <v>3</v>
      </c>
      <c r="B811" s="6">
        <v>1</v>
      </c>
    </row>
    <row r="812" spans="1:11" x14ac:dyDescent="0.3">
      <c r="A812" t="s">
        <v>4</v>
      </c>
      <c r="B812" s="6" t="s">
        <v>761</v>
      </c>
    </row>
    <row r="813" spans="1:11" x14ac:dyDescent="0.3">
      <c r="A813" t="s">
        <v>5</v>
      </c>
      <c r="B813" s="6" t="s">
        <v>6</v>
      </c>
    </row>
    <row r="814" spans="1:11" x14ac:dyDescent="0.3">
      <c r="A814" t="s">
        <v>7</v>
      </c>
      <c r="B814" s="6" t="s">
        <v>8</v>
      </c>
    </row>
    <row r="815" spans="1:11" x14ac:dyDescent="0.3">
      <c r="A815" t="s">
        <v>9</v>
      </c>
      <c r="B815" s="6" t="s">
        <v>641</v>
      </c>
    </row>
    <row r="816" spans="1:11" x14ac:dyDescent="0.3">
      <c r="A816" t="s">
        <v>850</v>
      </c>
      <c r="B816" s="6">
        <v>24</v>
      </c>
    </row>
    <row r="817" spans="1:8" x14ac:dyDescent="0.3">
      <c r="A817" t="s">
        <v>856</v>
      </c>
      <c r="B817" s="75">
        <v>0.08</v>
      </c>
    </row>
    <row r="818" spans="1:8" ht="15.6" x14ac:dyDescent="0.3">
      <c r="A818" s="1" t="s">
        <v>12</v>
      </c>
    </row>
    <row r="819" spans="1:8" x14ac:dyDescent="0.3">
      <c r="A819" t="s">
        <v>13</v>
      </c>
      <c r="B819" s="6" t="s">
        <v>14</v>
      </c>
      <c r="C819" t="s">
        <v>2</v>
      </c>
      <c r="D819" t="s">
        <v>7</v>
      </c>
      <c r="E819" t="s">
        <v>15</v>
      </c>
      <c r="F819" t="s">
        <v>5</v>
      </c>
      <c r="G819" t="s">
        <v>11</v>
      </c>
      <c r="H819" t="s">
        <v>4</v>
      </c>
    </row>
    <row r="820" spans="1:8" x14ac:dyDescent="0.3">
      <c r="A820" t="s">
        <v>1049</v>
      </c>
      <c r="B820" s="6">
        <v>1</v>
      </c>
      <c r="C820" t="s">
        <v>970</v>
      </c>
      <c r="D820" t="s">
        <v>8</v>
      </c>
      <c r="E820" t="s">
        <v>747</v>
      </c>
      <c r="F820" t="s">
        <v>17</v>
      </c>
      <c r="G820" t="s">
        <v>18</v>
      </c>
      <c r="H820" t="s">
        <v>761</v>
      </c>
    </row>
    <row r="821" spans="1:8" x14ac:dyDescent="0.3">
      <c r="A821" t="s">
        <v>1049</v>
      </c>
      <c r="B821" s="6">
        <v>0.14000000000000001</v>
      </c>
      <c r="C821" t="s">
        <v>970</v>
      </c>
      <c r="D821" t="s">
        <v>8</v>
      </c>
      <c r="E821" t="s">
        <v>747</v>
      </c>
      <c r="F821" t="s">
        <v>20</v>
      </c>
      <c r="H821" t="s">
        <v>761</v>
      </c>
    </row>
    <row r="822" spans="1:8" x14ac:dyDescent="0.3">
      <c r="A822" t="s">
        <v>785</v>
      </c>
      <c r="B822" s="6">
        <v>0.31353600000000004</v>
      </c>
      <c r="C822" t="s">
        <v>26</v>
      </c>
      <c r="D822" t="s">
        <v>8</v>
      </c>
      <c r="E822" t="s">
        <v>643</v>
      </c>
      <c r="F822" t="s">
        <v>20</v>
      </c>
      <c r="G822" t="s">
        <v>18</v>
      </c>
      <c r="H822" t="s">
        <v>786</v>
      </c>
    </row>
    <row r="823" spans="1:8" x14ac:dyDescent="0.3">
      <c r="A823" t="s">
        <v>42</v>
      </c>
      <c r="B823" s="6">
        <v>7.0656000000000017E-3</v>
      </c>
      <c r="C823" t="s">
        <v>970</v>
      </c>
      <c r="D823" t="s">
        <v>8</v>
      </c>
      <c r="E823" t="s">
        <v>643</v>
      </c>
      <c r="F823" t="s">
        <v>20</v>
      </c>
      <c r="G823" t="s">
        <v>18</v>
      </c>
      <c r="H823" t="s">
        <v>43</v>
      </c>
    </row>
    <row r="824" spans="1:8" x14ac:dyDescent="0.3">
      <c r="A824" t="s">
        <v>617</v>
      </c>
      <c r="B824" s="6">
        <f>0.001104/1000</f>
        <v>1.1039999999999999E-6</v>
      </c>
      <c r="C824" t="s">
        <v>26</v>
      </c>
      <c r="D824" t="s">
        <v>8</v>
      </c>
      <c r="E824" t="s">
        <v>643</v>
      </c>
      <c r="F824" t="s">
        <v>20</v>
      </c>
      <c r="G824" t="s">
        <v>18</v>
      </c>
      <c r="H824" t="s">
        <v>616</v>
      </c>
    </row>
    <row r="825" spans="1:8" x14ac:dyDescent="0.3">
      <c r="A825" t="s">
        <v>44</v>
      </c>
      <c r="B825" s="6">
        <v>2.2080000000000003E-3</v>
      </c>
      <c r="C825" t="s">
        <v>970</v>
      </c>
      <c r="D825" t="s">
        <v>8</v>
      </c>
      <c r="E825" t="s">
        <v>643</v>
      </c>
      <c r="F825" t="s">
        <v>20</v>
      </c>
      <c r="G825" t="s">
        <v>18</v>
      </c>
      <c r="H825" t="s">
        <v>45</v>
      </c>
    </row>
    <row r="826" spans="1:8" x14ac:dyDescent="0.3">
      <c r="A826" t="s">
        <v>46</v>
      </c>
      <c r="B826" s="6">
        <v>1.2806400000000003E-2</v>
      </c>
      <c r="C826" t="s">
        <v>970</v>
      </c>
      <c r="D826" t="s">
        <v>8</v>
      </c>
      <c r="E826" t="s">
        <v>643</v>
      </c>
      <c r="F826" t="s">
        <v>20</v>
      </c>
      <c r="G826" t="s">
        <v>18</v>
      </c>
      <c r="H826" t="s">
        <v>47</v>
      </c>
    </row>
    <row r="827" spans="1:8" x14ac:dyDescent="0.3">
      <c r="A827" t="s">
        <v>22</v>
      </c>
      <c r="B827" s="6">
        <f>0.002751168*43</f>
        <v>0.118300224</v>
      </c>
      <c r="C827" t="s">
        <v>26</v>
      </c>
      <c r="D827" t="s">
        <v>19</v>
      </c>
      <c r="E827" t="s">
        <v>643</v>
      </c>
      <c r="F827" t="s">
        <v>20</v>
      </c>
      <c r="G827" t="s">
        <v>18</v>
      </c>
      <c r="H827" t="s">
        <v>23</v>
      </c>
    </row>
    <row r="828" spans="1:8" x14ac:dyDescent="0.3">
      <c r="A828" t="s">
        <v>120</v>
      </c>
      <c r="B828" s="6">
        <v>2.7791E-2</v>
      </c>
      <c r="C828" t="s">
        <v>31</v>
      </c>
      <c r="D828" t="s">
        <v>121</v>
      </c>
      <c r="F828" t="s">
        <v>20</v>
      </c>
      <c r="G828" t="s">
        <v>971</v>
      </c>
      <c r="H828" t="s">
        <v>122</v>
      </c>
    </row>
    <row r="829" spans="1:8" x14ac:dyDescent="0.3">
      <c r="A829" t="s">
        <v>974</v>
      </c>
      <c r="B829" s="6">
        <v>5.2299999999999999E-2</v>
      </c>
      <c r="C829" t="s">
        <v>26</v>
      </c>
      <c r="D829" t="s">
        <v>8</v>
      </c>
      <c r="F829" t="s">
        <v>20</v>
      </c>
      <c r="G829" t="s">
        <v>971</v>
      </c>
      <c r="H829" t="s">
        <v>900</v>
      </c>
    </row>
    <row r="830" spans="1:8" x14ac:dyDescent="0.3">
      <c r="A830" t="s">
        <v>901</v>
      </c>
      <c r="B830" s="6">
        <v>3.0899999999999998E-4</v>
      </c>
      <c r="C830" t="s">
        <v>26</v>
      </c>
      <c r="D830" t="s">
        <v>8</v>
      </c>
      <c r="F830" t="s">
        <v>20</v>
      </c>
      <c r="G830" t="s">
        <v>971</v>
      </c>
      <c r="H830" t="s">
        <v>902</v>
      </c>
    </row>
    <row r="831" spans="1:8" x14ac:dyDescent="0.3">
      <c r="A831" t="s">
        <v>108</v>
      </c>
      <c r="B831" s="6">
        <v>22.080000000000002</v>
      </c>
      <c r="D831" t="s">
        <v>19</v>
      </c>
      <c r="E831" t="s">
        <v>112</v>
      </c>
      <c r="F831" t="s">
        <v>36</v>
      </c>
    </row>
    <row r="832" spans="1:8" x14ac:dyDescent="0.3">
      <c r="A832" t="s">
        <v>40</v>
      </c>
      <c r="B832" s="6">
        <v>6.5820480000000007E-4</v>
      </c>
      <c r="C832" s="6"/>
      <c r="D832" t="s">
        <v>8</v>
      </c>
      <c r="E832" t="s">
        <v>37</v>
      </c>
      <c r="F832" t="s">
        <v>36</v>
      </c>
    </row>
    <row r="833" spans="1:7" x14ac:dyDescent="0.3">
      <c r="A833" t="s">
        <v>1046</v>
      </c>
      <c r="B833" s="6">
        <f>0.506*(44/12)*(1-B817)</f>
        <v>1.7069066666666668</v>
      </c>
      <c r="D833" t="s">
        <v>8</v>
      </c>
      <c r="E833" t="s">
        <v>1047</v>
      </c>
      <c r="F833" t="s">
        <v>36</v>
      </c>
    </row>
    <row r="834" spans="1:7" x14ac:dyDescent="0.3">
      <c r="A834" t="s">
        <v>194</v>
      </c>
      <c r="B834" s="6">
        <v>0.59589999999999999</v>
      </c>
      <c r="D834" t="s">
        <v>113</v>
      </c>
      <c r="E834" t="s">
        <v>114</v>
      </c>
      <c r="F834" t="s">
        <v>36</v>
      </c>
      <c r="G834" t="s">
        <v>971</v>
      </c>
    </row>
    <row r="835" spans="1:7" x14ac:dyDescent="0.3">
      <c r="A835" t="s">
        <v>195</v>
      </c>
      <c r="B835" s="6">
        <v>2.9700000000000001E-2</v>
      </c>
      <c r="D835" t="s">
        <v>115</v>
      </c>
      <c r="E835" t="s">
        <v>114</v>
      </c>
      <c r="F835" t="s">
        <v>36</v>
      </c>
      <c r="G835" t="s">
        <v>971</v>
      </c>
    </row>
    <row r="836" spans="1:7" x14ac:dyDescent="0.3">
      <c r="A836" t="s">
        <v>196</v>
      </c>
      <c r="B836" s="6">
        <v>2.9700000000000001E-2</v>
      </c>
      <c r="D836" t="s">
        <v>115</v>
      </c>
      <c r="E836" t="s">
        <v>114</v>
      </c>
      <c r="F836" t="s">
        <v>36</v>
      </c>
      <c r="G836" t="s">
        <v>971</v>
      </c>
    </row>
    <row r="837" spans="1:7" x14ac:dyDescent="0.3">
      <c r="A837" t="s">
        <v>172</v>
      </c>
      <c r="B837" s="6">
        <v>3.4562211999600002E-2</v>
      </c>
      <c r="D837" t="s">
        <v>8</v>
      </c>
      <c r="E837" t="s">
        <v>179</v>
      </c>
      <c r="F837" t="s">
        <v>36</v>
      </c>
      <c r="G837" t="s">
        <v>971</v>
      </c>
    </row>
    <row r="838" spans="1:7" x14ac:dyDescent="0.3">
      <c r="A838" t="s">
        <v>126</v>
      </c>
      <c r="B838" s="6">
        <v>1.7925582501200001E-2</v>
      </c>
      <c r="D838" t="s">
        <v>121</v>
      </c>
      <c r="E838" t="s">
        <v>169</v>
      </c>
      <c r="F838" t="s">
        <v>36</v>
      </c>
      <c r="G838" t="s">
        <v>971</v>
      </c>
    </row>
    <row r="839" spans="1:7" x14ac:dyDescent="0.3">
      <c r="A839" t="s">
        <v>126</v>
      </c>
      <c r="B839" s="6">
        <v>7.8928911079399998E-3</v>
      </c>
      <c r="D839" t="s">
        <v>121</v>
      </c>
      <c r="E839" t="s">
        <v>171</v>
      </c>
      <c r="F839" t="s">
        <v>36</v>
      </c>
      <c r="G839" t="s">
        <v>971</v>
      </c>
    </row>
    <row r="840" spans="1:7" x14ac:dyDescent="0.3">
      <c r="A840" t="s">
        <v>325</v>
      </c>
      <c r="B840" s="6">
        <v>4.5759629101300003E-3</v>
      </c>
      <c r="D840" t="s">
        <v>8</v>
      </c>
      <c r="E840" t="s">
        <v>169</v>
      </c>
      <c r="F840" t="s">
        <v>36</v>
      </c>
      <c r="G840" t="s">
        <v>971</v>
      </c>
    </row>
    <row r="841" spans="1:7" x14ac:dyDescent="0.3">
      <c r="A841" t="s">
        <v>126</v>
      </c>
      <c r="B841" s="6">
        <v>1.9731930575399999E-3</v>
      </c>
      <c r="D841" t="s">
        <v>121</v>
      </c>
      <c r="E841" t="s">
        <v>179</v>
      </c>
      <c r="F841" t="s">
        <v>36</v>
      </c>
      <c r="G841" t="s">
        <v>971</v>
      </c>
    </row>
    <row r="842" spans="1:7" x14ac:dyDescent="0.3">
      <c r="A842" t="s">
        <v>127</v>
      </c>
      <c r="B842" s="6">
        <v>1.06799809796E-3</v>
      </c>
      <c r="D842" t="s">
        <v>8</v>
      </c>
      <c r="E842" t="s">
        <v>169</v>
      </c>
      <c r="F842" t="s">
        <v>36</v>
      </c>
      <c r="G842" t="s">
        <v>971</v>
      </c>
    </row>
    <row r="843" spans="1:7" x14ac:dyDescent="0.3">
      <c r="A843" t="s">
        <v>38</v>
      </c>
      <c r="B843" s="6">
        <v>2.1613171659499999E-4</v>
      </c>
      <c r="D843" t="s">
        <v>8</v>
      </c>
      <c r="E843" t="s">
        <v>169</v>
      </c>
      <c r="F843" t="s">
        <v>36</v>
      </c>
      <c r="G843" t="s">
        <v>971</v>
      </c>
    </row>
    <row r="844" spans="1:7" x14ac:dyDescent="0.3">
      <c r="A844" t="s">
        <v>155</v>
      </c>
      <c r="B844" s="6">
        <v>1.3671892717400001E-4</v>
      </c>
      <c r="D844" t="s">
        <v>8</v>
      </c>
      <c r="E844" t="s">
        <v>170</v>
      </c>
      <c r="F844" t="s">
        <v>36</v>
      </c>
      <c r="G844" t="s">
        <v>971</v>
      </c>
    </row>
    <row r="845" spans="1:7" x14ac:dyDescent="0.3">
      <c r="A845" t="s">
        <v>174</v>
      </c>
      <c r="B845" s="6">
        <v>4.8829053732799998E-5</v>
      </c>
      <c r="D845" t="s">
        <v>8</v>
      </c>
      <c r="E845" t="s">
        <v>171</v>
      </c>
      <c r="F845" t="s">
        <v>36</v>
      </c>
      <c r="G845" t="s">
        <v>971</v>
      </c>
    </row>
    <row r="846" spans="1:7" x14ac:dyDescent="0.3">
      <c r="A846" t="s">
        <v>173</v>
      </c>
      <c r="B846" s="6">
        <v>3.179148835E-5</v>
      </c>
      <c r="D846" t="s">
        <v>8</v>
      </c>
      <c r="E846" t="s">
        <v>171</v>
      </c>
      <c r="F846" t="s">
        <v>36</v>
      </c>
      <c r="G846" t="s">
        <v>971</v>
      </c>
    </row>
    <row r="847" spans="1:7" x14ac:dyDescent="0.3">
      <c r="A847" t="s">
        <v>165</v>
      </c>
      <c r="B847" s="6">
        <v>1.78329035444E-5</v>
      </c>
      <c r="D847" t="s">
        <v>8</v>
      </c>
      <c r="E847" t="s">
        <v>170</v>
      </c>
      <c r="F847" t="s">
        <v>36</v>
      </c>
      <c r="G847" t="s">
        <v>971</v>
      </c>
    </row>
    <row r="848" spans="1:7" x14ac:dyDescent="0.3">
      <c r="A848" t="s">
        <v>174</v>
      </c>
      <c r="B848" s="6">
        <v>1.0999167855400001E-5</v>
      </c>
      <c r="D848" t="s">
        <v>8</v>
      </c>
      <c r="E848" t="s">
        <v>179</v>
      </c>
      <c r="F848" t="s">
        <v>36</v>
      </c>
      <c r="G848" t="s">
        <v>971</v>
      </c>
    </row>
    <row r="849" spans="1:7" x14ac:dyDescent="0.3">
      <c r="A849" t="s">
        <v>206</v>
      </c>
      <c r="B849" s="6">
        <v>2.5633024251099998E-6</v>
      </c>
      <c r="D849" t="s">
        <v>8</v>
      </c>
      <c r="E849" t="s">
        <v>171</v>
      </c>
      <c r="F849" t="s">
        <v>36</v>
      </c>
      <c r="G849" t="s">
        <v>971</v>
      </c>
    </row>
    <row r="850" spans="1:7" x14ac:dyDescent="0.3">
      <c r="A850" t="s">
        <v>200</v>
      </c>
      <c r="B850" s="6">
        <v>1.76319543509E-6</v>
      </c>
      <c r="D850" t="s">
        <v>8</v>
      </c>
      <c r="E850" t="s">
        <v>171</v>
      </c>
      <c r="F850" t="s">
        <v>36</v>
      </c>
      <c r="G850" t="s">
        <v>971</v>
      </c>
    </row>
    <row r="851" spans="1:7" x14ac:dyDescent="0.3">
      <c r="A851" t="s">
        <v>206</v>
      </c>
      <c r="B851" s="6">
        <v>1.5110556348100001E-6</v>
      </c>
      <c r="D851" t="s">
        <v>8</v>
      </c>
      <c r="E851" t="s">
        <v>179</v>
      </c>
      <c r="F851" t="s">
        <v>36</v>
      </c>
      <c r="G851" t="s">
        <v>971</v>
      </c>
    </row>
    <row r="852" spans="1:7" x14ac:dyDescent="0.3">
      <c r="A852" t="s">
        <v>199</v>
      </c>
      <c r="B852" s="6">
        <v>1.0733475986699999E-6</v>
      </c>
      <c r="D852" t="s">
        <v>8</v>
      </c>
      <c r="E852" t="s">
        <v>171</v>
      </c>
      <c r="F852" t="s">
        <v>36</v>
      </c>
      <c r="G852" t="s">
        <v>971</v>
      </c>
    </row>
    <row r="853" spans="1:7" x14ac:dyDescent="0.3">
      <c r="A853" t="s">
        <v>199</v>
      </c>
      <c r="B853" s="6">
        <v>1.05515929624E-6</v>
      </c>
      <c r="D853" t="s">
        <v>8</v>
      </c>
      <c r="E853" t="s">
        <v>179</v>
      </c>
      <c r="F853" t="s">
        <v>36</v>
      </c>
      <c r="G853" t="s">
        <v>971</v>
      </c>
    </row>
    <row r="854" spans="1:7" x14ac:dyDescent="0.3">
      <c r="A854" t="s">
        <v>202</v>
      </c>
      <c r="B854" s="6">
        <v>9.2813837375200001E-7</v>
      </c>
      <c r="D854" t="s">
        <v>8</v>
      </c>
      <c r="E854" t="s">
        <v>171</v>
      </c>
      <c r="F854" t="s">
        <v>36</v>
      </c>
      <c r="G854" t="s">
        <v>971</v>
      </c>
    </row>
    <row r="855" spans="1:7" x14ac:dyDescent="0.3">
      <c r="A855" t="s">
        <v>168</v>
      </c>
      <c r="B855" s="6">
        <v>3.3541963861200002E-7</v>
      </c>
      <c r="D855" t="s">
        <v>8</v>
      </c>
      <c r="E855" t="s">
        <v>171</v>
      </c>
      <c r="F855" t="s">
        <v>36</v>
      </c>
      <c r="G855" t="s">
        <v>971</v>
      </c>
    </row>
    <row r="856" spans="1:7" x14ac:dyDescent="0.3">
      <c r="A856" t="s">
        <v>200</v>
      </c>
      <c r="B856" s="6">
        <v>2.03084878745E-7</v>
      </c>
      <c r="D856" t="s">
        <v>8</v>
      </c>
      <c r="E856" t="s">
        <v>179</v>
      </c>
      <c r="F856" t="s">
        <v>36</v>
      </c>
      <c r="G856" t="s">
        <v>971</v>
      </c>
    </row>
    <row r="857" spans="1:7" x14ac:dyDescent="0.3">
      <c r="A857" t="s">
        <v>148</v>
      </c>
      <c r="B857" s="6">
        <v>2.1173240014199999E-8</v>
      </c>
      <c r="D857" t="s">
        <v>8</v>
      </c>
      <c r="E857" t="s">
        <v>170</v>
      </c>
      <c r="F857" t="s">
        <v>36</v>
      </c>
      <c r="G857" t="s">
        <v>971</v>
      </c>
    </row>
    <row r="858" spans="1:7" x14ac:dyDescent="0.3">
      <c r="A858" t="s">
        <v>168</v>
      </c>
      <c r="B858" s="6">
        <v>1.01200665716E-8</v>
      </c>
      <c r="D858" t="s">
        <v>8</v>
      </c>
      <c r="E858" t="s">
        <v>179</v>
      </c>
      <c r="F858" t="s">
        <v>36</v>
      </c>
      <c r="G858" t="s">
        <v>971</v>
      </c>
    </row>
    <row r="859" spans="1:7" x14ac:dyDescent="0.3">
      <c r="A859" t="s">
        <v>198</v>
      </c>
      <c r="B859" s="6">
        <v>9.8817165953399997E-9</v>
      </c>
      <c r="D859" t="s">
        <v>8</v>
      </c>
      <c r="E859" t="s">
        <v>171</v>
      </c>
      <c r="F859" t="s">
        <v>36</v>
      </c>
      <c r="G859" t="s">
        <v>971</v>
      </c>
    </row>
    <row r="860" spans="1:7" x14ac:dyDescent="0.3">
      <c r="A860" t="s">
        <v>201</v>
      </c>
      <c r="B860" s="6">
        <v>3.23472420352E-9</v>
      </c>
      <c r="D860" t="s">
        <v>8</v>
      </c>
      <c r="E860" t="s">
        <v>171</v>
      </c>
      <c r="F860" t="s">
        <v>36</v>
      </c>
      <c r="G860" t="s">
        <v>971</v>
      </c>
    </row>
    <row r="861" spans="1:7" x14ac:dyDescent="0.3">
      <c r="A861" t="s">
        <v>198</v>
      </c>
      <c r="B861" s="6">
        <v>2.01575130766E-9</v>
      </c>
      <c r="D861" t="s">
        <v>8</v>
      </c>
      <c r="E861" t="s">
        <v>179</v>
      </c>
      <c r="F861" t="s">
        <v>36</v>
      </c>
      <c r="G861" t="s">
        <v>971</v>
      </c>
    </row>
    <row r="862" spans="1:7" x14ac:dyDescent="0.3">
      <c r="A862" t="s">
        <v>201</v>
      </c>
      <c r="B862" s="6">
        <v>1.2854850213999999E-10</v>
      </c>
      <c r="D862" t="s">
        <v>8</v>
      </c>
      <c r="E862" t="s">
        <v>179</v>
      </c>
      <c r="F862" t="s">
        <v>36</v>
      </c>
      <c r="G862" t="s">
        <v>971</v>
      </c>
    </row>
    <row r="863" spans="1:7" x14ac:dyDescent="0.3">
      <c r="A863" t="s">
        <v>202</v>
      </c>
      <c r="B863" s="6">
        <v>3.0712077983799998E-11</v>
      </c>
      <c r="D863" t="s">
        <v>8</v>
      </c>
      <c r="E863" t="s">
        <v>179</v>
      </c>
      <c r="F863" t="s">
        <v>36</v>
      </c>
      <c r="G863" t="s">
        <v>971</v>
      </c>
    </row>
    <row r="864" spans="1:7" x14ac:dyDescent="0.3">
      <c r="A864" t="s">
        <v>201</v>
      </c>
      <c r="B864" s="6">
        <v>-2.4576541844999999E-9</v>
      </c>
      <c r="D864" t="s">
        <v>8</v>
      </c>
      <c r="E864" t="s">
        <v>170</v>
      </c>
      <c r="F864" t="s">
        <v>36</v>
      </c>
      <c r="G864" t="s">
        <v>971</v>
      </c>
    </row>
    <row r="865" spans="1:7" x14ac:dyDescent="0.3">
      <c r="A865" t="s">
        <v>168</v>
      </c>
      <c r="B865" s="6">
        <v>-1.9346622117199999E-7</v>
      </c>
      <c r="D865" t="s">
        <v>8</v>
      </c>
      <c r="E865" t="s">
        <v>170</v>
      </c>
      <c r="F865" t="s">
        <v>36</v>
      </c>
      <c r="G865" t="s">
        <v>971</v>
      </c>
    </row>
    <row r="866" spans="1:7" x14ac:dyDescent="0.3">
      <c r="A866" t="s">
        <v>138</v>
      </c>
      <c r="B866" s="6">
        <v>-2.8501402163599999E-7</v>
      </c>
      <c r="D866" t="s">
        <v>8</v>
      </c>
      <c r="E866" t="s">
        <v>170</v>
      </c>
      <c r="F866" t="s">
        <v>36</v>
      </c>
      <c r="G866" t="s">
        <v>971</v>
      </c>
    </row>
    <row r="867" spans="1:7" x14ac:dyDescent="0.3">
      <c r="A867" t="s">
        <v>145</v>
      </c>
      <c r="B867" s="6">
        <v>-1.318800077266E-6</v>
      </c>
      <c r="D867" t="s">
        <v>8</v>
      </c>
      <c r="E867" t="s">
        <v>170</v>
      </c>
      <c r="F867" t="s">
        <v>36</v>
      </c>
      <c r="G867" t="s">
        <v>971</v>
      </c>
    </row>
    <row r="868" spans="1:7" x14ac:dyDescent="0.3">
      <c r="A868" t="s">
        <v>132</v>
      </c>
      <c r="B868" s="6">
        <v>-3.0258531770069999E-6</v>
      </c>
      <c r="D868" t="s">
        <v>8</v>
      </c>
      <c r="E868" t="s">
        <v>170</v>
      </c>
      <c r="F868" t="s">
        <v>36</v>
      </c>
      <c r="G868" t="s">
        <v>971</v>
      </c>
    </row>
    <row r="869" spans="1:7" x14ac:dyDescent="0.3">
      <c r="A869" t="s">
        <v>142</v>
      </c>
      <c r="B869" s="6">
        <v>-3.2407916964000002E-6</v>
      </c>
      <c r="D869" t="s">
        <v>8</v>
      </c>
      <c r="E869" t="s">
        <v>170</v>
      </c>
      <c r="F869" t="s">
        <v>36</v>
      </c>
      <c r="G869" t="s">
        <v>971</v>
      </c>
    </row>
    <row r="871" spans="1:7" ht="15.6" x14ac:dyDescent="0.3">
      <c r="A871" s="1" t="s">
        <v>1</v>
      </c>
      <c r="B871" s="73" t="s">
        <v>760</v>
      </c>
    </row>
    <row r="872" spans="1:7" x14ac:dyDescent="0.3">
      <c r="A872" t="s">
        <v>2</v>
      </c>
      <c r="B872" s="6" t="s">
        <v>970</v>
      </c>
    </row>
    <row r="873" spans="1:7" x14ac:dyDescent="0.3">
      <c r="A873" t="s">
        <v>3</v>
      </c>
      <c r="B873" s="6">
        <v>1</v>
      </c>
    </row>
    <row r="874" spans="1:7" x14ac:dyDescent="0.3">
      <c r="A874" t="s">
        <v>4</v>
      </c>
      <c r="B874" s="6" t="s">
        <v>760</v>
      </c>
    </row>
    <row r="875" spans="1:7" x14ac:dyDescent="0.3">
      <c r="A875" t="s">
        <v>5</v>
      </c>
      <c r="B875" s="6" t="s">
        <v>6</v>
      </c>
    </row>
    <row r="876" spans="1:7" x14ac:dyDescent="0.3">
      <c r="A876" t="s">
        <v>7</v>
      </c>
      <c r="B876" s="6" t="s">
        <v>8</v>
      </c>
    </row>
    <row r="877" spans="1:7" x14ac:dyDescent="0.3">
      <c r="A877" t="s">
        <v>9</v>
      </c>
      <c r="B877" s="6" t="s">
        <v>641</v>
      </c>
    </row>
    <row r="878" spans="1:7" x14ac:dyDescent="0.3">
      <c r="A878" t="s">
        <v>872</v>
      </c>
      <c r="B878" s="6">
        <v>5</v>
      </c>
    </row>
    <row r="879" spans="1:7" x14ac:dyDescent="0.3">
      <c r="A879" t="s">
        <v>850</v>
      </c>
      <c r="B879" s="6">
        <v>37</v>
      </c>
    </row>
    <row r="880" spans="1:7" ht="15.6" x14ac:dyDescent="0.3">
      <c r="A880" s="1" t="s">
        <v>12</v>
      </c>
    </row>
    <row r="881" spans="1:8" x14ac:dyDescent="0.3">
      <c r="A881" t="s">
        <v>13</v>
      </c>
      <c r="B881" s="6" t="s">
        <v>14</v>
      </c>
      <c r="C881" t="s">
        <v>2</v>
      </c>
      <c r="D881" t="s">
        <v>7</v>
      </c>
      <c r="E881" t="s">
        <v>15</v>
      </c>
      <c r="F881" t="s">
        <v>5</v>
      </c>
      <c r="G881" t="s">
        <v>11</v>
      </c>
      <c r="H881" t="s">
        <v>4</v>
      </c>
    </row>
    <row r="882" spans="1:8" x14ac:dyDescent="0.3">
      <c r="A882" t="s">
        <v>760</v>
      </c>
      <c r="B882" s="6">
        <v>1</v>
      </c>
      <c r="C882" s="6" t="s">
        <v>970</v>
      </c>
      <c r="D882" t="s">
        <v>8</v>
      </c>
      <c r="E882" t="s">
        <v>747</v>
      </c>
      <c r="F882" t="s">
        <v>17</v>
      </c>
      <c r="G882" t="s">
        <v>18</v>
      </c>
      <c r="H882" t="s">
        <v>760</v>
      </c>
    </row>
    <row r="883" spans="1:8" x14ac:dyDescent="0.3">
      <c r="A883" t="s">
        <v>1049</v>
      </c>
      <c r="B883" s="6">
        <f>(1.8535*B879)/B831</f>
        <v>3.1059556159420287</v>
      </c>
      <c r="C883" t="s">
        <v>970</v>
      </c>
      <c r="D883" t="s">
        <v>8</v>
      </c>
      <c r="E883" t="s">
        <v>643</v>
      </c>
      <c r="F883" t="s">
        <v>20</v>
      </c>
      <c r="G883" t="s">
        <v>18</v>
      </c>
      <c r="H883" t="s">
        <v>761</v>
      </c>
    </row>
    <row r="884" spans="1:8" x14ac:dyDescent="0.3">
      <c r="A884" t="s">
        <v>352</v>
      </c>
      <c r="B884" s="6">
        <v>0.25370900000000002</v>
      </c>
      <c r="C884" t="s">
        <v>31</v>
      </c>
      <c r="D884" t="s">
        <v>41</v>
      </c>
      <c r="E884" t="s">
        <v>646</v>
      </c>
      <c r="F884" t="s">
        <v>20</v>
      </c>
      <c r="G884" t="s">
        <v>762</v>
      </c>
      <c r="H884" t="s">
        <v>353</v>
      </c>
    </row>
    <row r="885" spans="1:8" x14ac:dyDescent="0.3">
      <c r="A885" t="s">
        <v>22</v>
      </c>
      <c r="B885" s="6">
        <f>0.0033041*43</f>
        <v>0.14207629999999999</v>
      </c>
      <c r="C885" t="s">
        <v>26</v>
      </c>
      <c r="D885" t="s">
        <v>19</v>
      </c>
      <c r="E885" t="s">
        <v>643</v>
      </c>
      <c r="F885" t="s">
        <v>20</v>
      </c>
      <c r="G885" t="s">
        <v>18</v>
      </c>
      <c r="H885" t="s">
        <v>23</v>
      </c>
    </row>
    <row r="886" spans="1:8" x14ac:dyDescent="0.3">
      <c r="A886" t="s">
        <v>1052</v>
      </c>
      <c r="B886" s="6">
        <v>6.9399641999999995E-4</v>
      </c>
      <c r="C886" t="s">
        <v>970</v>
      </c>
      <c r="D886" t="s">
        <v>29</v>
      </c>
      <c r="E886" t="s">
        <v>646</v>
      </c>
      <c r="F886" t="s">
        <v>20</v>
      </c>
      <c r="G886" t="s">
        <v>765</v>
      </c>
      <c r="H886" t="s">
        <v>662</v>
      </c>
    </row>
    <row r="887" spans="1:8" x14ac:dyDescent="0.3">
      <c r="A887" t="s">
        <v>40</v>
      </c>
      <c r="B887" s="6">
        <v>3.6851999999999992E-5</v>
      </c>
      <c r="D887" t="s">
        <v>8</v>
      </c>
      <c r="E887" t="s">
        <v>37</v>
      </c>
      <c r="F887" t="s">
        <v>36</v>
      </c>
      <c r="G887" t="s">
        <v>18</v>
      </c>
    </row>
    <row r="888" spans="1:8" x14ac:dyDescent="0.3">
      <c r="A888" t="s">
        <v>193</v>
      </c>
      <c r="B888" s="6">
        <v>5.4649000000000008E-3</v>
      </c>
      <c r="D888" t="s">
        <v>8</v>
      </c>
      <c r="E888" t="s">
        <v>37</v>
      </c>
      <c r="F888" t="s">
        <v>36</v>
      </c>
      <c r="G888" t="s">
        <v>18</v>
      </c>
    </row>
    <row r="889" spans="1:8" x14ac:dyDescent="0.3">
      <c r="A889" t="s">
        <v>193</v>
      </c>
      <c r="B889" s="6">
        <v>2.5899999999999999E-5</v>
      </c>
      <c r="D889" t="s">
        <v>8</v>
      </c>
      <c r="E889" t="s">
        <v>37</v>
      </c>
      <c r="F889" t="s">
        <v>36</v>
      </c>
      <c r="G889" t="s">
        <v>18</v>
      </c>
    </row>
    <row r="891" spans="1:8" ht="15.6" x14ac:dyDescent="0.3">
      <c r="A891" s="1" t="s">
        <v>1</v>
      </c>
      <c r="B891" s="73" t="s">
        <v>748</v>
      </c>
    </row>
    <row r="892" spans="1:8" x14ac:dyDescent="0.3">
      <c r="A892" t="s">
        <v>2</v>
      </c>
      <c r="B892" s="6" t="s">
        <v>970</v>
      </c>
    </row>
    <row r="893" spans="1:8" x14ac:dyDescent="0.3">
      <c r="A893" t="s">
        <v>3</v>
      </c>
      <c r="B893" s="6">
        <v>1</v>
      </c>
    </row>
    <row r="894" spans="1:8" x14ac:dyDescent="0.3">
      <c r="A894" t="s">
        <v>4</v>
      </c>
      <c r="B894" s="6" t="s">
        <v>748</v>
      </c>
    </row>
    <row r="895" spans="1:8" x14ac:dyDescent="0.3">
      <c r="A895" t="s">
        <v>5</v>
      </c>
      <c r="B895" s="6" t="s">
        <v>6</v>
      </c>
    </row>
    <row r="896" spans="1:8" x14ac:dyDescent="0.3">
      <c r="A896" t="s">
        <v>7</v>
      </c>
      <c r="B896" s="6" t="s">
        <v>8</v>
      </c>
    </row>
    <row r="897" spans="1:8" x14ac:dyDescent="0.3">
      <c r="A897" t="s">
        <v>9</v>
      </c>
      <c r="B897" s="6" t="s">
        <v>641</v>
      </c>
    </row>
    <row r="898" spans="1:8" x14ac:dyDescent="0.3">
      <c r="A898" t="s">
        <v>850</v>
      </c>
      <c r="B898" s="6">
        <v>37</v>
      </c>
    </row>
    <row r="899" spans="1:8" ht="15.6" x14ac:dyDescent="0.3">
      <c r="A899" s="1" t="s">
        <v>12</v>
      </c>
    </row>
    <row r="900" spans="1:8" x14ac:dyDescent="0.3">
      <c r="A900" t="s">
        <v>13</v>
      </c>
      <c r="B900" s="6" t="s">
        <v>14</v>
      </c>
      <c r="C900" t="s">
        <v>2</v>
      </c>
      <c r="D900" t="s">
        <v>7</v>
      </c>
      <c r="E900" t="s">
        <v>15</v>
      </c>
      <c r="F900" t="s">
        <v>5</v>
      </c>
      <c r="G900" t="s">
        <v>11</v>
      </c>
      <c r="H900" t="s">
        <v>4</v>
      </c>
    </row>
    <row r="901" spans="1:8" x14ac:dyDescent="0.3">
      <c r="A901" t="s">
        <v>748</v>
      </c>
      <c r="B901" s="6">
        <v>1</v>
      </c>
      <c r="C901" s="6" t="s">
        <v>970</v>
      </c>
      <c r="D901" t="s">
        <v>8</v>
      </c>
      <c r="E901" t="s">
        <v>747</v>
      </c>
      <c r="F901" t="s">
        <v>17</v>
      </c>
      <c r="G901" t="s">
        <v>18</v>
      </c>
      <c r="H901" t="s">
        <v>748</v>
      </c>
    </row>
    <row r="902" spans="1:8" x14ac:dyDescent="0.3">
      <c r="A902" t="s">
        <v>760</v>
      </c>
      <c r="B902" s="6">
        <v>1.0245899999999999</v>
      </c>
      <c r="C902" s="6" t="s">
        <v>970</v>
      </c>
      <c r="D902" t="s">
        <v>8</v>
      </c>
      <c r="E902" t="s">
        <v>643</v>
      </c>
      <c r="F902" t="s">
        <v>20</v>
      </c>
      <c r="G902" t="s">
        <v>18</v>
      </c>
      <c r="H902" t="s">
        <v>760</v>
      </c>
    </row>
    <row r="903" spans="1:8" x14ac:dyDescent="0.3">
      <c r="A903" t="s">
        <v>645</v>
      </c>
      <c r="B903" s="6">
        <v>0.14910999999999999</v>
      </c>
      <c r="C903" t="s">
        <v>31</v>
      </c>
      <c r="D903" t="s">
        <v>19</v>
      </c>
      <c r="E903" t="s">
        <v>646</v>
      </c>
      <c r="F903" t="s">
        <v>20</v>
      </c>
      <c r="G903" t="s">
        <v>18</v>
      </c>
      <c r="H903" t="s">
        <v>648</v>
      </c>
    </row>
    <row r="904" spans="1:8" x14ac:dyDescent="0.3">
      <c r="A904" t="s">
        <v>717</v>
      </c>
      <c r="B904" s="6">
        <v>1.1100000000000001E-3</v>
      </c>
      <c r="C904" t="s">
        <v>26</v>
      </c>
      <c r="D904" t="s">
        <v>8</v>
      </c>
      <c r="E904" t="s">
        <v>643</v>
      </c>
      <c r="F904" t="s">
        <v>20</v>
      </c>
      <c r="G904" t="s">
        <v>18</v>
      </c>
      <c r="H904" t="s">
        <v>718</v>
      </c>
    </row>
    <row r="905" spans="1:8" x14ac:dyDescent="0.3">
      <c r="A905" t="s">
        <v>388</v>
      </c>
      <c r="B905" s="6">
        <v>3.3300000000000001E-3</v>
      </c>
      <c r="C905" t="s">
        <v>26</v>
      </c>
      <c r="D905" t="s">
        <v>8</v>
      </c>
      <c r="E905" t="s">
        <v>643</v>
      </c>
      <c r="F905" t="s">
        <v>20</v>
      </c>
      <c r="G905" t="s">
        <v>18</v>
      </c>
      <c r="H905" t="s">
        <v>389</v>
      </c>
    </row>
    <row r="906" spans="1:8" x14ac:dyDescent="0.3">
      <c r="A906" t="s">
        <v>352</v>
      </c>
      <c r="B906" s="6">
        <v>0.1295</v>
      </c>
      <c r="C906" t="s">
        <v>31</v>
      </c>
      <c r="D906" t="s">
        <v>41</v>
      </c>
      <c r="E906" t="s">
        <v>646</v>
      </c>
      <c r="F906" t="s">
        <v>20</v>
      </c>
      <c r="G906" t="s">
        <v>787</v>
      </c>
      <c r="H906" t="s">
        <v>353</v>
      </c>
    </row>
    <row r="907" spans="1:8" x14ac:dyDescent="0.3">
      <c r="A907" t="s">
        <v>990</v>
      </c>
      <c r="B907" s="6">
        <v>16.287399999999998</v>
      </c>
      <c r="C907" t="s">
        <v>26</v>
      </c>
      <c r="D907" t="s">
        <v>41</v>
      </c>
      <c r="E907" t="s">
        <v>646</v>
      </c>
      <c r="F907" t="s">
        <v>20</v>
      </c>
      <c r="G907" t="s">
        <v>788</v>
      </c>
      <c r="H907" t="s">
        <v>991</v>
      </c>
    </row>
    <row r="908" spans="1:8" x14ac:dyDescent="0.3">
      <c r="A908" t="s">
        <v>1052</v>
      </c>
      <c r="B908" s="6">
        <v>9.5659799999999982E-3</v>
      </c>
      <c r="C908" t="s">
        <v>970</v>
      </c>
      <c r="D908" t="s">
        <v>29</v>
      </c>
      <c r="E908" t="s">
        <v>646</v>
      </c>
      <c r="F908" t="s">
        <v>20</v>
      </c>
      <c r="G908" t="s">
        <v>18</v>
      </c>
      <c r="H908" t="s">
        <v>662</v>
      </c>
    </row>
    <row r="909" spans="1:8" x14ac:dyDescent="0.3">
      <c r="A909" t="s">
        <v>1052</v>
      </c>
      <c r="B909" s="6">
        <v>1.8411940000000002E-2</v>
      </c>
      <c r="C909" t="s">
        <v>970</v>
      </c>
      <c r="D909" t="s">
        <v>29</v>
      </c>
      <c r="E909" t="s">
        <v>646</v>
      </c>
      <c r="F909" t="s">
        <v>20</v>
      </c>
      <c r="G909" t="s">
        <v>789</v>
      </c>
      <c r="H909" t="s">
        <v>662</v>
      </c>
    </row>
    <row r="911" spans="1:8" ht="15.6" x14ac:dyDescent="0.3">
      <c r="A911" s="1" t="s">
        <v>1</v>
      </c>
      <c r="B911" s="73" t="s">
        <v>895</v>
      </c>
    </row>
    <row r="912" spans="1:8" x14ac:dyDescent="0.3">
      <c r="A912" t="s">
        <v>2</v>
      </c>
      <c r="B912" s="6" t="s">
        <v>970</v>
      </c>
    </row>
    <row r="913" spans="1:14" x14ac:dyDescent="0.3">
      <c r="A913" t="s">
        <v>3</v>
      </c>
      <c r="B913" s="6">
        <v>1</v>
      </c>
    </row>
    <row r="914" spans="1:14" ht="15.6" x14ac:dyDescent="0.3">
      <c r="A914" t="s">
        <v>4</v>
      </c>
      <c r="B914" s="74" t="s">
        <v>1031</v>
      </c>
    </row>
    <row r="915" spans="1:14" x14ac:dyDescent="0.3">
      <c r="A915" t="s">
        <v>5</v>
      </c>
      <c r="B915" s="6" t="s">
        <v>6</v>
      </c>
    </row>
    <row r="916" spans="1:14" x14ac:dyDescent="0.3">
      <c r="A916" t="s">
        <v>7</v>
      </c>
      <c r="B916" s="6" t="s">
        <v>8</v>
      </c>
    </row>
    <row r="917" spans="1:14" x14ac:dyDescent="0.3">
      <c r="A917" t="s">
        <v>9</v>
      </c>
      <c r="B917" s="6" t="s">
        <v>641</v>
      </c>
    </row>
    <row r="918" spans="1:14" x14ac:dyDescent="0.3">
      <c r="A918" t="s">
        <v>497</v>
      </c>
      <c r="B918" s="72">
        <f>Summary!O56</f>
        <v>0.85436596277646781</v>
      </c>
    </row>
    <row r="919" spans="1:14" ht="15.6" x14ac:dyDescent="0.3">
      <c r="A919" s="1" t="s">
        <v>12</v>
      </c>
    </row>
    <row r="920" spans="1:14" x14ac:dyDescent="0.3">
      <c r="A920" t="s">
        <v>13</v>
      </c>
      <c r="B920" s="6" t="s">
        <v>14</v>
      </c>
      <c r="C920" t="s">
        <v>2</v>
      </c>
      <c r="D920" t="s">
        <v>7</v>
      </c>
      <c r="E920" t="s">
        <v>15</v>
      </c>
      <c r="F920" t="s">
        <v>5</v>
      </c>
      <c r="G920" t="s">
        <v>338</v>
      </c>
      <c r="H920" t="s">
        <v>339</v>
      </c>
      <c r="I920" t="s">
        <v>16</v>
      </c>
      <c r="J920" t="s">
        <v>11</v>
      </c>
      <c r="K920" t="s">
        <v>642</v>
      </c>
      <c r="L920" t="s">
        <v>4</v>
      </c>
      <c r="M920" t="s">
        <v>667</v>
      </c>
      <c r="N920" t="s">
        <v>668</v>
      </c>
    </row>
    <row r="921" spans="1:14" ht="15.6" x14ac:dyDescent="0.3">
      <c r="A921" s="2" t="s">
        <v>895</v>
      </c>
      <c r="B921" s="6">
        <v>1</v>
      </c>
      <c r="C921" s="6" t="s">
        <v>970</v>
      </c>
      <c r="D921" t="s">
        <v>8</v>
      </c>
      <c r="E921" t="s">
        <v>747</v>
      </c>
      <c r="F921" t="s">
        <v>17</v>
      </c>
      <c r="I921">
        <v>100</v>
      </c>
      <c r="J921" t="s">
        <v>18</v>
      </c>
      <c r="K921" s="74" t="s">
        <v>1031</v>
      </c>
    </row>
    <row r="922" spans="1:14" x14ac:dyDescent="0.3">
      <c r="A922" t="s">
        <v>748</v>
      </c>
      <c r="B922" s="6">
        <f>37.223436/B898</f>
        <v>1.0060388108108107</v>
      </c>
      <c r="C922" s="6" t="s">
        <v>970</v>
      </c>
      <c r="D922" t="s">
        <v>8</v>
      </c>
      <c r="E922" t="s">
        <v>646</v>
      </c>
      <c r="F922" t="s">
        <v>20</v>
      </c>
      <c r="G922">
        <v>0</v>
      </c>
      <c r="H922">
        <v>1.0006299999999999</v>
      </c>
      <c r="J922" t="s">
        <v>18</v>
      </c>
      <c r="K922" t="s">
        <v>748</v>
      </c>
    </row>
    <row r="923" spans="1:14" x14ac:dyDescent="0.3">
      <c r="A923" t="s">
        <v>645</v>
      </c>
      <c r="B923" s="6">
        <v>1.2290000000000001</v>
      </c>
      <c r="C923" t="s">
        <v>31</v>
      </c>
      <c r="D923" t="s">
        <v>19</v>
      </c>
      <c r="E923" t="s">
        <v>646</v>
      </c>
      <c r="F923" t="s">
        <v>20</v>
      </c>
      <c r="G923">
        <v>0</v>
      </c>
      <c r="H923">
        <v>0.33029999999999998</v>
      </c>
      <c r="J923" t="s">
        <v>18</v>
      </c>
      <c r="K923" t="s">
        <v>648</v>
      </c>
      <c r="L923" t="s">
        <v>648</v>
      </c>
      <c r="M923" t="s">
        <v>672</v>
      </c>
      <c r="N923" t="s">
        <v>673</v>
      </c>
    </row>
    <row r="924" spans="1:14" x14ac:dyDescent="0.3">
      <c r="A924" t="s">
        <v>732</v>
      </c>
      <c r="B924" s="6">
        <v>3.7200000000000006E-3</v>
      </c>
      <c r="C924" t="s">
        <v>31</v>
      </c>
      <c r="D924" t="s">
        <v>8</v>
      </c>
      <c r="E924" t="s">
        <v>646</v>
      </c>
      <c r="F924" t="s">
        <v>20</v>
      </c>
      <c r="G924">
        <v>0</v>
      </c>
      <c r="H924">
        <v>1E-4</v>
      </c>
      <c r="J924" t="s">
        <v>18</v>
      </c>
      <c r="K924" t="s">
        <v>733</v>
      </c>
      <c r="L924" t="s">
        <v>733</v>
      </c>
      <c r="M924" t="s">
        <v>734</v>
      </c>
      <c r="N924" t="s">
        <v>673</v>
      </c>
    </row>
    <row r="925" spans="1:14" x14ac:dyDescent="0.3">
      <c r="A925" t="s">
        <v>713</v>
      </c>
      <c r="B925" s="6">
        <v>9.5522160000000009E-2</v>
      </c>
      <c r="C925" t="s">
        <v>26</v>
      </c>
      <c r="D925" t="s">
        <v>8</v>
      </c>
      <c r="E925" t="s">
        <v>646</v>
      </c>
      <c r="F925" t="s">
        <v>20</v>
      </c>
      <c r="G925">
        <v>0</v>
      </c>
      <c r="H925">
        <v>2.5677999999999999E-3</v>
      </c>
      <c r="J925" t="s">
        <v>18</v>
      </c>
      <c r="K925" t="s">
        <v>715</v>
      </c>
      <c r="L925" t="s">
        <v>715</v>
      </c>
      <c r="M925" t="s">
        <v>716</v>
      </c>
      <c r="N925" t="s">
        <v>673</v>
      </c>
    </row>
    <row r="926" spans="1:14" x14ac:dyDescent="0.3">
      <c r="A926" t="s">
        <v>735</v>
      </c>
      <c r="B926" s="6">
        <v>1.3764E-2</v>
      </c>
      <c r="C926" t="s">
        <v>26</v>
      </c>
      <c r="D926" t="s">
        <v>8</v>
      </c>
      <c r="E926" t="s">
        <v>646</v>
      </c>
      <c r="F926" t="s">
        <v>20</v>
      </c>
      <c r="G926">
        <v>0</v>
      </c>
      <c r="H926">
        <v>3.6999999999999999E-4</v>
      </c>
      <c r="J926" t="s">
        <v>18</v>
      </c>
      <c r="K926" t="s">
        <v>737</v>
      </c>
      <c r="L926" t="s">
        <v>737</v>
      </c>
      <c r="M926" t="s">
        <v>738</v>
      </c>
      <c r="N926" t="s">
        <v>673</v>
      </c>
    </row>
    <row r="927" spans="1:14" x14ac:dyDescent="0.3">
      <c r="A927" t="s">
        <v>100</v>
      </c>
      <c r="B927" s="6">
        <v>0.37944000000000006</v>
      </c>
      <c r="C927" t="s">
        <v>31</v>
      </c>
      <c r="D927" t="s">
        <v>41</v>
      </c>
      <c r="E927" t="s">
        <v>646</v>
      </c>
      <c r="F927" t="s">
        <v>20</v>
      </c>
      <c r="G927">
        <v>0</v>
      </c>
      <c r="H927">
        <v>1.0200000000000001E-2</v>
      </c>
      <c r="J927" t="s">
        <v>18</v>
      </c>
      <c r="K927" t="s">
        <v>103</v>
      </c>
      <c r="L927" t="s">
        <v>103</v>
      </c>
      <c r="M927" t="s">
        <v>674</v>
      </c>
      <c r="N927" t="s">
        <v>673</v>
      </c>
    </row>
    <row r="928" spans="1:14" x14ac:dyDescent="0.3">
      <c r="A928" t="s">
        <v>97</v>
      </c>
      <c r="B928" s="6">
        <v>0.15252000000000002</v>
      </c>
      <c r="C928" t="s">
        <v>31</v>
      </c>
      <c r="D928" t="s">
        <v>41</v>
      </c>
      <c r="E928" t="s">
        <v>646</v>
      </c>
      <c r="F928" t="s">
        <v>20</v>
      </c>
      <c r="G928">
        <v>0</v>
      </c>
      <c r="H928">
        <v>4.1000000000000003E-3</v>
      </c>
      <c r="J928" t="s">
        <v>18</v>
      </c>
      <c r="K928" t="s">
        <v>98</v>
      </c>
      <c r="L928" t="s">
        <v>98</v>
      </c>
      <c r="M928" t="s">
        <v>675</v>
      </c>
      <c r="N928" t="s">
        <v>673</v>
      </c>
    </row>
    <row r="929" spans="1:14" x14ac:dyDescent="0.3">
      <c r="A929" t="s">
        <v>352</v>
      </c>
      <c r="B929" s="6">
        <v>0.32736000000000004</v>
      </c>
      <c r="C929" t="s">
        <v>31</v>
      </c>
      <c r="D929" t="s">
        <v>41</v>
      </c>
      <c r="E929" t="s">
        <v>646</v>
      </c>
      <c r="F929" t="s">
        <v>20</v>
      </c>
      <c r="G929">
        <v>0</v>
      </c>
      <c r="H929">
        <v>8.8000000000000005E-3</v>
      </c>
      <c r="J929" t="s">
        <v>749</v>
      </c>
      <c r="K929" t="s">
        <v>353</v>
      </c>
      <c r="L929" t="s">
        <v>353</v>
      </c>
      <c r="M929" t="s">
        <v>1023</v>
      </c>
      <c r="N929" t="s">
        <v>673</v>
      </c>
    </row>
    <row r="930" spans="1:14" x14ac:dyDescent="0.3">
      <c r="A930" t="s">
        <v>352</v>
      </c>
      <c r="B930" s="6">
        <v>0.15996000000000002</v>
      </c>
      <c r="C930" t="s">
        <v>31</v>
      </c>
      <c r="D930" t="s">
        <v>41</v>
      </c>
      <c r="E930" t="s">
        <v>646</v>
      </c>
      <c r="F930" t="s">
        <v>20</v>
      </c>
      <c r="G930">
        <v>0</v>
      </c>
      <c r="H930">
        <v>4.3E-3</v>
      </c>
      <c r="J930" t="s">
        <v>750</v>
      </c>
      <c r="K930" t="s">
        <v>353</v>
      </c>
      <c r="L930" t="s">
        <v>353</v>
      </c>
      <c r="M930" t="s">
        <v>1023</v>
      </c>
      <c r="N930" t="s">
        <v>673</v>
      </c>
    </row>
    <row r="931" spans="1:14" x14ac:dyDescent="0.3">
      <c r="A931" t="s">
        <v>990</v>
      </c>
      <c r="B931" s="6">
        <v>1.11972</v>
      </c>
      <c r="C931" t="s">
        <v>26</v>
      </c>
      <c r="D931" t="s">
        <v>41</v>
      </c>
      <c r="E931" t="s">
        <v>646</v>
      </c>
      <c r="F931" t="s">
        <v>20</v>
      </c>
      <c r="G931">
        <v>0</v>
      </c>
      <c r="H931">
        <v>3.0099999999999998E-2</v>
      </c>
      <c r="J931" t="s">
        <v>18</v>
      </c>
      <c r="K931" t="s">
        <v>991</v>
      </c>
      <c r="L931" t="s">
        <v>991</v>
      </c>
      <c r="M931" t="s">
        <v>992</v>
      </c>
      <c r="N931" t="s">
        <v>673</v>
      </c>
    </row>
    <row r="932" spans="1:14" x14ac:dyDescent="0.3">
      <c r="A932" t="s">
        <v>1052</v>
      </c>
      <c r="B932" s="6">
        <v>4.1883480000000001E-2</v>
      </c>
      <c r="C932" t="s">
        <v>970</v>
      </c>
      <c r="D932" t="s">
        <v>29</v>
      </c>
      <c r="E932" t="s">
        <v>646</v>
      </c>
      <c r="F932" t="s">
        <v>20</v>
      </c>
      <c r="G932">
        <v>0</v>
      </c>
      <c r="H932">
        <v>4.0499999999999998E-3</v>
      </c>
      <c r="J932" t="s">
        <v>18</v>
      </c>
      <c r="K932" t="s">
        <v>662</v>
      </c>
      <c r="L932" t="s">
        <v>662</v>
      </c>
      <c r="M932" t="s">
        <v>679</v>
      </c>
      <c r="N932" t="s">
        <v>673</v>
      </c>
    </row>
    <row r="933" spans="1:14" x14ac:dyDescent="0.3">
      <c r="A933" t="s">
        <v>1052</v>
      </c>
      <c r="B933" s="6">
        <v>8.6869440000000003E-3</v>
      </c>
      <c r="C933" t="s">
        <v>970</v>
      </c>
      <c r="D933" t="s">
        <v>29</v>
      </c>
      <c r="E933" t="s">
        <v>646</v>
      </c>
      <c r="F933" t="s">
        <v>20</v>
      </c>
      <c r="G933">
        <v>0</v>
      </c>
      <c r="H933">
        <v>8.4000000000000003E-4</v>
      </c>
      <c r="J933" t="s">
        <v>751</v>
      </c>
      <c r="K933" t="s">
        <v>662</v>
      </c>
      <c r="L933" t="s">
        <v>662</v>
      </c>
      <c r="M933" t="s">
        <v>679</v>
      </c>
      <c r="N933" t="s">
        <v>673</v>
      </c>
    </row>
    <row r="934" spans="1:14" x14ac:dyDescent="0.3">
      <c r="A934" t="s">
        <v>1052</v>
      </c>
      <c r="B934" s="6">
        <v>3.5161440000000002E-2</v>
      </c>
      <c r="C934" t="s">
        <v>970</v>
      </c>
      <c r="D934" t="s">
        <v>29</v>
      </c>
      <c r="E934" t="s">
        <v>646</v>
      </c>
      <c r="F934" t="s">
        <v>20</v>
      </c>
      <c r="G934">
        <v>0</v>
      </c>
      <c r="H934">
        <v>3.3999999999999998E-3</v>
      </c>
      <c r="J934" t="s">
        <v>752</v>
      </c>
      <c r="K934" t="s">
        <v>662</v>
      </c>
      <c r="L934" t="s">
        <v>662</v>
      </c>
      <c r="M934" t="s">
        <v>679</v>
      </c>
      <c r="N934" t="s">
        <v>673</v>
      </c>
    </row>
    <row r="935" spans="1:14" x14ac:dyDescent="0.3">
      <c r="A935" t="s">
        <v>265</v>
      </c>
      <c r="B935" s="6">
        <f>(B922*B902*B883*B833*(1+B821))-Parameters!B14</f>
        <v>3.3798088215825497</v>
      </c>
      <c r="D935" t="s">
        <v>8</v>
      </c>
      <c r="E935" t="s">
        <v>37</v>
      </c>
      <c r="F935" t="s">
        <v>36</v>
      </c>
      <c r="G935">
        <v>0</v>
      </c>
      <c r="H935">
        <v>5.4000000000000003E-3</v>
      </c>
    </row>
    <row r="937" spans="1:14" ht="15.6" x14ac:dyDescent="0.3">
      <c r="A937" s="1" t="s">
        <v>1</v>
      </c>
      <c r="B937" s="73" t="s">
        <v>746</v>
      </c>
    </row>
    <row r="938" spans="1:14" x14ac:dyDescent="0.3">
      <c r="A938" t="s">
        <v>2</v>
      </c>
      <c r="B938" s="6" t="s">
        <v>970</v>
      </c>
    </row>
    <row r="939" spans="1:14" x14ac:dyDescent="0.3">
      <c r="A939" t="s">
        <v>3</v>
      </c>
      <c r="B939" s="6">
        <v>1</v>
      </c>
    </row>
    <row r="940" spans="1:14" ht="15.6" x14ac:dyDescent="0.3">
      <c r="A940" t="s">
        <v>4</v>
      </c>
      <c r="B940" s="74" t="s">
        <v>710</v>
      </c>
    </row>
    <row r="941" spans="1:14" x14ac:dyDescent="0.3">
      <c r="A941" t="s">
        <v>9</v>
      </c>
      <c r="B941" s="6" t="s">
        <v>641</v>
      </c>
    </row>
    <row r="942" spans="1:14" x14ac:dyDescent="0.3">
      <c r="A942" t="s">
        <v>5</v>
      </c>
      <c r="B942" s="6" t="s">
        <v>6</v>
      </c>
    </row>
    <row r="943" spans="1:14" x14ac:dyDescent="0.3">
      <c r="A943" t="s">
        <v>7</v>
      </c>
      <c r="B943" s="6" t="s">
        <v>8</v>
      </c>
    </row>
    <row r="944" spans="1:14" ht="15.6" x14ac:dyDescent="0.3">
      <c r="A944" s="1" t="s">
        <v>12</v>
      </c>
    </row>
    <row r="945" spans="1:11" x14ac:dyDescent="0.3">
      <c r="A945" t="s">
        <v>13</v>
      </c>
      <c r="B945" s="6" t="s">
        <v>14</v>
      </c>
      <c r="C945" t="s">
        <v>2</v>
      </c>
      <c r="D945" t="s">
        <v>7</v>
      </c>
      <c r="E945" t="s">
        <v>15</v>
      </c>
      <c r="F945" t="s">
        <v>5</v>
      </c>
      <c r="G945" t="s">
        <v>338</v>
      </c>
      <c r="H945" t="s">
        <v>339</v>
      </c>
      <c r="I945" t="s">
        <v>16</v>
      </c>
      <c r="J945" t="s">
        <v>11</v>
      </c>
      <c r="K945" t="s">
        <v>4</v>
      </c>
    </row>
    <row r="946" spans="1:11" x14ac:dyDescent="0.3">
      <c r="A946" t="s">
        <v>746</v>
      </c>
      <c r="B946" s="6">
        <v>1</v>
      </c>
      <c r="C946" s="6" t="s">
        <v>970</v>
      </c>
      <c r="D946" t="s">
        <v>8</v>
      </c>
      <c r="F946" t="s">
        <v>17</v>
      </c>
      <c r="I946">
        <v>100</v>
      </c>
      <c r="J946" t="s">
        <v>18</v>
      </c>
      <c r="K946" t="s">
        <v>710</v>
      </c>
    </row>
    <row r="947" spans="1:11" ht="15.6" x14ac:dyDescent="0.3">
      <c r="A947" s="2" t="s">
        <v>895</v>
      </c>
      <c r="B947" s="6">
        <v>1.00057</v>
      </c>
      <c r="C947" s="6" t="s">
        <v>970</v>
      </c>
      <c r="D947" t="s">
        <v>8</v>
      </c>
      <c r="F947" t="s">
        <v>20</v>
      </c>
      <c r="K947" s="74" t="s">
        <v>1031</v>
      </c>
    </row>
    <row r="948" spans="1:11" x14ac:dyDescent="0.3">
      <c r="A948" t="s">
        <v>1052</v>
      </c>
      <c r="B948" s="6">
        <v>6.7000000000000002E-3</v>
      </c>
      <c r="C948" t="s">
        <v>970</v>
      </c>
      <c r="D948" t="s">
        <v>29</v>
      </c>
      <c r="F948" t="s">
        <v>20</v>
      </c>
      <c r="K948" t="s">
        <v>30</v>
      </c>
    </row>
    <row r="949" spans="1:11" x14ac:dyDescent="0.3">
      <c r="A949" t="s">
        <v>340</v>
      </c>
      <c r="B949" s="6">
        <v>-1.6799999999999999E-4</v>
      </c>
      <c r="C949" t="s">
        <v>633</v>
      </c>
      <c r="D949" t="s">
        <v>8</v>
      </c>
      <c r="F949" t="s">
        <v>20</v>
      </c>
      <c r="K949" t="s">
        <v>341</v>
      </c>
    </row>
    <row r="950" spans="1:11" x14ac:dyDescent="0.3">
      <c r="A950" t="s">
        <v>342</v>
      </c>
      <c r="B950" s="6">
        <v>5.8399999999999999E-4</v>
      </c>
      <c r="C950" t="s">
        <v>640</v>
      </c>
      <c r="D950" t="s">
        <v>19</v>
      </c>
      <c r="F950" t="s">
        <v>20</v>
      </c>
      <c r="K950" t="s">
        <v>343</v>
      </c>
    </row>
    <row r="951" spans="1:11" x14ac:dyDescent="0.3">
      <c r="A951" t="s">
        <v>344</v>
      </c>
      <c r="B951" s="6">
        <v>2.5999999999999998E-10</v>
      </c>
      <c r="C951" t="s">
        <v>581</v>
      </c>
      <c r="D951" t="s">
        <v>7</v>
      </c>
      <c r="F951" t="s">
        <v>20</v>
      </c>
      <c r="K951" t="s">
        <v>345</v>
      </c>
    </row>
    <row r="952" spans="1:11" x14ac:dyDescent="0.3">
      <c r="A952" t="s">
        <v>346</v>
      </c>
      <c r="B952" s="6">
        <v>-6.2700000000000001E-6</v>
      </c>
      <c r="C952" t="s">
        <v>640</v>
      </c>
      <c r="D952" t="s">
        <v>8</v>
      </c>
      <c r="F952" t="s">
        <v>20</v>
      </c>
      <c r="K952" t="s">
        <v>347</v>
      </c>
    </row>
    <row r="953" spans="1:11" x14ac:dyDescent="0.3">
      <c r="A953" t="s">
        <v>348</v>
      </c>
      <c r="B953" s="6">
        <v>-7.4999999999999993E-5</v>
      </c>
      <c r="C953" t="s">
        <v>633</v>
      </c>
      <c r="D953" t="s">
        <v>121</v>
      </c>
      <c r="F953" t="s">
        <v>20</v>
      </c>
      <c r="K953" t="s">
        <v>349</v>
      </c>
    </row>
    <row r="954" spans="1:11" x14ac:dyDescent="0.3">
      <c r="A954" t="s">
        <v>350</v>
      </c>
      <c r="B954" s="6">
        <v>6.8900000000000005E-4</v>
      </c>
      <c r="C954" t="s">
        <v>31</v>
      </c>
      <c r="D954" t="s">
        <v>8</v>
      </c>
      <c r="F954" t="s">
        <v>20</v>
      </c>
      <c r="K954" t="s">
        <v>351</v>
      </c>
    </row>
    <row r="955" spans="1:11" x14ac:dyDescent="0.3">
      <c r="A955" t="s">
        <v>100</v>
      </c>
      <c r="B955" s="6">
        <v>3.3599999999999998E-2</v>
      </c>
      <c r="C955" t="s">
        <v>31</v>
      </c>
      <c r="D955" t="s">
        <v>41</v>
      </c>
      <c r="F955" t="s">
        <v>20</v>
      </c>
      <c r="K955" t="s">
        <v>103</v>
      </c>
    </row>
    <row r="956" spans="1:11" x14ac:dyDescent="0.3">
      <c r="A956" t="s">
        <v>352</v>
      </c>
      <c r="B956" s="6">
        <v>3.2599999999999997E-2</v>
      </c>
      <c r="C956" t="s">
        <v>31</v>
      </c>
      <c r="D956" t="s">
        <v>41</v>
      </c>
      <c r="F956" t="s">
        <v>20</v>
      </c>
      <c r="K956" t="s">
        <v>353</v>
      </c>
    </row>
    <row r="957" spans="1:11" x14ac:dyDescent="0.3">
      <c r="A957" t="s">
        <v>354</v>
      </c>
      <c r="B957" s="6">
        <v>-6.8899999999999999E-7</v>
      </c>
      <c r="C957" t="s">
        <v>633</v>
      </c>
      <c r="D957" t="s">
        <v>121</v>
      </c>
      <c r="F957" t="s">
        <v>20</v>
      </c>
      <c r="K957" t="s">
        <v>355</v>
      </c>
    </row>
    <row r="958" spans="1:11" ht="16.2" customHeight="1" x14ac:dyDescent="0.3">
      <c r="A958" s="1"/>
      <c r="B958" s="73"/>
    </row>
    <row r="959" spans="1:11" ht="15.6" x14ac:dyDescent="0.3">
      <c r="A959" s="1" t="s">
        <v>1</v>
      </c>
      <c r="B959" s="73" t="s">
        <v>897</v>
      </c>
    </row>
    <row r="960" spans="1:11" x14ac:dyDescent="0.3">
      <c r="A960" t="s">
        <v>2</v>
      </c>
      <c r="B960" s="6" t="s">
        <v>581</v>
      </c>
    </row>
    <row r="961" spans="1:11" x14ac:dyDescent="0.3">
      <c r="A961" t="s">
        <v>3</v>
      </c>
      <c r="B961" s="6">
        <v>1</v>
      </c>
    </row>
    <row r="962" spans="1:11" x14ac:dyDescent="0.3">
      <c r="A962" t="s">
        <v>4</v>
      </c>
      <c r="B962" s="6" t="s">
        <v>755</v>
      </c>
    </row>
    <row r="963" spans="1:11" x14ac:dyDescent="0.3">
      <c r="A963" t="s">
        <v>9</v>
      </c>
      <c r="B963" s="6" t="s">
        <v>641</v>
      </c>
    </row>
    <row r="964" spans="1:11" x14ac:dyDescent="0.3">
      <c r="A964" t="s">
        <v>5</v>
      </c>
      <c r="B964" s="6" t="s">
        <v>6</v>
      </c>
    </row>
    <row r="965" spans="1:11" x14ac:dyDescent="0.3">
      <c r="A965" t="s">
        <v>7</v>
      </c>
      <c r="B965" s="6" t="s">
        <v>8</v>
      </c>
    </row>
    <row r="966" spans="1:11" ht="15.6" x14ac:dyDescent="0.3">
      <c r="A966" s="1" t="s">
        <v>12</v>
      </c>
    </row>
    <row r="967" spans="1:11" x14ac:dyDescent="0.3">
      <c r="A967" t="s">
        <v>13</v>
      </c>
      <c r="B967" s="6" t="s">
        <v>14</v>
      </c>
      <c r="C967" t="s">
        <v>2</v>
      </c>
      <c r="D967" t="s">
        <v>7</v>
      </c>
      <c r="E967" t="s">
        <v>15</v>
      </c>
      <c r="F967" t="s">
        <v>5</v>
      </c>
      <c r="G967" t="s">
        <v>11</v>
      </c>
      <c r="H967" t="s">
        <v>4</v>
      </c>
    </row>
    <row r="968" spans="1:11" x14ac:dyDescent="0.3">
      <c r="A968" t="s">
        <v>897</v>
      </c>
      <c r="B968" s="6">
        <v>1</v>
      </c>
      <c r="C968" t="s">
        <v>581</v>
      </c>
      <c r="D968" t="s">
        <v>8</v>
      </c>
      <c r="E968" t="s">
        <v>754</v>
      </c>
      <c r="F968" t="s">
        <v>17</v>
      </c>
      <c r="G968" t="s">
        <v>18</v>
      </c>
      <c r="H968" t="s">
        <v>755</v>
      </c>
    </row>
    <row r="969" spans="1:11" x14ac:dyDescent="0.3">
      <c r="A969" t="s">
        <v>660</v>
      </c>
      <c r="B969" s="6">
        <v>0.74892000000000003</v>
      </c>
      <c r="C969" t="s">
        <v>633</v>
      </c>
      <c r="D969" t="s">
        <v>29</v>
      </c>
      <c r="E969" t="s">
        <v>643</v>
      </c>
      <c r="F969" t="s">
        <v>20</v>
      </c>
      <c r="G969" t="s">
        <v>18</v>
      </c>
      <c r="H969" t="s">
        <v>662</v>
      </c>
    </row>
    <row r="970" spans="1:11" x14ac:dyDescent="0.3">
      <c r="A970" t="s">
        <v>108</v>
      </c>
      <c r="B970" s="6">
        <v>13.6</v>
      </c>
      <c r="D970" t="s">
        <v>19</v>
      </c>
      <c r="E970" t="s">
        <v>112</v>
      </c>
      <c r="F970" t="s">
        <v>36</v>
      </c>
      <c r="G970" t="s">
        <v>804</v>
      </c>
    </row>
    <row r="971" spans="1:11" x14ac:dyDescent="0.3">
      <c r="A971" t="s">
        <v>1046</v>
      </c>
      <c r="B971" s="6">
        <f>0.53*(44/12)</f>
        <v>1.9433333333333334</v>
      </c>
      <c r="D971" t="s">
        <v>8</v>
      </c>
      <c r="E971" t="s">
        <v>1047</v>
      </c>
      <c r="F971" t="s">
        <v>36</v>
      </c>
      <c r="G971" t="s">
        <v>894</v>
      </c>
    </row>
    <row r="972" spans="1:11" x14ac:dyDescent="0.3">
      <c r="A972" t="s">
        <v>831</v>
      </c>
      <c r="B972" s="6">
        <v>1.2409993199999999E-8</v>
      </c>
      <c r="C972" t="s">
        <v>581</v>
      </c>
      <c r="D972" t="s">
        <v>8</v>
      </c>
      <c r="E972" t="s">
        <v>643</v>
      </c>
      <c r="F972" t="s">
        <v>20</v>
      </c>
      <c r="H972" t="s">
        <v>832</v>
      </c>
      <c r="K972" s="6"/>
    </row>
    <row r="973" spans="1:11" x14ac:dyDescent="0.3">
      <c r="A973" t="s">
        <v>833</v>
      </c>
      <c r="B973" s="6">
        <v>4.3965884999999999E-12</v>
      </c>
      <c r="C973" t="s">
        <v>26</v>
      </c>
      <c r="D973" t="s">
        <v>8</v>
      </c>
      <c r="E973" t="s">
        <v>643</v>
      </c>
      <c r="F973" t="s">
        <v>20</v>
      </c>
      <c r="H973" t="s">
        <v>834</v>
      </c>
      <c r="K973" s="6"/>
    </row>
    <row r="974" spans="1:11" x14ac:dyDescent="0.3">
      <c r="A974" t="s">
        <v>835</v>
      </c>
      <c r="B974" s="6">
        <v>5.3739584189999995E-8</v>
      </c>
      <c r="C974" t="s">
        <v>985</v>
      </c>
      <c r="D974" t="s">
        <v>8</v>
      </c>
      <c r="E974" t="s">
        <v>643</v>
      </c>
      <c r="F974" t="s">
        <v>20</v>
      </c>
      <c r="H974" t="s">
        <v>836</v>
      </c>
      <c r="K974" s="6"/>
    </row>
    <row r="975" spans="1:11" x14ac:dyDescent="0.3">
      <c r="A975" t="s">
        <v>42</v>
      </c>
      <c r="B975" s="6">
        <v>9.6835552999999987E-3</v>
      </c>
      <c r="C975" t="s">
        <v>640</v>
      </c>
      <c r="D975" t="s">
        <v>8</v>
      </c>
      <c r="E975" t="s">
        <v>643</v>
      </c>
      <c r="F975" t="s">
        <v>20</v>
      </c>
      <c r="H975" t="s">
        <v>43</v>
      </c>
      <c r="K975" s="6"/>
    </row>
    <row r="976" spans="1:11" x14ac:dyDescent="0.3">
      <c r="A976" t="s">
        <v>44</v>
      </c>
      <c r="B976" s="6">
        <v>9.6835552999999987E-3</v>
      </c>
      <c r="C976" t="s">
        <v>640</v>
      </c>
      <c r="D976" t="s">
        <v>8</v>
      </c>
      <c r="E976" t="s">
        <v>643</v>
      </c>
      <c r="F976" t="s">
        <v>20</v>
      </c>
      <c r="H976" t="s">
        <v>45</v>
      </c>
      <c r="K976" s="6"/>
    </row>
    <row r="977" spans="1:11" x14ac:dyDescent="0.3">
      <c r="A977" t="s">
        <v>837</v>
      </c>
      <c r="B977" s="6">
        <v>1.8320224809999999E-10</v>
      </c>
      <c r="C977" t="s">
        <v>26</v>
      </c>
      <c r="D977" t="s">
        <v>8</v>
      </c>
      <c r="E977" t="s">
        <v>643</v>
      </c>
      <c r="F977" t="s">
        <v>20</v>
      </c>
      <c r="H977" t="s">
        <v>838</v>
      </c>
      <c r="K977" s="6"/>
    </row>
    <row r="978" spans="1:11" x14ac:dyDescent="0.3">
      <c r="A978" t="s">
        <v>981</v>
      </c>
      <c r="B978" s="6">
        <v>2.1529457899999997E-2</v>
      </c>
      <c r="C978" t="s">
        <v>581</v>
      </c>
      <c r="D978" t="s">
        <v>8</v>
      </c>
      <c r="E978" t="s">
        <v>643</v>
      </c>
      <c r="F978" t="s">
        <v>20</v>
      </c>
      <c r="H978" t="s">
        <v>982</v>
      </c>
      <c r="K978" s="6"/>
    </row>
    <row r="979" spans="1:11" x14ac:dyDescent="0.3">
      <c r="A979" t="s">
        <v>986</v>
      </c>
      <c r="B979" s="6">
        <v>54.167076379999997</v>
      </c>
      <c r="C979" t="s">
        <v>640</v>
      </c>
      <c r="D979" t="s">
        <v>8</v>
      </c>
      <c r="E979" t="s">
        <v>643</v>
      </c>
      <c r="F979" t="s">
        <v>20</v>
      </c>
      <c r="H979" t="s">
        <v>987</v>
      </c>
      <c r="K979" s="6"/>
    </row>
    <row r="980" spans="1:11" x14ac:dyDescent="0.3">
      <c r="A980" t="s">
        <v>660</v>
      </c>
      <c r="B980" s="6">
        <v>0.38594857640000002</v>
      </c>
      <c r="C980" t="s">
        <v>633</v>
      </c>
      <c r="D980" t="s">
        <v>29</v>
      </c>
      <c r="E980" t="s">
        <v>643</v>
      </c>
      <c r="F980" t="s">
        <v>20</v>
      </c>
      <c r="H980" t="s">
        <v>662</v>
      </c>
      <c r="K980" s="6"/>
    </row>
    <row r="982" spans="1:11" ht="15.6" x14ac:dyDescent="0.3">
      <c r="A982" s="1" t="s">
        <v>1</v>
      </c>
      <c r="B982" s="73" t="s">
        <v>898</v>
      </c>
    </row>
    <row r="983" spans="1:11" x14ac:dyDescent="0.3">
      <c r="A983" t="s">
        <v>2</v>
      </c>
      <c r="B983" s="6" t="s">
        <v>581</v>
      </c>
    </row>
    <row r="984" spans="1:11" x14ac:dyDescent="0.3">
      <c r="A984" t="s">
        <v>3</v>
      </c>
      <c r="B984" s="6">
        <v>1</v>
      </c>
    </row>
    <row r="985" spans="1:11" ht="15.6" x14ac:dyDescent="0.3">
      <c r="A985" t="s">
        <v>4</v>
      </c>
      <c r="B985" s="74" t="s">
        <v>1032</v>
      </c>
    </row>
    <row r="986" spans="1:11" x14ac:dyDescent="0.3">
      <c r="A986" t="s">
        <v>5</v>
      </c>
      <c r="B986" s="6" t="s">
        <v>6</v>
      </c>
    </row>
    <row r="987" spans="1:11" x14ac:dyDescent="0.3">
      <c r="A987" t="s">
        <v>7</v>
      </c>
      <c r="B987" s="6" t="s">
        <v>8</v>
      </c>
    </row>
    <row r="988" spans="1:11" x14ac:dyDescent="0.3">
      <c r="A988" t="s">
        <v>9</v>
      </c>
      <c r="B988" s="6" t="s">
        <v>641</v>
      </c>
    </row>
    <row r="989" spans="1:11" x14ac:dyDescent="0.3">
      <c r="A989" t="s">
        <v>497</v>
      </c>
      <c r="B989" s="72" t="e">
        <f>Summary!O57</f>
        <v>#DIV/0!</v>
      </c>
    </row>
    <row r="990" spans="1:11" ht="15.6" x14ac:dyDescent="0.3">
      <c r="A990" s="1" t="s">
        <v>12</v>
      </c>
    </row>
    <row r="991" spans="1:11" x14ac:dyDescent="0.3">
      <c r="A991" t="s">
        <v>13</v>
      </c>
      <c r="B991" s="6" t="s">
        <v>14</v>
      </c>
      <c r="C991" t="s">
        <v>2</v>
      </c>
      <c r="D991" t="s">
        <v>7</v>
      </c>
      <c r="E991" t="s">
        <v>15</v>
      </c>
      <c r="F991" t="s">
        <v>5</v>
      </c>
      <c r="G991" t="s">
        <v>11</v>
      </c>
      <c r="H991" t="s">
        <v>4</v>
      </c>
    </row>
    <row r="992" spans="1:11" ht="15.6" x14ac:dyDescent="0.3">
      <c r="A992" s="2" t="s">
        <v>898</v>
      </c>
      <c r="B992" s="6">
        <v>1</v>
      </c>
      <c r="C992" t="s">
        <v>581</v>
      </c>
      <c r="D992" t="s">
        <v>8</v>
      </c>
      <c r="E992" t="s">
        <v>754</v>
      </c>
      <c r="F992" t="s">
        <v>17</v>
      </c>
      <c r="G992" t="s">
        <v>18</v>
      </c>
      <c r="H992" s="74" t="s">
        <v>1032</v>
      </c>
    </row>
    <row r="993" spans="1:8" x14ac:dyDescent="0.3">
      <c r="A993" t="s">
        <v>897</v>
      </c>
      <c r="B993" s="6">
        <v>2.2084524000000001</v>
      </c>
      <c r="C993" t="s">
        <v>581</v>
      </c>
      <c r="D993" t="s">
        <v>8</v>
      </c>
      <c r="E993" t="s">
        <v>643</v>
      </c>
      <c r="F993" t="s">
        <v>20</v>
      </c>
      <c r="G993" t="s">
        <v>18</v>
      </c>
      <c r="H993" t="s">
        <v>755</v>
      </c>
    </row>
    <row r="994" spans="1:8" x14ac:dyDescent="0.3">
      <c r="A994" t="s">
        <v>756</v>
      </c>
      <c r="B994" s="6">
        <v>6.6731592000000006E-2</v>
      </c>
      <c r="C994" t="s">
        <v>581</v>
      </c>
      <c r="D994" t="s">
        <v>8</v>
      </c>
      <c r="E994" t="s">
        <v>643</v>
      </c>
      <c r="F994" t="s">
        <v>20</v>
      </c>
      <c r="G994" t="s">
        <v>18</v>
      </c>
      <c r="H994" t="s">
        <v>757</v>
      </c>
    </row>
    <row r="995" spans="1:8" x14ac:dyDescent="0.3">
      <c r="A995" t="s">
        <v>645</v>
      </c>
      <c r="B995" s="6">
        <v>1.0994459999999999</v>
      </c>
      <c r="C995" t="s">
        <v>581</v>
      </c>
      <c r="D995" t="s">
        <v>19</v>
      </c>
      <c r="E995" t="s">
        <v>643</v>
      </c>
      <c r="F995" t="s">
        <v>20</v>
      </c>
      <c r="G995" t="s">
        <v>18</v>
      </c>
      <c r="H995" t="s">
        <v>648</v>
      </c>
    </row>
    <row r="996" spans="1:8" x14ac:dyDescent="0.3">
      <c r="A996" t="s">
        <v>645</v>
      </c>
      <c r="B996" s="6">
        <v>1.0994459999999999</v>
      </c>
      <c r="C996" t="s">
        <v>581</v>
      </c>
      <c r="D996" t="s">
        <v>19</v>
      </c>
      <c r="E996" t="s">
        <v>643</v>
      </c>
      <c r="F996" t="s">
        <v>20</v>
      </c>
      <c r="G996" t="s">
        <v>18</v>
      </c>
      <c r="H996" t="s">
        <v>648</v>
      </c>
    </row>
    <row r="997" spans="1:8" x14ac:dyDescent="0.3">
      <c r="A997" t="s">
        <v>645</v>
      </c>
      <c r="B997" s="6">
        <v>0.71703000000000006</v>
      </c>
      <c r="C997" t="s">
        <v>581</v>
      </c>
      <c r="D997" t="s">
        <v>19</v>
      </c>
      <c r="E997" t="s">
        <v>643</v>
      </c>
      <c r="F997" t="s">
        <v>20</v>
      </c>
      <c r="G997" t="s">
        <v>18</v>
      </c>
      <c r="H997" t="s">
        <v>648</v>
      </c>
    </row>
    <row r="998" spans="1:8" x14ac:dyDescent="0.3">
      <c r="A998" t="s">
        <v>645</v>
      </c>
      <c r="B998" s="6">
        <v>2.6728200000000002</v>
      </c>
      <c r="C998" t="s">
        <v>581</v>
      </c>
      <c r="D998" t="s">
        <v>19</v>
      </c>
      <c r="E998" t="s">
        <v>643</v>
      </c>
      <c r="F998" t="s">
        <v>20</v>
      </c>
      <c r="G998" t="s">
        <v>18</v>
      </c>
      <c r="H998" t="s">
        <v>648</v>
      </c>
    </row>
    <row r="999" spans="1:8" x14ac:dyDescent="0.3">
      <c r="A999" t="s">
        <v>758</v>
      </c>
      <c r="B999" s="6">
        <v>1.410159E-3</v>
      </c>
      <c r="C999" t="s">
        <v>26</v>
      </c>
      <c r="D999" t="s">
        <v>8</v>
      </c>
      <c r="E999" t="s">
        <v>643</v>
      </c>
      <c r="F999" t="s">
        <v>20</v>
      </c>
      <c r="G999" t="s">
        <v>18</v>
      </c>
      <c r="H999" t="s">
        <v>759</v>
      </c>
    </row>
    <row r="1000" spans="1:8" x14ac:dyDescent="0.3">
      <c r="A1000" t="s">
        <v>713</v>
      </c>
      <c r="B1000" s="6">
        <v>3.5373480000000001E-3</v>
      </c>
      <c r="C1000" t="s">
        <v>26</v>
      </c>
      <c r="D1000" t="s">
        <v>8</v>
      </c>
      <c r="E1000" t="s">
        <v>643</v>
      </c>
      <c r="F1000" t="s">
        <v>20</v>
      </c>
      <c r="G1000" t="s">
        <v>18</v>
      </c>
      <c r="H1000" t="s">
        <v>715</v>
      </c>
    </row>
    <row r="1001" spans="1:8" x14ac:dyDescent="0.3">
      <c r="A1001" t="s">
        <v>713</v>
      </c>
      <c r="B1001" s="6">
        <v>5.9706000000000009E-2</v>
      </c>
      <c r="C1001" t="s">
        <v>26</v>
      </c>
      <c r="D1001" t="s">
        <v>8</v>
      </c>
      <c r="E1001" t="s">
        <v>643</v>
      </c>
      <c r="F1001" t="s">
        <v>20</v>
      </c>
      <c r="G1001" t="s">
        <v>18</v>
      </c>
      <c r="H1001" t="s">
        <v>715</v>
      </c>
    </row>
    <row r="1002" spans="1:8" x14ac:dyDescent="0.3">
      <c r="A1002" t="s">
        <v>388</v>
      </c>
      <c r="B1002" s="6">
        <v>5.0220000000000004E-3</v>
      </c>
      <c r="C1002" t="s">
        <v>26</v>
      </c>
      <c r="D1002" t="s">
        <v>8</v>
      </c>
      <c r="E1002" t="s">
        <v>643</v>
      </c>
      <c r="F1002" t="s">
        <v>20</v>
      </c>
      <c r="G1002" t="s">
        <v>18</v>
      </c>
      <c r="H1002" t="s">
        <v>389</v>
      </c>
    </row>
    <row r="1003" spans="1:8" x14ac:dyDescent="0.3">
      <c r="A1003" t="s">
        <v>252</v>
      </c>
      <c r="B1003" s="6">
        <v>7.552716000000001E-3</v>
      </c>
      <c r="C1003" t="s">
        <v>581</v>
      </c>
      <c r="D1003" t="s">
        <v>8</v>
      </c>
      <c r="E1003" t="s">
        <v>643</v>
      </c>
      <c r="F1003" t="s">
        <v>20</v>
      </c>
      <c r="G1003" t="s">
        <v>18</v>
      </c>
      <c r="H1003" t="s">
        <v>253</v>
      </c>
    </row>
    <row r="1004" spans="1:8" x14ac:dyDescent="0.3">
      <c r="A1004" t="s">
        <v>988</v>
      </c>
      <c r="B1004" s="6">
        <v>6.6960000000000006E-2</v>
      </c>
      <c r="C1004" t="s">
        <v>581</v>
      </c>
      <c r="D1004" t="s">
        <v>8</v>
      </c>
      <c r="E1004" t="s">
        <v>643</v>
      </c>
      <c r="F1004" t="s">
        <v>20</v>
      </c>
      <c r="G1004" t="s">
        <v>18</v>
      </c>
      <c r="H1004" t="s">
        <v>989</v>
      </c>
    </row>
    <row r="1005" spans="1:8" x14ac:dyDescent="0.3">
      <c r="A1005" t="s">
        <v>660</v>
      </c>
      <c r="B1005" s="6">
        <v>3.8241599999999994E-2</v>
      </c>
      <c r="C1005" t="s">
        <v>633</v>
      </c>
      <c r="D1005" t="s">
        <v>29</v>
      </c>
      <c r="E1005" t="s">
        <v>643</v>
      </c>
      <c r="F1005" t="s">
        <v>20</v>
      </c>
      <c r="G1005" t="s">
        <v>18</v>
      </c>
      <c r="H1005" t="s">
        <v>662</v>
      </c>
    </row>
    <row r="1006" spans="1:8" x14ac:dyDescent="0.3">
      <c r="A1006" t="s">
        <v>660</v>
      </c>
      <c r="B1006" s="6">
        <v>3.8241599999999994E-2</v>
      </c>
      <c r="C1006" t="s">
        <v>633</v>
      </c>
      <c r="D1006" t="s">
        <v>29</v>
      </c>
      <c r="E1006" t="s">
        <v>643</v>
      </c>
      <c r="F1006" t="s">
        <v>20</v>
      </c>
      <c r="G1006" t="s">
        <v>18</v>
      </c>
      <c r="H1006" t="s">
        <v>662</v>
      </c>
    </row>
    <row r="1007" spans="1:8" x14ac:dyDescent="0.3">
      <c r="A1007" t="s">
        <v>660</v>
      </c>
      <c r="B1007" s="6">
        <v>0.15298500000000001</v>
      </c>
      <c r="C1007" t="s">
        <v>633</v>
      </c>
      <c r="D1007" t="s">
        <v>29</v>
      </c>
      <c r="E1007" t="s">
        <v>643</v>
      </c>
      <c r="F1007" t="s">
        <v>20</v>
      </c>
      <c r="G1007" t="s">
        <v>18</v>
      </c>
      <c r="H1007" t="s">
        <v>662</v>
      </c>
    </row>
    <row r="1008" spans="1:8" x14ac:dyDescent="0.3">
      <c r="A1008" t="s">
        <v>660</v>
      </c>
      <c r="B1008" s="6">
        <v>1.9598819999999999E-2</v>
      </c>
      <c r="C1008" t="s">
        <v>633</v>
      </c>
      <c r="D1008" t="s">
        <v>29</v>
      </c>
      <c r="E1008" t="s">
        <v>643</v>
      </c>
      <c r="F1008" t="s">
        <v>20</v>
      </c>
      <c r="G1008" t="s">
        <v>18</v>
      </c>
      <c r="H1008" t="s">
        <v>662</v>
      </c>
    </row>
    <row r="1009" spans="1:11" x14ac:dyDescent="0.3">
      <c r="A1009" t="s">
        <v>265</v>
      </c>
      <c r="B1009" s="6">
        <f>(B993*B971)-Parameters!B14</f>
        <v>1.441759164</v>
      </c>
      <c r="D1009" t="s">
        <v>8</v>
      </c>
      <c r="E1009" t="s">
        <v>37</v>
      </c>
      <c r="F1009" t="s">
        <v>36</v>
      </c>
    </row>
    <row r="1011" spans="1:11" ht="15.6" x14ac:dyDescent="0.3">
      <c r="A1011" s="1" t="s">
        <v>1</v>
      </c>
      <c r="B1011" s="73" t="s">
        <v>753</v>
      </c>
    </row>
    <row r="1012" spans="1:11" x14ac:dyDescent="0.3">
      <c r="A1012" t="s">
        <v>2</v>
      </c>
      <c r="B1012" s="6" t="s">
        <v>581</v>
      </c>
    </row>
    <row r="1013" spans="1:11" x14ac:dyDescent="0.3">
      <c r="A1013" t="s">
        <v>3</v>
      </c>
      <c r="B1013" s="6">
        <v>1</v>
      </c>
    </row>
    <row r="1014" spans="1:11" ht="15.6" x14ac:dyDescent="0.3">
      <c r="A1014" t="s">
        <v>4</v>
      </c>
      <c r="B1014" s="74" t="s">
        <v>710</v>
      </c>
    </row>
    <row r="1015" spans="1:11" x14ac:dyDescent="0.3">
      <c r="A1015" t="s">
        <v>9</v>
      </c>
      <c r="B1015" s="6" t="s">
        <v>641</v>
      </c>
    </row>
    <row r="1016" spans="1:11" x14ac:dyDescent="0.3">
      <c r="A1016" t="s">
        <v>5</v>
      </c>
      <c r="B1016" s="6" t="s">
        <v>6</v>
      </c>
    </row>
    <row r="1017" spans="1:11" x14ac:dyDescent="0.3">
      <c r="A1017" t="s">
        <v>7</v>
      </c>
      <c r="B1017" s="6" t="s">
        <v>8</v>
      </c>
    </row>
    <row r="1018" spans="1:11" ht="15.6" x14ac:dyDescent="0.3">
      <c r="A1018" s="1" t="s">
        <v>12</v>
      </c>
    </row>
    <row r="1019" spans="1:11" x14ac:dyDescent="0.3">
      <c r="A1019" t="s">
        <v>13</v>
      </c>
      <c r="B1019" s="6" t="s">
        <v>14</v>
      </c>
      <c r="C1019" t="s">
        <v>2</v>
      </c>
      <c r="D1019" t="s">
        <v>7</v>
      </c>
      <c r="E1019" t="s">
        <v>15</v>
      </c>
      <c r="F1019" t="s">
        <v>5</v>
      </c>
      <c r="G1019" t="s">
        <v>338</v>
      </c>
      <c r="H1019" t="s">
        <v>339</v>
      </c>
      <c r="I1019" t="s">
        <v>16</v>
      </c>
      <c r="J1019" t="s">
        <v>11</v>
      </c>
      <c r="K1019" t="s">
        <v>4</v>
      </c>
    </row>
    <row r="1020" spans="1:11" x14ac:dyDescent="0.3">
      <c r="A1020" t="s">
        <v>753</v>
      </c>
      <c r="B1020" s="6">
        <v>1</v>
      </c>
      <c r="C1020" t="s">
        <v>581</v>
      </c>
      <c r="D1020" t="s">
        <v>8</v>
      </c>
      <c r="F1020" t="s">
        <v>17</v>
      </c>
      <c r="I1020">
        <v>100</v>
      </c>
      <c r="J1020" t="s">
        <v>18</v>
      </c>
      <c r="K1020" t="s">
        <v>710</v>
      </c>
    </row>
    <row r="1021" spans="1:11" ht="15.6" x14ac:dyDescent="0.3">
      <c r="A1021" s="2" t="s">
        <v>898</v>
      </c>
      <c r="B1021" s="6">
        <v>1.00057</v>
      </c>
      <c r="C1021" t="s">
        <v>581</v>
      </c>
      <c r="D1021" t="s">
        <v>8</v>
      </c>
      <c r="F1021" t="s">
        <v>20</v>
      </c>
      <c r="K1021" s="74" t="s">
        <v>1032</v>
      </c>
    </row>
    <row r="1022" spans="1:11" x14ac:dyDescent="0.3">
      <c r="A1022" t="s">
        <v>28</v>
      </c>
      <c r="B1022" s="6">
        <v>6.7000000000000002E-3</v>
      </c>
      <c r="C1022" t="s">
        <v>581</v>
      </c>
      <c r="D1022" t="s">
        <v>29</v>
      </c>
      <c r="F1022" t="s">
        <v>20</v>
      </c>
      <c r="K1022" t="s">
        <v>30</v>
      </c>
    </row>
    <row r="1023" spans="1:11" x14ac:dyDescent="0.3">
      <c r="A1023" t="s">
        <v>340</v>
      </c>
      <c r="B1023" s="6">
        <v>-1.6799999999999999E-4</v>
      </c>
      <c r="C1023" t="s">
        <v>633</v>
      </c>
      <c r="D1023" t="s">
        <v>8</v>
      </c>
      <c r="F1023" t="s">
        <v>20</v>
      </c>
      <c r="K1023" t="s">
        <v>341</v>
      </c>
    </row>
    <row r="1024" spans="1:11" x14ac:dyDescent="0.3">
      <c r="A1024" t="s">
        <v>342</v>
      </c>
      <c r="B1024" s="6">
        <v>5.8399999999999999E-4</v>
      </c>
      <c r="C1024" t="s">
        <v>640</v>
      </c>
      <c r="D1024" t="s">
        <v>19</v>
      </c>
      <c r="F1024" t="s">
        <v>20</v>
      </c>
      <c r="K1024" t="s">
        <v>343</v>
      </c>
    </row>
    <row r="1025" spans="1:11" x14ac:dyDescent="0.3">
      <c r="A1025" t="s">
        <v>344</v>
      </c>
      <c r="B1025" s="6">
        <v>2.5999999999999998E-10</v>
      </c>
      <c r="C1025" t="s">
        <v>581</v>
      </c>
      <c r="D1025" t="s">
        <v>7</v>
      </c>
      <c r="F1025" t="s">
        <v>20</v>
      </c>
      <c r="K1025" t="s">
        <v>345</v>
      </c>
    </row>
    <row r="1026" spans="1:11" x14ac:dyDescent="0.3">
      <c r="A1026" t="s">
        <v>346</v>
      </c>
      <c r="B1026" s="6">
        <v>-6.2700000000000001E-6</v>
      </c>
      <c r="C1026" t="s">
        <v>640</v>
      </c>
      <c r="D1026" t="s">
        <v>8</v>
      </c>
      <c r="F1026" t="s">
        <v>20</v>
      </c>
      <c r="K1026" t="s">
        <v>347</v>
      </c>
    </row>
    <row r="1027" spans="1:11" x14ac:dyDescent="0.3">
      <c r="A1027" t="s">
        <v>348</v>
      </c>
      <c r="B1027" s="6">
        <v>-7.4999999999999993E-5</v>
      </c>
      <c r="C1027" t="s">
        <v>633</v>
      </c>
      <c r="D1027" t="s">
        <v>121</v>
      </c>
      <c r="F1027" t="s">
        <v>20</v>
      </c>
      <c r="K1027" t="s">
        <v>349</v>
      </c>
    </row>
    <row r="1028" spans="1:11" x14ac:dyDescent="0.3">
      <c r="A1028" t="s">
        <v>350</v>
      </c>
      <c r="B1028" s="6">
        <v>6.8900000000000005E-4</v>
      </c>
      <c r="C1028" t="s">
        <v>633</v>
      </c>
      <c r="D1028" t="s">
        <v>8</v>
      </c>
      <c r="F1028" t="s">
        <v>20</v>
      </c>
      <c r="K1028" t="s">
        <v>351</v>
      </c>
    </row>
    <row r="1029" spans="1:11" x14ac:dyDescent="0.3">
      <c r="A1029" t="s">
        <v>100</v>
      </c>
      <c r="B1029" s="6">
        <v>3.3599999999999998E-2</v>
      </c>
      <c r="C1029" t="s">
        <v>633</v>
      </c>
      <c r="D1029" t="s">
        <v>41</v>
      </c>
      <c r="F1029" t="s">
        <v>20</v>
      </c>
      <c r="K1029" t="s">
        <v>103</v>
      </c>
    </row>
    <row r="1030" spans="1:11" x14ac:dyDescent="0.3">
      <c r="A1030" t="s">
        <v>352</v>
      </c>
      <c r="B1030" s="6">
        <v>3.2599999999999997E-2</v>
      </c>
      <c r="C1030" t="s">
        <v>581</v>
      </c>
      <c r="D1030" t="s">
        <v>41</v>
      </c>
      <c r="F1030" t="s">
        <v>20</v>
      </c>
      <c r="K1030" t="s">
        <v>353</v>
      </c>
    </row>
    <row r="1031" spans="1:11" x14ac:dyDescent="0.3">
      <c r="A1031" t="s">
        <v>354</v>
      </c>
      <c r="B1031" s="6">
        <v>-6.8899999999999999E-7</v>
      </c>
      <c r="C1031" t="s">
        <v>633</v>
      </c>
      <c r="D1031" t="s">
        <v>121</v>
      </c>
      <c r="F1031" t="s">
        <v>20</v>
      </c>
      <c r="K1031" t="s">
        <v>355</v>
      </c>
    </row>
  </sheetData>
  <autoFilter ref="A1:N1031"/>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election activeCell="B10" sqref="B10"/>
    </sheetView>
  </sheetViews>
  <sheetFormatPr defaultRowHeight="14.4" x14ac:dyDescent="0.3"/>
  <cols>
    <col min="1" max="1" width="34.5546875" bestFit="1" customWidth="1"/>
    <col min="2" max="2" width="50" customWidth="1"/>
    <col min="3" max="3" width="16.6640625" customWidth="1"/>
    <col min="4" max="4" width="22" customWidth="1"/>
    <col min="5" max="5" width="13.5546875" bestFit="1" customWidth="1"/>
    <col min="6" max="6" width="25.44140625" bestFit="1" customWidth="1"/>
    <col min="7" max="7" width="16" customWidth="1"/>
  </cols>
  <sheetData>
    <row r="1" spans="1:7" x14ac:dyDescent="0.3">
      <c r="A1" t="s">
        <v>24</v>
      </c>
    </row>
    <row r="2" spans="1:7" x14ac:dyDescent="0.3">
      <c r="A2" s="9" t="s">
        <v>231</v>
      </c>
    </row>
    <row r="3" spans="1:7" x14ac:dyDescent="0.3">
      <c r="A3" t="s">
        <v>25</v>
      </c>
      <c r="B3">
        <v>1.0550558999999999E-3</v>
      </c>
    </row>
    <row r="4" spans="1:7" x14ac:dyDescent="0.3">
      <c r="A4" t="s">
        <v>32</v>
      </c>
      <c r="B4">
        <v>3.7850000000000001</v>
      </c>
    </row>
    <row r="5" spans="1:7" x14ac:dyDescent="0.3">
      <c r="A5" t="s">
        <v>33</v>
      </c>
      <c r="B5">
        <v>29.7</v>
      </c>
    </row>
    <row r="6" spans="1:7" x14ac:dyDescent="0.3">
      <c r="A6" t="s">
        <v>57</v>
      </c>
      <c r="B6">
        <v>0.4536</v>
      </c>
    </row>
    <row r="7" spans="1:7" x14ac:dyDescent="0.3">
      <c r="A7" t="s">
        <v>71</v>
      </c>
      <c r="B7">
        <v>1.61</v>
      </c>
      <c r="E7">
        <f>15827*B3</f>
        <v>16.698369729299998</v>
      </c>
    </row>
    <row r="8" spans="1:7" x14ac:dyDescent="0.3">
      <c r="A8" t="s">
        <v>95</v>
      </c>
      <c r="B8">
        <f>1/39.37</f>
        <v>2.5400050800101603E-2</v>
      </c>
      <c r="E8">
        <f>B4*B10</f>
        <v>2.9863650000000002</v>
      </c>
    </row>
    <row r="9" spans="1:7" x14ac:dyDescent="0.3">
      <c r="A9" t="s">
        <v>104</v>
      </c>
      <c r="B9">
        <v>10000</v>
      </c>
    </row>
    <row r="10" spans="1:7" x14ac:dyDescent="0.3">
      <c r="A10" t="s">
        <v>220</v>
      </c>
      <c r="B10">
        <v>0.78900000000000003</v>
      </c>
    </row>
    <row r="11" spans="1:7" x14ac:dyDescent="0.3">
      <c r="A11" t="s">
        <v>225</v>
      </c>
      <c r="B11">
        <v>4047</v>
      </c>
    </row>
    <row r="12" spans="1:7" x14ac:dyDescent="0.3">
      <c r="A12" t="s">
        <v>426</v>
      </c>
      <c r="B12">
        <v>0.52200000000000002</v>
      </c>
    </row>
    <row r="13" spans="1:7" x14ac:dyDescent="0.3">
      <c r="A13" t="s">
        <v>427</v>
      </c>
      <c r="B13">
        <f>B12*(44/12)</f>
        <v>1.9139999999999999</v>
      </c>
    </row>
    <row r="14" spans="1:7" x14ac:dyDescent="0.3">
      <c r="A14" t="s">
        <v>887</v>
      </c>
      <c r="B14">
        <v>2.85</v>
      </c>
    </row>
    <row r="15" spans="1:7" x14ac:dyDescent="0.3">
      <c r="A15" s="9" t="s">
        <v>269</v>
      </c>
      <c r="G15" s="6"/>
    </row>
    <row r="16" spans="1:7" x14ac:dyDescent="0.3">
      <c r="A16" s="9" t="s">
        <v>16</v>
      </c>
      <c r="G16" s="6"/>
    </row>
    <row r="17" spans="1:8" x14ac:dyDescent="0.3">
      <c r="B17" s="10"/>
      <c r="C17" s="11" t="s">
        <v>232</v>
      </c>
      <c r="D17" s="12"/>
      <c r="E17" s="13"/>
      <c r="F17" s="13"/>
      <c r="G17" s="13"/>
      <c r="H17" s="25"/>
    </row>
    <row r="18" spans="1:8" x14ac:dyDescent="0.3">
      <c r="B18" s="14"/>
      <c r="C18" s="15" t="s">
        <v>233</v>
      </c>
      <c r="D18" s="16" t="s">
        <v>234</v>
      </c>
      <c r="E18" s="17" t="s">
        <v>235</v>
      </c>
      <c r="F18" s="17" t="s">
        <v>236</v>
      </c>
      <c r="G18" s="16" t="s">
        <v>237</v>
      </c>
      <c r="H18" s="26" t="s">
        <v>238</v>
      </c>
    </row>
    <row r="19" spans="1:8" x14ac:dyDescent="0.3">
      <c r="B19" s="18" t="s">
        <v>239</v>
      </c>
      <c r="C19" s="19">
        <v>2.4117647058823501</v>
      </c>
      <c r="D19" s="20">
        <v>2.4117647058823501</v>
      </c>
      <c r="E19" s="20">
        <v>2.4117647058823501</v>
      </c>
      <c r="F19" s="20">
        <v>2.4117647058823501</v>
      </c>
      <c r="G19" s="21">
        <v>2.4117647058823501</v>
      </c>
      <c r="H19" s="27">
        <v>2.4117647058823501</v>
      </c>
    </row>
    <row r="20" spans="1:8" x14ac:dyDescent="0.3">
      <c r="B20" s="18" t="s">
        <v>240</v>
      </c>
      <c r="C20" s="32">
        <v>85</v>
      </c>
      <c r="D20" s="34">
        <v>85</v>
      </c>
      <c r="E20" s="34">
        <v>85</v>
      </c>
      <c r="F20" s="34">
        <v>85</v>
      </c>
      <c r="G20" s="40">
        <v>85</v>
      </c>
      <c r="H20" s="49">
        <v>85</v>
      </c>
    </row>
    <row r="21" spans="1:8" x14ac:dyDescent="0.3">
      <c r="B21" s="50" t="s">
        <v>425</v>
      </c>
      <c r="C21" s="23">
        <f>8576/1000</f>
        <v>8.5760000000000005</v>
      </c>
      <c r="D21" s="23">
        <f>8823/1000</f>
        <v>8.8230000000000004</v>
      </c>
      <c r="E21" s="23">
        <f>7294/1000</f>
        <v>7.2939999999999996</v>
      </c>
      <c r="F21" s="23">
        <f>7451/1000</f>
        <v>7.4509999999999996</v>
      </c>
      <c r="G21" s="24">
        <f>7310/1000</f>
        <v>7.31</v>
      </c>
      <c r="H21" s="28">
        <f>7874/1000</f>
        <v>7.8739999999999997</v>
      </c>
    </row>
    <row r="23" spans="1:8" x14ac:dyDescent="0.3">
      <c r="C23" t="s">
        <v>9</v>
      </c>
      <c r="G23" s="6"/>
    </row>
    <row r="24" spans="1:8" x14ac:dyDescent="0.3">
      <c r="A24" t="s">
        <v>242</v>
      </c>
      <c r="B24">
        <v>2.36</v>
      </c>
      <c r="C24" t="s">
        <v>21</v>
      </c>
    </row>
    <row r="25" spans="1:8" x14ac:dyDescent="0.3">
      <c r="A25" t="s">
        <v>243</v>
      </c>
      <c r="B25">
        <v>0.107</v>
      </c>
      <c r="C25" t="s">
        <v>241</v>
      </c>
    </row>
    <row r="26" spans="1:8" x14ac:dyDescent="0.3">
      <c r="A26" t="s">
        <v>244</v>
      </c>
      <c r="B26">
        <v>0.82</v>
      </c>
      <c r="G26" s="6"/>
    </row>
    <row r="28" spans="1:8" x14ac:dyDescent="0.3">
      <c r="A28" t="s">
        <v>378</v>
      </c>
    </row>
    <row r="29" spans="1:8" x14ac:dyDescent="0.3">
      <c r="A29" t="s">
        <v>245</v>
      </c>
    </row>
    <row r="30" spans="1:8" x14ac:dyDescent="0.3">
      <c r="A30" t="s">
        <v>379</v>
      </c>
      <c r="B30" s="5">
        <f>((1/C20)/(B4*B10))*1000</f>
        <v>3.9394735346660368</v>
      </c>
      <c r="C30" t="s">
        <v>107</v>
      </c>
      <c r="F30" s="9" t="s">
        <v>270</v>
      </c>
      <c r="G30" s="9" t="s">
        <v>271</v>
      </c>
    </row>
    <row r="31" spans="1:8" x14ac:dyDescent="0.3">
      <c r="A31" t="s">
        <v>246</v>
      </c>
      <c r="D31" t="s">
        <v>249</v>
      </c>
      <c r="F31" t="s">
        <v>251</v>
      </c>
      <c r="G31" t="s">
        <v>272</v>
      </c>
    </row>
    <row r="32" spans="1:8" x14ac:dyDescent="0.3">
      <c r="A32" t="s">
        <v>258</v>
      </c>
      <c r="B32">
        <v>1</v>
      </c>
      <c r="C32" t="s">
        <v>107</v>
      </c>
      <c r="D32" s="5">
        <f>B32*($B$24/$B$4*$B$10*$B$26)</f>
        <v>0.40340100396301187</v>
      </c>
      <c r="E32" s="29" t="s">
        <v>250</v>
      </c>
      <c r="F32" s="30">
        <f>D32/(D32+D33)</f>
        <v>0.82358106218638572</v>
      </c>
      <c r="G32" s="30">
        <f>(B32*$B$5)/((B32*$B$5)+(B33*3.6))</f>
        <v>0.91083810487881589</v>
      </c>
    </row>
    <row r="33" spans="1:8" x14ac:dyDescent="0.3">
      <c r="A33" t="s">
        <v>247</v>
      </c>
      <c r="B33" s="5">
        <f>C19/(B4*B10)</f>
        <v>0.8075920746065367</v>
      </c>
      <c r="C33" t="s">
        <v>248</v>
      </c>
      <c r="D33" s="5">
        <f>B33*$B$25</f>
        <v>8.6412351982899427E-2</v>
      </c>
      <c r="E33" s="29" t="s">
        <v>250</v>
      </c>
      <c r="F33" s="30">
        <f>D33/(D33+D32)</f>
        <v>0.17641893781361426</v>
      </c>
      <c r="G33" s="30">
        <f>1-G32</f>
        <v>8.9161895121184109E-2</v>
      </c>
    </row>
    <row r="36" spans="1:8" x14ac:dyDescent="0.3">
      <c r="B36" s="10"/>
      <c r="C36" s="11" t="s">
        <v>232</v>
      </c>
      <c r="D36" s="38"/>
      <c r="E36" s="39"/>
      <c r="F36" s="39"/>
      <c r="G36" s="39"/>
      <c r="H36" s="39"/>
    </row>
    <row r="37" spans="1:8" x14ac:dyDescent="0.3">
      <c r="B37" s="14"/>
      <c r="C37" s="15" t="s">
        <v>274</v>
      </c>
      <c r="D37" s="41"/>
      <c r="E37" s="42"/>
      <c r="F37" s="42"/>
      <c r="G37" s="39"/>
      <c r="H37" s="39"/>
    </row>
    <row r="38" spans="1:8" x14ac:dyDescent="0.3">
      <c r="B38" s="18" t="s">
        <v>239</v>
      </c>
      <c r="C38" s="33">
        <v>3.5049999999999999</v>
      </c>
      <c r="D38" s="19"/>
      <c r="E38" s="20"/>
      <c r="F38" s="20"/>
      <c r="G38" s="21"/>
      <c r="H38" s="21"/>
    </row>
    <row r="39" spans="1:8" x14ac:dyDescent="0.3">
      <c r="B39" s="18" t="s">
        <v>410</v>
      </c>
      <c r="C39" s="32">
        <v>21.4</v>
      </c>
      <c r="D39" s="32"/>
      <c r="E39" s="34"/>
      <c r="F39" s="34"/>
      <c r="G39" s="40"/>
      <c r="H39" s="40"/>
    </row>
    <row r="40" spans="1:8" x14ac:dyDescent="0.3">
      <c r="B40" s="50" t="s">
        <v>425</v>
      </c>
      <c r="C40" s="51">
        <f>14776/1000</f>
        <v>14.776</v>
      </c>
      <c r="D40" s="34"/>
      <c r="E40" s="34"/>
      <c r="F40" s="34"/>
      <c r="G40" s="40"/>
      <c r="H40" s="40"/>
    </row>
    <row r="43" spans="1:8" x14ac:dyDescent="0.3">
      <c r="A43" t="s">
        <v>279</v>
      </c>
    </row>
    <row r="44" spans="1:8" x14ac:dyDescent="0.3">
      <c r="A44" t="s">
        <v>245</v>
      </c>
    </row>
    <row r="45" spans="1:8" x14ac:dyDescent="0.3">
      <c r="A45" t="s">
        <v>411</v>
      </c>
      <c r="B45" s="5">
        <f>((1/C39)/(B4*B10))*1000</f>
        <v>15.647441609654821</v>
      </c>
      <c r="C45" t="s">
        <v>107</v>
      </c>
      <c r="F45" s="9" t="s">
        <v>270</v>
      </c>
      <c r="G45" s="9" t="s">
        <v>271</v>
      </c>
    </row>
    <row r="46" spans="1:8" x14ac:dyDescent="0.3">
      <c r="A46" t="s">
        <v>246</v>
      </c>
      <c r="D46" t="s">
        <v>249</v>
      </c>
      <c r="F46" t="s">
        <v>251</v>
      </c>
      <c r="G46" t="s">
        <v>272</v>
      </c>
    </row>
    <row r="47" spans="1:8" x14ac:dyDescent="0.3">
      <c r="A47" t="s">
        <v>258</v>
      </c>
      <c r="B47">
        <v>1</v>
      </c>
      <c r="C47" t="s">
        <v>107</v>
      </c>
      <c r="D47" s="5">
        <f>B47*($B$24/$B$4*$B$10*$B$26)</f>
        <v>0.40340100396301187</v>
      </c>
      <c r="E47" s="29" t="s">
        <v>250</v>
      </c>
      <c r="F47" s="30">
        <f>D47/(D47+D48)</f>
        <v>0.76259665485344597</v>
      </c>
      <c r="G47" s="30">
        <f>(B47*$B$5)/((B47*$B$5)+(B48*3.6))</f>
        <v>0.87545532206192156</v>
      </c>
    </row>
    <row r="48" spans="1:8" x14ac:dyDescent="0.3">
      <c r="A48" t="s">
        <v>247</v>
      </c>
      <c r="B48" s="5">
        <f>C38/(B4*B10)</f>
        <v>1.1736676528153791</v>
      </c>
      <c r="C48" t="s">
        <v>248</v>
      </c>
      <c r="D48" s="5">
        <f>B48*$B$25</f>
        <v>0.12558243885124556</v>
      </c>
      <c r="E48" s="29" t="s">
        <v>250</v>
      </c>
      <c r="F48" s="30">
        <f>D48/(D48+D47)</f>
        <v>0.23740334514655398</v>
      </c>
      <c r="G48" s="30">
        <f>1-G47</f>
        <v>0.12454467793807844</v>
      </c>
    </row>
    <row r="52" spans="2:6" x14ac:dyDescent="0.3">
      <c r="B52" s="10"/>
      <c r="C52" s="11" t="s">
        <v>232</v>
      </c>
      <c r="D52" s="46"/>
      <c r="E52" s="46"/>
      <c r="F52" s="47"/>
    </row>
    <row r="53" spans="2:6" x14ac:dyDescent="0.3">
      <c r="B53" s="14"/>
      <c r="C53" s="15" t="s">
        <v>421</v>
      </c>
      <c r="D53" t="s">
        <v>422</v>
      </c>
      <c r="E53" t="s">
        <v>423</v>
      </c>
      <c r="F53" s="48" t="s">
        <v>424</v>
      </c>
    </row>
    <row r="54" spans="2:6" x14ac:dyDescent="0.3">
      <c r="B54" s="18" t="s">
        <v>239</v>
      </c>
      <c r="C54" s="32">
        <v>0</v>
      </c>
      <c r="D54" s="46">
        <v>0</v>
      </c>
      <c r="E54" s="46">
        <v>13.83</v>
      </c>
      <c r="F54" s="47">
        <v>2.59</v>
      </c>
    </row>
    <row r="55" spans="2:6" x14ac:dyDescent="0.3">
      <c r="B55" s="18" t="s">
        <v>410</v>
      </c>
      <c r="C55" s="33">
        <f>2.86/B8</f>
        <v>112.59819999999998</v>
      </c>
      <c r="D55" s="44">
        <f>2.81/B8</f>
        <v>110.62969999999999</v>
      </c>
      <c r="E55" s="5">
        <v>9.57</v>
      </c>
      <c r="F55" s="48">
        <v>17.809999999999999</v>
      </c>
    </row>
    <row r="56" spans="2:6" x14ac:dyDescent="0.3">
      <c r="B56" s="52" t="s">
        <v>523</v>
      </c>
      <c r="C56" s="53">
        <f>5.63*B6</f>
        <v>2.5537679999999998</v>
      </c>
      <c r="D56" s="54">
        <v>5.63</v>
      </c>
      <c r="E56" s="54">
        <v>0</v>
      </c>
      <c r="F56" s="48">
        <v>0</v>
      </c>
    </row>
    <row r="57" spans="2:6" x14ac:dyDescent="0.3">
      <c r="B57" s="67" t="s">
        <v>524</v>
      </c>
      <c r="C57" s="66"/>
      <c r="D57" s="54"/>
      <c r="E57" s="68">
        <v>16.3</v>
      </c>
      <c r="F57" s="48"/>
    </row>
    <row r="58" spans="2:6" x14ac:dyDescent="0.3">
      <c r="B58" s="67" t="s">
        <v>552</v>
      </c>
      <c r="C58" s="66">
        <v>0.54</v>
      </c>
      <c r="D58" s="54"/>
      <c r="E58" s="68"/>
      <c r="F58" s="48"/>
    </row>
    <row r="59" spans="2:6" x14ac:dyDescent="0.3">
      <c r="B59" s="50" t="s">
        <v>425</v>
      </c>
      <c r="C59" s="45">
        <v>2.36</v>
      </c>
      <c r="D59" s="45"/>
      <c r="E59" s="55">
        <f>25362/1000</f>
        <v>25.361999999999998</v>
      </c>
      <c r="F59" s="56">
        <f>11023/1000</f>
        <v>11.023</v>
      </c>
    </row>
    <row r="60" spans="2:6" x14ac:dyDescent="0.3">
      <c r="B60" s="57" t="s">
        <v>435</v>
      </c>
      <c r="C60" s="58">
        <v>0.82699999999999996</v>
      </c>
      <c r="D60" s="58">
        <v>0.82699999999999996</v>
      </c>
      <c r="E60" s="59">
        <v>0.71799999999999997</v>
      </c>
      <c r="F60" s="60">
        <v>0.93200000000000005</v>
      </c>
    </row>
    <row r="61" spans="2:6" x14ac:dyDescent="0.3">
      <c r="B61" s="50" t="s">
        <v>436</v>
      </c>
      <c r="C61" s="61">
        <v>0.60899999999999999</v>
      </c>
      <c r="D61" s="61">
        <v>0.60899999999999999</v>
      </c>
      <c r="E61" s="62">
        <v>0.61799999999999999</v>
      </c>
      <c r="F61" s="63">
        <v>0.89600000000000002</v>
      </c>
    </row>
    <row r="63" spans="2:6" x14ac:dyDescent="0.3">
      <c r="C63" t="s">
        <v>528</v>
      </c>
      <c r="D63" t="s">
        <v>529</v>
      </c>
      <c r="E63" t="s">
        <v>530</v>
      </c>
    </row>
    <row r="64" spans="2:6" x14ac:dyDescent="0.3">
      <c r="B64" t="s">
        <v>527</v>
      </c>
      <c r="C64">
        <v>3.03</v>
      </c>
      <c r="D64">
        <v>7.53</v>
      </c>
      <c r="E64">
        <v>0</v>
      </c>
    </row>
    <row r="74" spans="1:4" x14ac:dyDescent="0.3">
      <c r="A74" s="9" t="s">
        <v>273</v>
      </c>
    </row>
    <row r="75" spans="1:4" x14ac:dyDescent="0.3">
      <c r="A75" s="9" t="s">
        <v>16</v>
      </c>
    </row>
    <row r="77" spans="1:4" x14ac:dyDescent="0.3">
      <c r="B77" s="14"/>
      <c r="C77" s="15" t="s">
        <v>276</v>
      </c>
      <c r="D77" s="16" t="s">
        <v>277</v>
      </c>
    </row>
    <row r="78" spans="1:4" x14ac:dyDescent="0.3">
      <c r="B78" s="18" t="s">
        <v>278</v>
      </c>
      <c r="C78" s="32">
        <v>26.1</v>
      </c>
      <c r="D78" s="34">
        <f>(0.13*B5/B10)/3.6</f>
        <v>1.3593155893536122</v>
      </c>
    </row>
    <row r="79" spans="1:4" x14ac:dyDescent="0.3">
      <c r="B79" s="14" t="s">
        <v>275</v>
      </c>
      <c r="C79" s="22">
        <v>85.2</v>
      </c>
      <c r="D79" s="23">
        <f>(1/0.01808)/B5/B10</f>
        <v>2.3603049725507863</v>
      </c>
    </row>
    <row r="81" spans="1:7" x14ac:dyDescent="0.3">
      <c r="A81" t="s">
        <v>279</v>
      </c>
    </row>
    <row r="82" spans="1:7" x14ac:dyDescent="0.3">
      <c r="A82" t="s">
        <v>245</v>
      </c>
    </row>
    <row r="83" spans="1:7" x14ac:dyDescent="0.3">
      <c r="A83" t="s">
        <v>281</v>
      </c>
      <c r="B83">
        <v>1000</v>
      </c>
      <c r="F83" s="9" t="s">
        <v>270</v>
      </c>
      <c r="G83" s="9" t="s">
        <v>271</v>
      </c>
    </row>
    <row r="84" spans="1:7" x14ac:dyDescent="0.3">
      <c r="A84" t="s">
        <v>280</v>
      </c>
      <c r="D84" t="s">
        <v>249</v>
      </c>
      <c r="F84" t="s">
        <v>251</v>
      </c>
      <c r="G84" t="s">
        <v>272</v>
      </c>
    </row>
    <row r="85" spans="1:7" x14ac:dyDescent="0.3">
      <c r="A85" t="s">
        <v>282</v>
      </c>
      <c r="B85" s="35">
        <f>C79*B10</f>
        <v>67.222800000000007</v>
      </c>
      <c r="C85" t="s">
        <v>107</v>
      </c>
      <c r="D85" s="5">
        <f>B85*(B24/B4*B10*B26)</f>
        <v>27.117745009204757</v>
      </c>
      <c r="E85" s="29" t="s">
        <v>250</v>
      </c>
      <c r="F85" s="30">
        <f>D85/(D85+D86)</f>
        <v>0.90663127883451533</v>
      </c>
      <c r="G85" s="30">
        <f>(B85*$B$5)/((B85*$B$5)+(B86*3.6))</f>
        <v>0.9550533238067046</v>
      </c>
    </row>
    <row r="86" spans="1:7" x14ac:dyDescent="0.3">
      <c r="A86" t="s">
        <v>283</v>
      </c>
      <c r="B86" s="35">
        <f>C78</f>
        <v>26.1</v>
      </c>
      <c r="C86" t="s">
        <v>248</v>
      </c>
      <c r="D86" s="5">
        <f>B86*B25</f>
        <v>2.7927</v>
      </c>
      <c r="E86" s="29" t="s">
        <v>250</v>
      </c>
      <c r="F86" s="30">
        <f>D86/(D86+D85)</f>
        <v>9.3368721165484614E-2</v>
      </c>
      <c r="G86" s="30">
        <f>1-G85</f>
        <v>4.4946676193295398E-2</v>
      </c>
    </row>
    <row r="89" spans="1:7" x14ac:dyDescent="0.3">
      <c r="A89" t="s">
        <v>284</v>
      </c>
    </row>
    <row r="90" spans="1:7" x14ac:dyDescent="0.3">
      <c r="A90" t="s">
        <v>245</v>
      </c>
    </row>
    <row r="91" spans="1:7" x14ac:dyDescent="0.3">
      <c r="A91" t="s">
        <v>285</v>
      </c>
      <c r="B91">
        <v>1000</v>
      </c>
      <c r="F91" s="9" t="s">
        <v>270</v>
      </c>
      <c r="G91" s="9" t="s">
        <v>271</v>
      </c>
    </row>
    <row r="92" spans="1:7" x14ac:dyDescent="0.3">
      <c r="A92" t="s">
        <v>280</v>
      </c>
      <c r="D92" t="s">
        <v>249</v>
      </c>
      <c r="F92" t="s">
        <v>251</v>
      </c>
      <c r="G92" t="s">
        <v>272</v>
      </c>
    </row>
    <row r="93" spans="1:7" x14ac:dyDescent="0.3">
      <c r="A93" t="s">
        <v>282</v>
      </c>
      <c r="B93" s="35">
        <f>D79*1000</f>
        <v>2360.3049725507863</v>
      </c>
      <c r="C93" t="s">
        <v>107</v>
      </c>
      <c r="D93" s="5">
        <f>B93*(B24/B4*B10*B26)</f>
        <v>952.14939558587639</v>
      </c>
      <c r="E93" s="29" t="s">
        <v>250</v>
      </c>
      <c r="F93" s="30">
        <f>D93/(D93+D94)</f>
        <v>0.73499615836189169</v>
      </c>
      <c r="G93" s="30">
        <f>(B93*$B$5)/((B93*$B$5)+(B94*3.6))</f>
        <v>0.85854189336235043</v>
      </c>
    </row>
    <row r="94" spans="1:7" x14ac:dyDescent="0.3">
      <c r="A94" t="s">
        <v>283</v>
      </c>
      <c r="B94" s="35">
        <f>D78*B93</f>
        <v>3208.3993448171336</v>
      </c>
      <c r="C94" t="s">
        <v>248</v>
      </c>
      <c r="D94" s="5">
        <f>B94*B25</f>
        <v>343.29872989543327</v>
      </c>
      <c r="E94" s="29" t="s">
        <v>250</v>
      </c>
      <c r="F94" s="30">
        <f>D94/(D94+D93)</f>
        <v>0.26500384163810831</v>
      </c>
      <c r="G94" s="30">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2021-01-18T11:29:07Z</dcterms:created>
  <dcterms:modified xsi:type="dcterms:W3CDTF">2022-02-01T09:14:19Z</dcterms:modified>
</cp:coreProperties>
</file>