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hnme_a\PycharmProjects\premise\dev\"/>
    </mc:Choice>
  </mc:AlternateContent>
  <bookViews>
    <workbookView xWindow="0" yWindow="0" windowWidth="28800" windowHeight="11100" firstSheet="23" activeTab="31"/>
  </bookViews>
  <sheets>
    <sheet name="Materials" sheetId="1" r:id="rId1"/>
    <sheet name="Technologies" sheetId="2" r:id="rId2"/>
    <sheet name="ICEV" sheetId="3" r:id="rId3"/>
    <sheet name="EV" sheetId="5" r:id="rId4"/>
    <sheet name="Wind-DDPM" sheetId="6" r:id="rId5"/>
    <sheet name="Wind-DDEE" sheetId="9" r:id="rId6"/>
    <sheet name="Wind-Gearbox" sheetId="8" r:id="rId7"/>
    <sheet name="Wind-HTSP" sheetId="10" r:id="rId8"/>
    <sheet name="c-Si" sheetId="11" r:id="rId9"/>
    <sheet name="CdTe" sheetId="12" r:id="rId10"/>
    <sheet name="CIGS" sheetId="13" r:id="rId11"/>
    <sheet name="a-Si" sheetId="14" r:id="rId12"/>
    <sheet name="Parabolic Trough - SF" sheetId="17" r:id="rId13"/>
    <sheet name="Parabolic Trough - PB" sheetId="18" r:id="rId14"/>
    <sheet name="CSP Tower - SF" sheetId="15" r:id="rId15"/>
    <sheet name="CSP Tower - PB" sheetId="16" r:id="rId16"/>
    <sheet name="Nuclear" sheetId="19" r:id="rId17"/>
    <sheet name="LCO" sheetId="30" r:id="rId18"/>
    <sheet name="LMO" sheetId="20" r:id="rId19"/>
    <sheet name="NMC111" sheetId="23" r:id="rId20"/>
    <sheet name="NMC622" sheetId="24" r:id="rId21"/>
    <sheet name="NMC811" sheetId="25" r:id="rId22"/>
    <sheet name="NCA" sheetId="26" r:id="rId23"/>
    <sheet name="LFP" sheetId="27" r:id="rId24"/>
    <sheet name="LTO" sheetId="32" r:id="rId25"/>
    <sheet name="Lead-Acid" sheetId="28" r:id="rId26"/>
    <sheet name="NiMH" sheetId="31" r:id="rId27"/>
    <sheet name="LiS" sheetId="45" r:id="rId28"/>
    <sheet name="LiO2" sheetId="46" r:id="rId29"/>
    <sheet name="PEMFC" sheetId="40" r:id="rId30"/>
    <sheet name="SOFC - Y" sheetId="35" r:id="rId31"/>
    <sheet name="SOFC - Sc" sheetId="39" r:id="rId32"/>
    <sheet name="PAFC" sheetId="38" r:id="rId33"/>
    <sheet name="PEMEL" sheetId="34" r:id="rId34"/>
    <sheet name="AEL" sheetId="42" r:id="rId35"/>
    <sheet name="HTEL - Yttrium" sheetId="43" r:id="rId36"/>
    <sheet name="HTEL - Scandium" sheetId="44" r:id="rId3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39" l="1"/>
  <c r="E6" i="39"/>
  <c r="F6" i="39"/>
  <c r="G6" i="39"/>
  <c r="D7" i="39"/>
  <c r="E7" i="39"/>
  <c r="F7" i="39"/>
  <c r="G7" i="39"/>
  <c r="D8" i="39"/>
  <c r="E8" i="39"/>
  <c r="F8" i="39"/>
  <c r="G8" i="39"/>
  <c r="D9" i="39"/>
  <c r="E9" i="39"/>
  <c r="F9" i="39"/>
  <c r="G9" i="39"/>
  <c r="D10" i="39"/>
  <c r="E10" i="39"/>
  <c r="F10" i="39"/>
  <c r="G10" i="39"/>
  <c r="D11" i="39"/>
  <c r="E11" i="39"/>
  <c r="F11" i="39"/>
  <c r="G11" i="39"/>
  <c r="D12" i="39"/>
  <c r="E12" i="39"/>
  <c r="F12" i="39"/>
  <c r="G12" i="39"/>
  <c r="D13" i="39"/>
  <c r="E13" i="39"/>
  <c r="F13" i="39"/>
  <c r="G13" i="39"/>
  <c r="D14" i="39"/>
  <c r="E14" i="39"/>
  <c r="F14" i="39"/>
  <c r="G14" i="39"/>
  <c r="D15" i="39"/>
  <c r="E15" i="39"/>
  <c r="F15" i="39"/>
  <c r="G15" i="39"/>
  <c r="D16" i="39"/>
  <c r="E16" i="39"/>
  <c r="F16" i="39"/>
  <c r="G16" i="39"/>
  <c r="D17" i="39"/>
  <c r="E17" i="39"/>
  <c r="F17" i="39"/>
  <c r="G17" i="39"/>
  <c r="D18" i="39"/>
  <c r="E18" i="39"/>
  <c r="F18" i="39"/>
  <c r="G18" i="39"/>
  <c r="D19" i="39"/>
  <c r="E19" i="39"/>
  <c r="F19" i="39"/>
  <c r="G19" i="39"/>
  <c r="D20" i="39"/>
  <c r="E20" i="39"/>
  <c r="F20" i="39"/>
  <c r="G20" i="39"/>
  <c r="G5" i="39"/>
  <c r="F5" i="39"/>
  <c r="E5" i="39"/>
  <c r="D5" i="39"/>
  <c r="D10" i="34" l="1"/>
  <c r="E10" i="34"/>
  <c r="F10" i="34"/>
  <c r="G10" i="34"/>
  <c r="H10" i="34"/>
  <c r="D17" i="35" l="1"/>
  <c r="E17" i="35"/>
  <c r="F17" i="35"/>
  <c r="G17" i="35"/>
  <c r="H17" i="35"/>
  <c r="D6" i="32"/>
  <c r="E6" i="32"/>
  <c r="F6" i="32"/>
  <c r="G6" i="32"/>
  <c r="H6" i="32"/>
  <c r="D7" i="32"/>
  <c r="E7" i="32"/>
  <c r="F7" i="32"/>
  <c r="G7" i="32"/>
  <c r="H7" i="32"/>
  <c r="D8" i="32"/>
  <c r="E8" i="32"/>
  <c r="F8" i="32"/>
  <c r="G8" i="32"/>
  <c r="H8" i="32"/>
  <c r="D9" i="32"/>
  <c r="E9" i="32"/>
  <c r="F9" i="32"/>
  <c r="G9" i="32"/>
  <c r="H9" i="32"/>
  <c r="D10" i="32"/>
  <c r="E10" i="32"/>
  <c r="F10" i="32"/>
  <c r="G10" i="32"/>
  <c r="H10" i="32"/>
  <c r="D11" i="32"/>
  <c r="E11" i="32"/>
  <c r="F11" i="32"/>
  <c r="G11" i="32"/>
  <c r="H11" i="32"/>
  <c r="D12" i="32"/>
  <c r="E12" i="32"/>
  <c r="F12" i="32"/>
  <c r="G12" i="32"/>
  <c r="H12" i="32"/>
  <c r="D13" i="32"/>
  <c r="E13" i="32"/>
  <c r="F13" i="32"/>
  <c r="G13" i="32"/>
  <c r="H13" i="32"/>
  <c r="H5" i="32"/>
  <c r="G5" i="32"/>
  <c r="F5" i="32"/>
  <c r="E5" i="32"/>
  <c r="D5" i="32"/>
  <c r="D15" i="6"/>
  <c r="E15" i="6"/>
  <c r="F15" i="6"/>
  <c r="G15" i="6"/>
  <c r="D16" i="6"/>
  <c r="E16" i="6"/>
  <c r="F16" i="6"/>
  <c r="G16" i="6"/>
  <c r="D10" i="6"/>
  <c r="E10" i="6"/>
  <c r="F10" i="6"/>
  <c r="G10" i="6"/>
  <c r="H10" i="6"/>
  <c r="H5" i="46" l="1"/>
  <c r="D5" i="46"/>
  <c r="E5" i="46"/>
  <c r="F5" i="46"/>
  <c r="G5" i="46"/>
  <c r="H8" i="45"/>
  <c r="D8" i="45"/>
  <c r="E8" i="45"/>
  <c r="F8" i="45"/>
  <c r="G8" i="45"/>
  <c r="H8" i="46"/>
  <c r="G8" i="46"/>
  <c r="F8" i="46"/>
  <c r="E8" i="46"/>
  <c r="D8" i="46"/>
  <c r="H7" i="46"/>
  <c r="G7" i="46"/>
  <c r="F7" i="46"/>
  <c r="E7" i="46"/>
  <c r="D7" i="46"/>
  <c r="H6" i="46"/>
  <c r="G6" i="46"/>
  <c r="F6" i="46"/>
  <c r="E6" i="46"/>
  <c r="D6" i="46"/>
  <c r="H7" i="45"/>
  <c r="G7" i="45"/>
  <c r="F7" i="45"/>
  <c r="E7" i="45"/>
  <c r="D7" i="45"/>
  <c r="H6" i="45"/>
  <c r="G6" i="45"/>
  <c r="F6" i="45"/>
  <c r="E6" i="45"/>
  <c r="D6" i="45"/>
  <c r="H5" i="45"/>
  <c r="G5" i="45"/>
  <c r="F5" i="45"/>
  <c r="E5" i="45"/>
  <c r="D5" i="45"/>
  <c r="D5" i="42" l="1"/>
  <c r="E5" i="42"/>
  <c r="F5" i="42"/>
  <c r="G5" i="42"/>
  <c r="H5" i="42"/>
  <c r="D12" i="42"/>
  <c r="E12" i="42"/>
  <c r="F12" i="42"/>
  <c r="G12" i="42"/>
  <c r="H12" i="42"/>
  <c r="D9" i="34"/>
  <c r="E9" i="34"/>
  <c r="F9" i="34"/>
  <c r="G9" i="34"/>
  <c r="H9" i="34"/>
  <c r="D6" i="34"/>
  <c r="E6" i="34"/>
  <c r="F6" i="34"/>
  <c r="G6" i="34"/>
  <c r="H6" i="34"/>
  <c r="D7" i="42"/>
  <c r="E7" i="42"/>
  <c r="F7" i="42"/>
  <c r="G7" i="42"/>
  <c r="H7" i="42"/>
  <c r="D8" i="42"/>
  <c r="E8" i="42"/>
  <c r="F8" i="42"/>
  <c r="G8" i="42"/>
  <c r="H8" i="42"/>
  <c r="D9" i="42"/>
  <c r="E9" i="42"/>
  <c r="F9" i="42"/>
  <c r="G9" i="42"/>
  <c r="H9" i="42"/>
  <c r="D10" i="42"/>
  <c r="E10" i="42"/>
  <c r="F10" i="42"/>
  <c r="G10" i="42"/>
  <c r="H10" i="42"/>
  <c r="D11" i="42"/>
  <c r="E11" i="42"/>
  <c r="F11" i="42"/>
  <c r="G11" i="42"/>
  <c r="H11" i="42"/>
  <c r="D5" i="44"/>
  <c r="E5" i="44"/>
  <c r="F5" i="44"/>
  <c r="G5" i="44"/>
  <c r="H5" i="44"/>
  <c r="D11" i="34"/>
  <c r="E11" i="34"/>
  <c r="F11" i="34"/>
  <c r="G11" i="34"/>
  <c r="H11" i="34"/>
  <c r="D6" i="43"/>
  <c r="E6" i="43"/>
  <c r="F6" i="43"/>
  <c r="G6" i="43"/>
  <c r="H6" i="43"/>
  <c r="D7" i="43"/>
  <c r="E7" i="43"/>
  <c r="F7" i="43"/>
  <c r="G7" i="43"/>
  <c r="H7" i="43"/>
  <c r="D8" i="43"/>
  <c r="E8" i="43"/>
  <c r="F8" i="43"/>
  <c r="G8" i="43"/>
  <c r="H8" i="43"/>
  <c r="D9" i="43"/>
  <c r="E9" i="43"/>
  <c r="F9" i="43"/>
  <c r="G9" i="43"/>
  <c r="H9" i="43"/>
  <c r="D10" i="43"/>
  <c r="E10" i="43"/>
  <c r="F10" i="43"/>
  <c r="G10" i="43"/>
  <c r="H10" i="43"/>
  <c r="D11" i="43"/>
  <c r="E11" i="43"/>
  <c r="F11" i="43"/>
  <c r="G11" i="43"/>
  <c r="H11" i="43"/>
  <c r="D12" i="43"/>
  <c r="E12" i="43"/>
  <c r="F12" i="43"/>
  <c r="G12" i="43"/>
  <c r="H12" i="43"/>
  <c r="D13" i="43"/>
  <c r="E13" i="43"/>
  <c r="F13" i="43"/>
  <c r="G13" i="43"/>
  <c r="H13" i="43"/>
  <c r="D14" i="43"/>
  <c r="E14" i="43"/>
  <c r="F14" i="43"/>
  <c r="G14" i="43"/>
  <c r="H14" i="43"/>
  <c r="D15" i="43"/>
  <c r="E15" i="43"/>
  <c r="F15" i="43"/>
  <c r="G15" i="43"/>
  <c r="H15" i="43"/>
  <c r="H5" i="43"/>
  <c r="G5" i="43"/>
  <c r="F5" i="43"/>
  <c r="E5" i="43"/>
  <c r="D5" i="43"/>
  <c r="H6" i="42"/>
  <c r="G6" i="42"/>
  <c r="F6" i="42"/>
  <c r="E6" i="42"/>
  <c r="D6" i="42"/>
  <c r="H6" i="40"/>
  <c r="G6" i="40"/>
  <c r="F6" i="40"/>
  <c r="E6" i="40"/>
  <c r="D6" i="40"/>
  <c r="H5" i="40"/>
  <c r="G5" i="40"/>
  <c r="F5" i="40"/>
  <c r="E5" i="40"/>
  <c r="D5" i="40"/>
  <c r="D7" i="34"/>
  <c r="E7" i="34"/>
  <c r="F7" i="34"/>
  <c r="G7" i="34"/>
  <c r="H7" i="34"/>
  <c r="H17" i="39"/>
  <c r="H20" i="39"/>
  <c r="H19" i="39"/>
  <c r="H18" i="39"/>
  <c r="H16" i="39"/>
  <c r="H15" i="39"/>
  <c r="H14" i="39"/>
  <c r="H13" i="39"/>
  <c r="H12" i="39"/>
  <c r="H11" i="39"/>
  <c r="H10" i="39"/>
  <c r="H9" i="39"/>
  <c r="H8" i="39"/>
  <c r="H7" i="39"/>
  <c r="H6" i="39"/>
  <c r="H5" i="39"/>
  <c r="D10" i="35"/>
  <c r="E10" i="35"/>
  <c r="F10" i="35"/>
  <c r="G10" i="35"/>
  <c r="H10" i="35"/>
  <c r="D8" i="35"/>
  <c r="E8" i="35"/>
  <c r="F8" i="35"/>
  <c r="G8" i="35"/>
  <c r="H8" i="35"/>
  <c r="D6" i="35"/>
  <c r="E6" i="35"/>
  <c r="F6" i="35"/>
  <c r="G6" i="35"/>
  <c r="H6" i="35"/>
  <c r="H16" i="38"/>
  <c r="G16" i="38"/>
  <c r="F16" i="38"/>
  <c r="E16" i="38"/>
  <c r="D16" i="38"/>
  <c r="H15" i="38"/>
  <c r="G15" i="38"/>
  <c r="F15" i="38"/>
  <c r="E15" i="38"/>
  <c r="D15" i="38"/>
  <c r="H14" i="38"/>
  <c r="G14" i="38"/>
  <c r="F14" i="38"/>
  <c r="E14" i="38"/>
  <c r="D14" i="38"/>
  <c r="H13" i="38"/>
  <c r="G13" i="38"/>
  <c r="F13" i="38"/>
  <c r="E13" i="38"/>
  <c r="D13" i="38"/>
  <c r="H12" i="38"/>
  <c r="G12" i="38"/>
  <c r="F12" i="38"/>
  <c r="E12" i="38"/>
  <c r="D12" i="38"/>
  <c r="H11" i="38"/>
  <c r="G11" i="38"/>
  <c r="F11" i="38"/>
  <c r="E11" i="38"/>
  <c r="D11" i="38"/>
  <c r="H10" i="38"/>
  <c r="G10" i="38"/>
  <c r="F10" i="38"/>
  <c r="E10" i="38"/>
  <c r="D10" i="38"/>
  <c r="H9" i="38"/>
  <c r="G9" i="38"/>
  <c r="F9" i="38"/>
  <c r="E9" i="38"/>
  <c r="D9" i="38"/>
  <c r="H8" i="38"/>
  <c r="G8" i="38"/>
  <c r="F8" i="38"/>
  <c r="E8" i="38"/>
  <c r="D8" i="38"/>
  <c r="H7" i="38"/>
  <c r="G7" i="38"/>
  <c r="F7" i="38"/>
  <c r="E7" i="38"/>
  <c r="D7" i="38"/>
  <c r="H6" i="38"/>
  <c r="G6" i="38"/>
  <c r="F6" i="38"/>
  <c r="E6" i="38"/>
  <c r="D6" i="38"/>
  <c r="H5" i="38"/>
  <c r="G5" i="38"/>
  <c r="F5" i="38"/>
  <c r="E5" i="38"/>
  <c r="D5" i="38"/>
  <c r="D5" i="35"/>
  <c r="E5" i="35"/>
  <c r="F5" i="35"/>
  <c r="G5" i="35"/>
  <c r="H5" i="35"/>
  <c r="D7" i="35"/>
  <c r="E7" i="35"/>
  <c r="F7" i="35"/>
  <c r="G7" i="35"/>
  <c r="H7" i="35"/>
  <c r="D9" i="35"/>
  <c r="E9" i="35"/>
  <c r="F9" i="35"/>
  <c r="G9" i="35"/>
  <c r="H9" i="35"/>
  <c r="D11" i="35"/>
  <c r="E11" i="35"/>
  <c r="F11" i="35"/>
  <c r="G11" i="35"/>
  <c r="H11" i="35"/>
  <c r="D12" i="35"/>
  <c r="E12" i="35"/>
  <c r="F12" i="35"/>
  <c r="G12" i="35"/>
  <c r="H12" i="35"/>
  <c r="D13" i="35"/>
  <c r="E13" i="35"/>
  <c r="F13" i="35"/>
  <c r="G13" i="35"/>
  <c r="H13" i="35"/>
  <c r="D14" i="35"/>
  <c r="E14" i="35"/>
  <c r="F14" i="35"/>
  <c r="G14" i="35"/>
  <c r="H14" i="35"/>
  <c r="D15" i="35"/>
  <c r="E15" i="35"/>
  <c r="F15" i="35"/>
  <c r="G15" i="35"/>
  <c r="H15" i="35"/>
  <c r="D16" i="35"/>
  <c r="E16" i="35"/>
  <c r="F16" i="35"/>
  <c r="G16" i="35"/>
  <c r="H16" i="35"/>
  <c r="D18" i="35"/>
  <c r="E18" i="35"/>
  <c r="F18" i="35"/>
  <c r="G18" i="35"/>
  <c r="H18" i="35"/>
  <c r="D19" i="35"/>
  <c r="E19" i="35"/>
  <c r="F19" i="35"/>
  <c r="G19" i="35"/>
  <c r="H19" i="35"/>
  <c r="H20" i="35"/>
  <c r="G20" i="35"/>
  <c r="F20" i="35"/>
  <c r="E20" i="35"/>
  <c r="D20" i="35"/>
  <c r="H8" i="34"/>
  <c r="G8" i="34"/>
  <c r="F8" i="34"/>
  <c r="E8" i="34"/>
  <c r="D8" i="34"/>
  <c r="D5" i="24"/>
  <c r="E5" i="24"/>
  <c r="F5" i="24"/>
  <c r="G5" i="24"/>
  <c r="H5" i="24"/>
  <c r="D7" i="24"/>
  <c r="E7" i="24"/>
  <c r="F7" i="24"/>
  <c r="G7" i="24"/>
  <c r="H7" i="24"/>
  <c r="D8" i="24"/>
  <c r="E8" i="24"/>
  <c r="F8" i="24"/>
  <c r="G8" i="24"/>
  <c r="H8" i="24"/>
  <c r="D5" i="23"/>
  <c r="E5" i="23"/>
  <c r="F5" i="23"/>
  <c r="G5" i="23"/>
  <c r="H5" i="23"/>
  <c r="D7" i="23"/>
  <c r="E7" i="23"/>
  <c r="F7" i="23"/>
  <c r="G7" i="23"/>
  <c r="H7" i="23"/>
  <c r="D8" i="23"/>
  <c r="E8" i="23"/>
  <c r="F8" i="23"/>
  <c r="G8" i="23"/>
  <c r="H8" i="23"/>
  <c r="D9" i="23"/>
  <c r="E9" i="23"/>
  <c r="F9" i="23"/>
  <c r="G9" i="23"/>
  <c r="H9" i="23"/>
  <c r="D8" i="26"/>
  <c r="E8" i="26"/>
  <c r="F8" i="26"/>
  <c r="G8" i="26"/>
  <c r="H8" i="26"/>
  <c r="D8" i="27"/>
  <c r="E8" i="27"/>
  <c r="F8" i="27"/>
  <c r="G8" i="27"/>
  <c r="H8" i="27"/>
  <c r="D7" i="26"/>
  <c r="E7" i="26"/>
  <c r="F7" i="26"/>
  <c r="G7" i="26"/>
  <c r="H7" i="26"/>
  <c r="D9" i="26"/>
  <c r="E9" i="26"/>
  <c r="F9" i="26"/>
  <c r="G9" i="26"/>
  <c r="H9" i="26"/>
  <c r="D8" i="20"/>
  <c r="E8" i="20"/>
  <c r="F8" i="20"/>
  <c r="G8" i="20"/>
  <c r="H8" i="20"/>
  <c r="D7" i="27"/>
  <c r="E7" i="27"/>
  <c r="F7" i="27"/>
  <c r="G7" i="27"/>
  <c r="H7" i="27"/>
  <c r="D5" i="27"/>
  <c r="E5" i="27"/>
  <c r="F5" i="27"/>
  <c r="G5" i="27"/>
  <c r="H5" i="27"/>
  <c r="D9" i="27"/>
  <c r="E9" i="27"/>
  <c r="F9" i="27"/>
  <c r="G9" i="27"/>
  <c r="H9" i="27"/>
  <c r="D10" i="27"/>
  <c r="E10" i="27"/>
  <c r="F10" i="27"/>
  <c r="G10" i="27"/>
  <c r="H10" i="27"/>
  <c r="D5" i="26"/>
  <c r="E5" i="26"/>
  <c r="F5" i="26"/>
  <c r="G5" i="26"/>
  <c r="H5" i="26"/>
  <c r="D15" i="23"/>
  <c r="E15" i="23"/>
  <c r="F15" i="23"/>
  <c r="G15" i="23"/>
  <c r="H15" i="23"/>
  <c r="D13" i="23"/>
  <c r="E13" i="23"/>
  <c r="F13" i="23"/>
  <c r="G13" i="23"/>
  <c r="H13" i="23"/>
  <c r="D6" i="27"/>
  <c r="E6" i="27"/>
  <c r="F6" i="27"/>
  <c r="G6" i="27"/>
  <c r="H6" i="27"/>
  <c r="D11" i="27"/>
  <c r="E11" i="27"/>
  <c r="F11" i="27"/>
  <c r="G11" i="27"/>
  <c r="H11" i="27"/>
  <c r="D13" i="27"/>
  <c r="E13" i="27"/>
  <c r="F13" i="27"/>
  <c r="G13" i="27"/>
  <c r="H13" i="27"/>
  <c r="D14" i="27"/>
  <c r="E14" i="27"/>
  <c r="F14" i="27"/>
  <c r="G14" i="27"/>
  <c r="H14" i="27"/>
  <c r="D6" i="26"/>
  <c r="E6" i="26"/>
  <c r="F6" i="26"/>
  <c r="G6" i="26"/>
  <c r="H6" i="26"/>
  <c r="D10" i="26"/>
  <c r="E10" i="26"/>
  <c r="F10" i="26"/>
  <c r="G10" i="26"/>
  <c r="H10" i="26"/>
  <c r="D11" i="26"/>
  <c r="E11" i="26"/>
  <c r="F11" i="26"/>
  <c r="G11" i="26"/>
  <c r="H11" i="26"/>
  <c r="D13" i="26"/>
  <c r="E13" i="26"/>
  <c r="F13" i="26"/>
  <c r="G13" i="26"/>
  <c r="H13" i="26"/>
  <c r="D14" i="26"/>
  <c r="E14" i="26"/>
  <c r="F14" i="26"/>
  <c r="G14" i="26"/>
  <c r="H14" i="26"/>
  <c r="D5" i="20"/>
  <c r="E5" i="20"/>
  <c r="F5" i="20"/>
  <c r="G5" i="20"/>
  <c r="H5" i="20"/>
  <c r="D6" i="20"/>
  <c r="E6" i="20"/>
  <c r="F6" i="20"/>
  <c r="G6" i="20"/>
  <c r="H6" i="20"/>
  <c r="D7" i="20"/>
  <c r="E7" i="20"/>
  <c r="F7" i="20"/>
  <c r="G7" i="20"/>
  <c r="H7" i="20"/>
  <c r="D9" i="20"/>
  <c r="E9" i="20"/>
  <c r="F9" i="20"/>
  <c r="G9" i="20"/>
  <c r="H9" i="20"/>
  <c r="D10" i="20"/>
  <c r="E10" i="20"/>
  <c r="F10" i="20"/>
  <c r="G10" i="20"/>
  <c r="H10" i="20"/>
  <c r="D11" i="20"/>
  <c r="E11" i="20"/>
  <c r="F11" i="20"/>
  <c r="G11" i="20"/>
  <c r="H11" i="20"/>
  <c r="D6" i="23"/>
  <c r="E6" i="23"/>
  <c r="F6" i="23"/>
  <c r="G6" i="23"/>
  <c r="H6" i="23"/>
  <c r="D10" i="23"/>
  <c r="E10" i="23"/>
  <c r="F10" i="23"/>
  <c r="G10" i="23"/>
  <c r="H10" i="23"/>
  <c r="D11" i="23"/>
  <c r="E11" i="23"/>
  <c r="F11" i="23"/>
  <c r="G11" i="23"/>
  <c r="H11" i="23"/>
  <c r="D7" i="30"/>
  <c r="E7" i="30"/>
  <c r="F7" i="30"/>
  <c r="G7" i="30"/>
  <c r="H7" i="30"/>
  <c r="D5" i="30"/>
  <c r="E5" i="30"/>
  <c r="F5" i="30"/>
  <c r="G5" i="30"/>
  <c r="H5" i="30"/>
  <c r="D7" i="31"/>
  <c r="E7" i="31"/>
  <c r="F7" i="31"/>
  <c r="G7" i="31"/>
  <c r="H7" i="31"/>
  <c r="D6" i="31"/>
  <c r="E6" i="31"/>
  <c r="F6" i="31"/>
  <c r="G6" i="31"/>
  <c r="H6" i="31"/>
  <c r="H8" i="31"/>
  <c r="G8" i="31"/>
  <c r="F8" i="31"/>
  <c r="E8" i="31"/>
  <c r="D8" i="31"/>
  <c r="H5" i="31"/>
  <c r="G5" i="31"/>
  <c r="F5" i="31"/>
  <c r="E5" i="31"/>
  <c r="D5" i="31"/>
  <c r="H6" i="30"/>
  <c r="G6" i="30"/>
  <c r="F6" i="30"/>
  <c r="E6" i="30"/>
  <c r="D6" i="30"/>
  <c r="H5" i="28" l="1"/>
  <c r="G5" i="28"/>
  <c r="F5" i="28"/>
  <c r="E5" i="28"/>
  <c r="D5" i="28"/>
  <c r="H12" i="27"/>
  <c r="G12" i="27"/>
  <c r="F12" i="27"/>
  <c r="E12" i="27"/>
  <c r="D12" i="27"/>
  <c r="H12" i="26"/>
  <c r="G12" i="26"/>
  <c r="F12" i="26"/>
  <c r="E12" i="26"/>
  <c r="D12" i="26"/>
  <c r="H8" i="25"/>
  <c r="G8" i="25"/>
  <c r="F8" i="25"/>
  <c r="E8" i="25"/>
  <c r="D8" i="25"/>
  <c r="H7" i="25"/>
  <c r="G7" i="25"/>
  <c r="F7" i="25"/>
  <c r="E7" i="25"/>
  <c r="D7" i="25"/>
  <c r="H6" i="25"/>
  <c r="G6" i="25"/>
  <c r="F6" i="25"/>
  <c r="E6" i="25"/>
  <c r="D6" i="25"/>
  <c r="H5" i="25"/>
  <c r="G5" i="25"/>
  <c r="F5" i="25"/>
  <c r="E5" i="25"/>
  <c r="D5" i="25"/>
  <c r="H13" i="24"/>
  <c r="G13" i="24"/>
  <c r="F13" i="24"/>
  <c r="E13" i="24"/>
  <c r="D13" i="24"/>
  <c r="H12" i="24"/>
  <c r="G12" i="24"/>
  <c r="F12" i="24"/>
  <c r="E12" i="24"/>
  <c r="D12" i="24"/>
  <c r="H11" i="24"/>
  <c r="G11" i="24"/>
  <c r="F11" i="24"/>
  <c r="E11" i="24"/>
  <c r="D11" i="24"/>
  <c r="H10" i="24"/>
  <c r="G10" i="24"/>
  <c r="F10" i="24"/>
  <c r="E10" i="24"/>
  <c r="D10" i="24"/>
  <c r="H9" i="24"/>
  <c r="G9" i="24"/>
  <c r="F9" i="24"/>
  <c r="E9" i="24"/>
  <c r="D9" i="24"/>
  <c r="H6" i="24"/>
  <c r="G6" i="24"/>
  <c r="F6" i="24"/>
  <c r="E6" i="24"/>
  <c r="D6" i="24"/>
  <c r="H14" i="23"/>
  <c r="G14" i="23"/>
  <c r="F14" i="23"/>
  <c r="E14" i="23"/>
  <c r="D14" i="23"/>
  <c r="H12" i="23"/>
  <c r="G12" i="23"/>
  <c r="F12" i="23"/>
  <c r="E12" i="23"/>
  <c r="D12" i="23"/>
  <c r="D6" i="19" l="1"/>
  <c r="E6" i="19"/>
  <c r="F6" i="19"/>
  <c r="G6" i="19"/>
  <c r="H6" i="19"/>
  <c r="D7" i="19"/>
  <c r="E7" i="19"/>
  <c r="F7" i="19"/>
  <c r="G7" i="19"/>
  <c r="H7" i="19"/>
  <c r="D8" i="19" l="1"/>
  <c r="E8" i="19"/>
  <c r="F8" i="19"/>
  <c r="G8" i="19"/>
  <c r="H8" i="19"/>
  <c r="D9" i="19"/>
  <c r="E9" i="19"/>
  <c r="F9" i="19"/>
  <c r="G9" i="19"/>
  <c r="H9" i="19"/>
  <c r="D10" i="19"/>
  <c r="E10" i="19"/>
  <c r="F10" i="19"/>
  <c r="G10" i="19"/>
  <c r="H10" i="19"/>
  <c r="D11" i="19"/>
  <c r="E11" i="19"/>
  <c r="F11" i="19"/>
  <c r="G11" i="19"/>
  <c r="H11" i="19"/>
  <c r="D12" i="19"/>
  <c r="E12" i="19"/>
  <c r="F12" i="19"/>
  <c r="G12" i="19"/>
  <c r="H12" i="19"/>
  <c r="D13" i="19"/>
  <c r="E13" i="19"/>
  <c r="F13" i="19"/>
  <c r="G13" i="19"/>
  <c r="H13" i="19"/>
  <c r="D14" i="19"/>
  <c r="E14" i="19"/>
  <c r="F14" i="19"/>
  <c r="G14" i="19"/>
  <c r="H14" i="19"/>
  <c r="D15" i="19"/>
  <c r="E15" i="19"/>
  <c r="F15" i="19"/>
  <c r="G15" i="19"/>
  <c r="H15" i="19"/>
  <c r="D16" i="19"/>
  <c r="E16" i="19"/>
  <c r="F16" i="19"/>
  <c r="G16" i="19"/>
  <c r="H16" i="19"/>
  <c r="D17" i="19"/>
  <c r="E17" i="19"/>
  <c r="F17" i="19"/>
  <c r="G17" i="19"/>
  <c r="H17" i="19"/>
  <c r="D18" i="19"/>
  <c r="E18" i="19"/>
  <c r="F18" i="19"/>
  <c r="G18" i="19"/>
  <c r="H18" i="19"/>
  <c r="D19" i="19"/>
  <c r="E19" i="19"/>
  <c r="F19" i="19"/>
  <c r="G19" i="19"/>
  <c r="H19" i="19"/>
  <c r="D20" i="19"/>
  <c r="E20" i="19"/>
  <c r="F20" i="19"/>
  <c r="G20" i="19"/>
  <c r="H20" i="19"/>
  <c r="D21" i="19"/>
  <c r="E21" i="19"/>
  <c r="F21" i="19"/>
  <c r="G21" i="19"/>
  <c r="H21" i="19"/>
  <c r="D22" i="19"/>
  <c r="E22" i="19"/>
  <c r="F22" i="19"/>
  <c r="G22" i="19"/>
  <c r="H22" i="19"/>
  <c r="D23" i="19"/>
  <c r="E23" i="19"/>
  <c r="F23" i="19"/>
  <c r="G23" i="19"/>
  <c r="H23" i="19"/>
  <c r="D24" i="19"/>
  <c r="E24" i="19"/>
  <c r="F24" i="19"/>
  <c r="G24" i="19"/>
  <c r="H24" i="19"/>
  <c r="H5" i="19"/>
  <c r="G5" i="19"/>
  <c r="F5" i="19"/>
  <c r="E5" i="19"/>
  <c r="D5" i="19"/>
  <c r="D6" i="15"/>
  <c r="E6" i="15"/>
  <c r="F6" i="15"/>
  <c r="G6" i="15"/>
  <c r="D7" i="15"/>
  <c r="E7" i="15"/>
  <c r="F7" i="15"/>
  <c r="G7" i="15"/>
  <c r="D8" i="15"/>
  <c r="E8" i="15"/>
  <c r="F8" i="15"/>
  <c r="G8" i="15"/>
  <c r="D9" i="15"/>
  <c r="E9" i="15"/>
  <c r="F9" i="15"/>
  <c r="G9" i="15"/>
  <c r="D10" i="15"/>
  <c r="E10" i="15"/>
  <c r="F10" i="15"/>
  <c r="G10" i="15"/>
  <c r="D11" i="15"/>
  <c r="E11" i="15"/>
  <c r="F11" i="15"/>
  <c r="G11" i="15"/>
  <c r="D12" i="15"/>
  <c r="E12" i="15"/>
  <c r="F12" i="15"/>
  <c r="G12" i="15"/>
  <c r="D13" i="15"/>
  <c r="E13" i="15"/>
  <c r="F13" i="15"/>
  <c r="G13" i="15"/>
  <c r="D14" i="15"/>
  <c r="E14" i="15"/>
  <c r="F14" i="15"/>
  <c r="G14" i="15"/>
  <c r="D15" i="15"/>
  <c r="E15" i="15"/>
  <c r="F15" i="15"/>
  <c r="G15" i="15"/>
  <c r="D16" i="15"/>
  <c r="E16" i="15"/>
  <c r="F16" i="15"/>
  <c r="G16" i="15"/>
  <c r="D17" i="15"/>
  <c r="E17" i="15"/>
  <c r="F17" i="15"/>
  <c r="G17" i="15"/>
  <c r="D18" i="15"/>
  <c r="E18" i="15"/>
  <c r="F18" i="15"/>
  <c r="G18" i="15"/>
  <c r="D19" i="15"/>
  <c r="E19" i="15"/>
  <c r="F19" i="15"/>
  <c r="G19" i="15"/>
  <c r="G5" i="15"/>
  <c r="F5" i="15"/>
  <c r="E5" i="15"/>
  <c r="D5" i="15"/>
  <c r="H19" i="18"/>
  <c r="G19" i="18"/>
  <c r="F19" i="18"/>
  <c r="E19" i="18"/>
  <c r="D19" i="18"/>
  <c r="H18" i="18"/>
  <c r="G18" i="18"/>
  <c r="F18" i="18"/>
  <c r="E18" i="18"/>
  <c r="D18" i="18"/>
  <c r="H17" i="18"/>
  <c r="G17" i="18"/>
  <c r="F17" i="18"/>
  <c r="E17" i="18"/>
  <c r="D17" i="18"/>
  <c r="H16" i="18"/>
  <c r="G16" i="18"/>
  <c r="F16" i="18"/>
  <c r="E16" i="18"/>
  <c r="D16" i="18"/>
  <c r="H15" i="18"/>
  <c r="G15" i="18"/>
  <c r="F15" i="18"/>
  <c r="E15" i="18"/>
  <c r="D15" i="18"/>
  <c r="H14" i="18"/>
  <c r="G14" i="18"/>
  <c r="F14" i="18"/>
  <c r="E14" i="18"/>
  <c r="D14" i="18"/>
  <c r="H13" i="18"/>
  <c r="G13" i="18"/>
  <c r="F13" i="18"/>
  <c r="E13" i="18"/>
  <c r="D13" i="18"/>
  <c r="H12" i="18"/>
  <c r="G12" i="18"/>
  <c r="F12" i="18"/>
  <c r="E12" i="18"/>
  <c r="D12" i="18"/>
  <c r="H11" i="18"/>
  <c r="G11" i="18"/>
  <c r="F11" i="18"/>
  <c r="E11" i="18"/>
  <c r="D11" i="18"/>
  <c r="H10" i="18"/>
  <c r="G10" i="18"/>
  <c r="F10" i="18"/>
  <c r="E10" i="18"/>
  <c r="D10" i="18"/>
  <c r="H9" i="18"/>
  <c r="G9" i="18"/>
  <c r="F9" i="18"/>
  <c r="E9" i="18"/>
  <c r="D9" i="18"/>
  <c r="H8" i="18"/>
  <c r="G8" i="18"/>
  <c r="F8" i="18"/>
  <c r="E8" i="18"/>
  <c r="D8" i="18"/>
  <c r="H7" i="18"/>
  <c r="G7" i="18"/>
  <c r="F7" i="18"/>
  <c r="E7" i="18"/>
  <c r="D7" i="18"/>
  <c r="H6" i="18"/>
  <c r="G6" i="18"/>
  <c r="F6" i="18"/>
  <c r="E6" i="18"/>
  <c r="D6" i="18"/>
  <c r="H5" i="18"/>
  <c r="G5" i="18"/>
  <c r="F5" i="18"/>
  <c r="E5" i="18"/>
  <c r="D5" i="18"/>
  <c r="D6" i="17"/>
  <c r="E6" i="17"/>
  <c r="F6" i="17"/>
  <c r="G6" i="17"/>
  <c r="H6" i="17"/>
  <c r="D7" i="17"/>
  <c r="E7" i="17"/>
  <c r="F7" i="17"/>
  <c r="G7" i="17"/>
  <c r="H7" i="17"/>
  <c r="D8" i="17"/>
  <c r="E8" i="17"/>
  <c r="F8" i="17"/>
  <c r="G8" i="17"/>
  <c r="H8" i="17"/>
  <c r="D9" i="17"/>
  <c r="E9" i="17"/>
  <c r="F9" i="17"/>
  <c r="G9" i="17"/>
  <c r="H9" i="17"/>
  <c r="D10" i="17"/>
  <c r="E10" i="17"/>
  <c r="F10" i="17"/>
  <c r="G10" i="17"/>
  <c r="H10" i="17"/>
  <c r="D11" i="17"/>
  <c r="E11" i="17"/>
  <c r="F11" i="17"/>
  <c r="G11" i="17"/>
  <c r="H11" i="17"/>
  <c r="D12" i="17"/>
  <c r="E12" i="17"/>
  <c r="F12" i="17"/>
  <c r="G12" i="17"/>
  <c r="H12" i="17"/>
  <c r="D13" i="17"/>
  <c r="E13" i="17"/>
  <c r="F13" i="17"/>
  <c r="G13" i="17"/>
  <c r="H13" i="17"/>
  <c r="D14" i="17"/>
  <c r="E14" i="17"/>
  <c r="F14" i="17"/>
  <c r="G14" i="17"/>
  <c r="H14" i="17"/>
  <c r="D15" i="17"/>
  <c r="E15" i="17"/>
  <c r="F15" i="17"/>
  <c r="G15" i="17"/>
  <c r="H15" i="17"/>
  <c r="D16" i="17"/>
  <c r="E16" i="17"/>
  <c r="F16" i="17"/>
  <c r="G16" i="17"/>
  <c r="H16" i="17"/>
  <c r="D17" i="17"/>
  <c r="E17" i="17"/>
  <c r="F17" i="17"/>
  <c r="G17" i="17"/>
  <c r="H17" i="17"/>
  <c r="D18" i="17"/>
  <c r="E18" i="17"/>
  <c r="F18" i="17"/>
  <c r="G18" i="17"/>
  <c r="H18" i="17"/>
  <c r="D19" i="17"/>
  <c r="E19" i="17"/>
  <c r="F19" i="17"/>
  <c r="G19" i="17"/>
  <c r="H19" i="17"/>
  <c r="H5" i="17"/>
  <c r="G5" i="17"/>
  <c r="F5" i="17"/>
  <c r="E5" i="17"/>
  <c r="D5" i="17"/>
  <c r="H19" i="16"/>
  <c r="G19" i="16"/>
  <c r="F19" i="16"/>
  <c r="E19" i="16"/>
  <c r="D19" i="16"/>
  <c r="H18" i="16"/>
  <c r="G18" i="16"/>
  <c r="F18" i="16"/>
  <c r="E18" i="16"/>
  <c r="D18" i="16"/>
  <c r="H17" i="16"/>
  <c r="G17" i="16"/>
  <c r="F17" i="16"/>
  <c r="E17" i="16"/>
  <c r="D17" i="16"/>
  <c r="H16" i="16"/>
  <c r="G16" i="16"/>
  <c r="F16" i="16"/>
  <c r="E16" i="16"/>
  <c r="D16" i="16"/>
  <c r="H15" i="16"/>
  <c r="G15" i="16"/>
  <c r="F15" i="16"/>
  <c r="E15" i="16"/>
  <c r="D15" i="16"/>
  <c r="H14" i="16"/>
  <c r="G14" i="16"/>
  <c r="F14" i="16"/>
  <c r="E14" i="16"/>
  <c r="D14" i="16"/>
  <c r="H13" i="16"/>
  <c r="G13" i="16"/>
  <c r="F13" i="16"/>
  <c r="E13" i="16"/>
  <c r="D13" i="16"/>
  <c r="H12" i="16"/>
  <c r="G12" i="16"/>
  <c r="F12" i="16"/>
  <c r="E12" i="16"/>
  <c r="D12" i="16"/>
  <c r="H11" i="16"/>
  <c r="G11" i="16"/>
  <c r="F11" i="16"/>
  <c r="E11" i="16"/>
  <c r="D11" i="16"/>
  <c r="H10" i="16"/>
  <c r="G10" i="16"/>
  <c r="F10" i="16"/>
  <c r="E10" i="16"/>
  <c r="D10" i="16"/>
  <c r="H9" i="16"/>
  <c r="G9" i="16"/>
  <c r="F9" i="16"/>
  <c r="E9" i="16"/>
  <c r="D9" i="16"/>
  <c r="H8" i="16"/>
  <c r="G8" i="16"/>
  <c r="F8" i="16"/>
  <c r="E8" i="16"/>
  <c r="D8" i="16"/>
  <c r="H7" i="16"/>
  <c r="G7" i="16"/>
  <c r="F7" i="16"/>
  <c r="E7" i="16"/>
  <c r="D7" i="16"/>
  <c r="H6" i="16"/>
  <c r="G6" i="16"/>
  <c r="F6" i="16"/>
  <c r="E6" i="16"/>
  <c r="D6" i="16"/>
  <c r="H5" i="16"/>
  <c r="G5" i="16"/>
  <c r="F5" i="16"/>
  <c r="E5" i="16"/>
  <c r="D5" i="16"/>
  <c r="H12" i="15"/>
  <c r="H13" i="15"/>
  <c r="H14" i="15"/>
  <c r="H15" i="15"/>
  <c r="H16" i="15"/>
  <c r="H17" i="15"/>
  <c r="H18" i="15"/>
  <c r="H19" i="15"/>
  <c r="H11" i="15"/>
  <c r="H10" i="15"/>
  <c r="H9" i="15"/>
  <c r="H8" i="15"/>
  <c r="H7" i="15"/>
  <c r="H6" i="15"/>
  <c r="H5" i="15"/>
  <c r="D8" i="14"/>
  <c r="E8" i="14"/>
  <c r="F8" i="14"/>
  <c r="G8" i="14"/>
  <c r="H8" i="14"/>
  <c r="D10" i="14"/>
  <c r="E10" i="14"/>
  <c r="F10" i="14"/>
  <c r="G10" i="14"/>
  <c r="H10" i="14"/>
  <c r="D6" i="13"/>
  <c r="E6" i="13"/>
  <c r="F6" i="13"/>
  <c r="G6" i="13"/>
  <c r="H6" i="13"/>
  <c r="F5" i="12"/>
  <c r="D6" i="12"/>
  <c r="E6" i="12"/>
  <c r="F6" i="12"/>
  <c r="G6" i="12"/>
  <c r="H6" i="12"/>
  <c r="H16" i="14"/>
  <c r="G16" i="14"/>
  <c r="F16" i="14"/>
  <c r="E16" i="14"/>
  <c r="D16" i="14"/>
  <c r="H15" i="14"/>
  <c r="G15" i="14"/>
  <c r="F15" i="14"/>
  <c r="E15" i="14"/>
  <c r="D15" i="14"/>
  <c r="H14" i="14"/>
  <c r="G14" i="14"/>
  <c r="F14" i="14"/>
  <c r="E14" i="14"/>
  <c r="D14" i="14"/>
  <c r="H13" i="14"/>
  <c r="G13" i="14"/>
  <c r="F13" i="14"/>
  <c r="E13" i="14"/>
  <c r="D13" i="14"/>
  <c r="H12" i="14"/>
  <c r="G12" i="14"/>
  <c r="F12" i="14"/>
  <c r="E12" i="14"/>
  <c r="D12" i="14"/>
  <c r="H11" i="14"/>
  <c r="G11" i="14"/>
  <c r="F11" i="14"/>
  <c r="E11" i="14"/>
  <c r="D11" i="14"/>
  <c r="H9" i="14"/>
  <c r="G9" i="14"/>
  <c r="F9" i="14"/>
  <c r="E9" i="14"/>
  <c r="D9" i="14"/>
  <c r="H7" i="14"/>
  <c r="G7" i="14"/>
  <c r="F7" i="14"/>
  <c r="E7" i="14"/>
  <c r="D7" i="14"/>
  <c r="H6" i="14"/>
  <c r="G6" i="14"/>
  <c r="F6" i="14"/>
  <c r="E6" i="14"/>
  <c r="D6" i="14"/>
  <c r="H5" i="14"/>
  <c r="G5" i="14"/>
  <c r="F5" i="14"/>
  <c r="E5" i="14"/>
  <c r="D5" i="14"/>
  <c r="H14" i="13"/>
  <c r="G14" i="13"/>
  <c r="F14" i="13"/>
  <c r="E14" i="13"/>
  <c r="D14" i="13"/>
  <c r="H13" i="13"/>
  <c r="G13" i="13"/>
  <c r="F13" i="13"/>
  <c r="E13" i="13"/>
  <c r="D13" i="13"/>
  <c r="H12" i="13"/>
  <c r="G12" i="13"/>
  <c r="F12" i="13"/>
  <c r="E12" i="13"/>
  <c r="D12" i="13"/>
  <c r="H11" i="13"/>
  <c r="G11" i="13"/>
  <c r="F11" i="13"/>
  <c r="E11" i="13"/>
  <c r="D11" i="13"/>
  <c r="H10" i="13"/>
  <c r="G10" i="13"/>
  <c r="F10" i="13"/>
  <c r="E10" i="13"/>
  <c r="D10" i="13"/>
  <c r="H9" i="13"/>
  <c r="G9" i="13"/>
  <c r="F9" i="13"/>
  <c r="E9" i="13"/>
  <c r="D9" i="13"/>
  <c r="H8" i="13"/>
  <c r="G8" i="13"/>
  <c r="F8" i="13"/>
  <c r="E8" i="13"/>
  <c r="D8" i="13"/>
  <c r="H7" i="13"/>
  <c r="G7" i="13"/>
  <c r="F7" i="13"/>
  <c r="E7" i="13"/>
  <c r="D7" i="13"/>
  <c r="H5" i="13"/>
  <c r="G5" i="13"/>
  <c r="F5" i="13"/>
  <c r="E5" i="13"/>
  <c r="D5" i="13"/>
  <c r="H15" i="12"/>
  <c r="G15" i="12"/>
  <c r="F15" i="12"/>
  <c r="E15" i="12"/>
  <c r="D15" i="12"/>
  <c r="H14" i="12"/>
  <c r="G14" i="12"/>
  <c r="F14" i="12"/>
  <c r="E14" i="12"/>
  <c r="D14" i="12"/>
  <c r="H13" i="12"/>
  <c r="G13" i="12"/>
  <c r="F13" i="12"/>
  <c r="E13" i="12"/>
  <c r="D13" i="12"/>
  <c r="H12" i="12"/>
  <c r="G12" i="12"/>
  <c r="F12" i="12"/>
  <c r="E12" i="12"/>
  <c r="D12" i="12"/>
  <c r="H11" i="12"/>
  <c r="G11" i="12"/>
  <c r="F11" i="12"/>
  <c r="E11" i="12"/>
  <c r="D11" i="12"/>
  <c r="H10" i="12"/>
  <c r="G10" i="12"/>
  <c r="F10" i="12"/>
  <c r="E10" i="12"/>
  <c r="D10" i="12"/>
  <c r="H9" i="12"/>
  <c r="G9" i="12"/>
  <c r="F9" i="12"/>
  <c r="E9" i="12"/>
  <c r="D9" i="12"/>
  <c r="H8" i="12"/>
  <c r="G8" i="12"/>
  <c r="F8" i="12"/>
  <c r="E8" i="12"/>
  <c r="D8" i="12"/>
  <c r="H7" i="12"/>
  <c r="G7" i="12"/>
  <c r="F7" i="12"/>
  <c r="E7" i="12"/>
  <c r="D7" i="12"/>
  <c r="H5" i="12"/>
  <c r="G5" i="12"/>
  <c r="E5" i="12"/>
  <c r="D5" i="12"/>
  <c r="D6" i="11"/>
  <c r="E6" i="11"/>
  <c r="F6" i="11"/>
  <c r="G6" i="11"/>
  <c r="D7" i="11"/>
  <c r="E7" i="11"/>
  <c r="F7" i="11"/>
  <c r="G7" i="11"/>
  <c r="D8" i="11"/>
  <c r="E8" i="11"/>
  <c r="F8" i="11"/>
  <c r="G8" i="11"/>
  <c r="D9" i="11"/>
  <c r="E9" i="11"/>
  <c r="F9" i="11"/>
  <c r="G9" i="11"/>
  <c r="D10" i="11"/>
  <c r="E10" i="11"/>
  <c r="F10" i="11"/>
  <c r="G10" i="11"/>
  <c r="D11" i="11"/>
  <c r="E11" i="11"/>
  <c r="F11" i="11"/>
  <c r="G11" i="11"/>
  <c r="D12" i="11"/>
  <c r="E12" i="11"/>
  <c r="F12" i="11"/>
  <c r="G12" i="11"/>
  <c r="D13" i="11"/>
  <c r="E13" i="11"/>
  <c r="F13" i="11"/>
  <c r="G13" i="11"/>
  <c r="G5" i="11"/>
  <c r="F5" i="11"/>
  <c r="E5" i="11"/>
  <c r="D5" i="11"/>
  <c r="H10" i="11"/>
  <c r="H11" i="11"/>
  <c r="H12" i="11"/>
  <c r="H13" i="11"/>
  <c r="H9" i="11"/>
  <c r="H8" i="11"/>
  <c r="H7" i="11"/>
  <c r="H6" i="11"/>
  <c r="H5" i="11"/>
  <c r="D6" i="5" l="1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D37" i="5"/>
  <c r="E37" i="5"/>
  <c r="F37" i="5"/>
  <c r="G37" i="5"/>
  <c r="H37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H5" i="5"/>
  <c r="G5" i="5"/>
  <c r="F5" i="5"/>
  <c r="E5" i="5"/>
  <c r="D5" i="5"/>
  <c r="D19" i="10" l="1"/>
  <c r="E19" i="10"/>
  <c r="F19" i="10"/>
  <c r="G19" i="10"/>
  <c r="H19" i="10"/>
  <c r="H20" i="10"/>
  <c r="G20" i="10"/>
  <c r="F20" i="10"/>
  <c r="E20" i="10"/>
  <c r="D20" i="10"/>
  <c r="H18" i="10"/>
  <c r="G18" i="10"/>
  <c r="F18" i="10"/>
  <c r="E18" i="10"/>
  <c r="D18" i="10"/>
  <c r="H17" i="10"/>
  <c r="G17" i="10"/>
  <c r="F17" i="10"/>
  <c r="E17" i="10"/>
  <c r="D17" i="10"/>
  <c r="H16" i="10"/>
  <c r="G16" i="10"/>
  <c r="F16" i="10"/>
  <c r="E16" i="10"/>
  <c r="D16" i="10"/>
  <c r="H15" i="10"/>
  <c r="G15" i="10"/>
  <c r="F15" i="10"/>
  <c r="E15" i="10"/>
  <c r="D15" i="10"/>
  <c r="H14" i="10"/>
  <c r="G14" i="10"/>
  <c r="F14" i="10"/>
  <c r="E14" i="10"/>
  <c r="D14" i="10"/>
  <c r="H13" i="10"/>
  <c r="G13" i="10"/>
  <c r="F13" i="10"/>
  <c r="E13" i="10"/>
  <c r="D13" i="10"/>
  <c r="H12" i="10"/>
  <c r="G12" i="10"/>
  <c r="F12" i="10"/>
  <c r="E12" i="10"/>
  <c r="D12" i="10"/>
  <c r="H11" i="10"/>
  <c r="G11" i="10"/>
  <c r="F11" i="10"/>
  <c r="E11" i="10"/>
  <c r="D11" i="10"/>
  <c r="H10" i="10"/>
  <c r="G10" i="10"/>
  <c r="F10" i="10"/>
  <c r="E10" i="10"/>
  <c r="D10" i="10"/>
  <c r="H9" i="10"/>
  <c r="G9" i="10"/>
  <c r="F9" i="10"/>
  <c r="E9" i="10"/>
  <c r="D9" i="10"/>
  <c r="H8" i="10"/>
  <c r="G8" i="10"/>
  <c r="F8" i="10"/>
  <c r="E8" i="10"/>
  <c r="D8" i="10"/>
  <c r="H7" i="10"/>
  <c r="G7" i="10"/>
  <c r="F7" i="10"/>
  <c r="E7" i="10"/>
  <c r="D7" i="10"/>
  <c r="H6" i="10"/>
  <c r="G6" i="10"/>
  <c r="F6" i="10"/>
  <c r="E6" i="10"/>
  <c r="D6" i="10"/>
  <c r="H5" i="10"/>
  <c r="G5" i="10"/>
  <c r="F5" i="10"/>
  <c r="E5" i="10"/>
  <c r="D5" i="10"/>
  <c r="D10" i="9"/>
  <c r="E10" i="9"/>
  <c r="F10" i="9"/>
  <c r="G10" i="9"/>
  <c r="H10" i="9"/>
  <c r="H20" i="9"/>
  <c r="G20" i="9"/>
  <c r="F20" i="9"/>
  <c r="E20" i="9"/>
  <c r="D20" i="9"/>
  <c r="H19" i="9"/>
  <c r="G19" i="9"/>
  <c r="F19" i="9"/>
  <c r="E19" i="9"/>
  <c r="D19" i="9"/>
  <c r="H18" i="9"/>
  <c r="G18" i="9"/>
  <c r="F18" i="9"/>
  <c r="E18" i="9"/>
  <c r="D18" i="9"/>
  <c r="H17" i="9"/>
  <c r="G17" i="9"/>
  <c r="F17" i="9"/>
  <c r="E17" i="9"/>
  <c r="D17" i="9"/>
  <c r="H16" i="9"/>
  <c r="G16" i="9"/>
  <c r="F16" i="9"/>
  <c r="E16" i="9"/>
  <c r="D16" i="9"/>
  <c r="H15" i="9"/>
  <c r="G15" i="9"/>
  <c r="F15" i="9"/>
  <c r="E15" i="9"/>
  <c r="D15" i="9"/>
  <c r="H14" i="9"/>
  <c r="G14" i="9"/>
  <c r="F14" i="9"/>
  <c r="E14" i="9"/>
  <c r="D14" i="9"/>
  <c r="H13" i="9"/>
  <c r="G13" i="9"/>
  <c r="F13" i="9"/>
  <c r="E13" i="9"/>
  <c r="D13" i="9"/>
  <c r="H12" i="9"/>
  <c r="G12" i="9"/>
  <c r="F12" i="9"/>
  <c r="E12" i="9"/>
  <c r="D12" i="9"/>
  <c r="H11" i="9"/>
  <c r="G11" i="9"/>
  <c r="F11" i="9"/>
  <c r="E11" i="9"/>
  <c r="D11" i="9"/>
  <c r="H9" i="9"/>
  <c r="G9" i="9"/>
  <c r="F9" i="9"/>
  <c r="E9" i="9"/>
  <c r="D9" i="9"/>
  <c r="H8" i="9"/>
  <c r="G8" i="9"/>
  <c r="F8" i="9"/>
  <c r="E8" i="9"/>
  <c r="D8" i="9"/>
  <c r="H7" i="9"/>
  <c r="G7" i="9"/>
  <c r="F7" i="9"/>
  <c r="E7" i="9"/>
  <c r="D7" i="9"/>
  <c r="H6" i="9"/>
  <c r="G6" i="9"/>
  <c r="F6" i="9"/>
  <c r="E6" i="9"/>
  <c r="D6" i="9"/>
  <c r="H5" i="9"/>
  <c r="G5" i="9"/>
  <c r="F5" i="9"/>
  <c r="E5" i="9"/>
  <c r="D5" i="9"/>
  <c r="H19" i="8" l="1"/>
  <c r="G19" i="8"/>
  <c r="F19" i="8"/>
  <c r="E19" i="8"/>
  <c r="D19" i="8"/>
  <c r="H18" i="8"/>
  <c r="G18" i="8"/>
  <c r="F18" i="8"/>
  <c r="E18" i="8"/>
  <c r="D18" i="8"/>
  <c r="H17" i="8"/>
  <c r="G17" i="8"/>
  <c r="F17" i="8"/>
  <c r="E17" i="8"/>
  <c r="D17" i="8"/>
  <c r="H16" i="8"/>
  <c r="G16" i="8"/>
  <c r="F16" i="8"/>
  <c r="E16" i="8"/>
  <c r="D16" i="8"/>
  <c r="H15" i="8"/>
  <c r="G15" i="8"/>
  <c r="F15" i="8"/>
  <c r="E15" i="8"/>
  <c r="D15" i="8"/>
  <c r="H14" i="8"/>
  <c r="G14" i="8"/>
  <c r="F14" i="8"/>
  <c r="E14" i="8"/>
  <c r="D14" i="8"/>
  <c r="H13" i="8"/>
  <c r="G13" i="8"/>
  <c r="F13" i="8"/>
  <c r="E13" i="8"/>
  <c r="D13" i="8"/>
  <c r="H12" i="8"/>
  <c r="G12" i="8"/>
  <c r="F12" i="8"/>
  <c r="E12" i="8"/>
  <c r="D12" i="8"/>
  <c r="H11" i="8"/>
  <c r="G11" i="8"/>
  <c r="F11" i="8"/>
  <c r="E11" i="8"/>
  <c r="D11" i="8"/>
  <c r="H10" i="8"/>
  <c r="G10" i="8"/>
  <c r="F10" i="8"/>
  <c r="E10" i="8"/>
  <c r="D10" i="8"/>
  <c r="H9" i="8"/>
  <c r="G9" i="8"/>
  <c r="F9" i="8"/>
  <c r="E9" i="8"/>
  <c r="D9" i="8"/>
  <c r="H8" i="8"/>
  <c r="G8" i="8"/>
  <c r="F8" i="8"/>
  <c r="E8" i="8"/>
  <c r="D8" i="8"/>
  <c r="H7" i="8"/>
  <c r="G7" i="8"/>
  <c r="F7" i="8"/>
  <c r="E7" i="8"/>
  <c r="D7" i="8"/>
  <c r="H6" i="8"/>
  <c r="G6" i="8"/>
  <c r="F6" i="8"/>
  <c r="E6" i="8"/>
  <c r="D6" i="8"/>
  <c r="H5" i="8"/>
  <c r="G5" i="8"/>
  <c r="F5" i="8"/>
  <c r="E5" i="8"/>
  <c r="D5" i="8"/>
  <c r="D6" i="6"/>
  <c r="E6" i="6"/>
  <c r="F6" i="6"/>
  <c r="G6" i="6"/>
  <c r="H6" i="6"/>
  <c r="D7" i="6"/>
  <c r="E7" i="6"/>
  <c r="F7" i="6"/>
  <c r="G7" i="6"/>
  <c r="H7" i="6"/>
  <c r="D8" i="6"/>
  <c r="E8" i="6"/>
  <c r="F8" i="6"/>
  <c r="G8" i="6"/>
  <c r="H8" i="6"/>
  <c r="D9" i="6"/>
  <c r="E9" i="6"/>
  <c r="F9" i="6"/>
  <c r="G9" i="6"/>
  <c r="H9" i="6"/>
  <c r="D11" i="6"/>
  <c r="E11" i="6"/>
  <c r="F11" i="6"/>
  <c r="G11" i="6"/>
  <c r="H11" i="6"/>
  <c r="D12" i="6"/>
  <c r="E12" i="6"/>
  <c r="F12" i="6"/>
  <c r="G12" i="6"/>
  <c r="H12" i="6"/>
  <c r="D13" i="6"/>
  <c r="E13" i="6"/>
  <c r="F13" i="6"/>
  <c r="G13" i="6"/>
  <c r="H13" i="6"/>
  <c r="D14" i="6"/>
  <c r="E14" i="6"/>
  <c r="F14" i="6"/>
  <c r="G14" i="6"/>
  <c r="H14" i="6"/>
  <c r="H15" i="6"/>
  <c r="H16" i="6"/>
  <c r="D17" i="6"/>
  <c r="E17" i="6"/>
  <c r="F17" i="6"/>
  <c r="G17" i="6"/>
  <c r="H17" i="6"/>
  <c r="D18" i="6"/>
  <c r="E18" i="6"/>
  <c r="F18" i="6"/>
  <c r="G18" i="6"/>
  <c r="H18" i="6"/>
  <c r="D19" i="6"/>
  <c r="E19" i="6"/>
  <c r="F19" i="6"/>
  <c r="G19" i="6"/>
  <c r="H19" i="6"/>
  <c r="D20" i="6"/>
  <c r="E20" i="6"/>
  <c r="F20" i="6"/>
  <c r="G20" i="6"/>
  <c r="H20" i="6"/>
  <c r="H5" i="6" l="1"/>
  <c r="G5" i="6"/>
  <c r="F5" i="6"/>
  <c r="E5" i="6"/>
  <c r="D5" i="6"/>
  <c r="F6" i="3" l="1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H5" i="3"/>
  <c r="G5" i="3"/>
  <c r="F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5" i="3"/>
</calcChain>
</file>

<file path=xl/sharedStrings.xml><?xml version="1.0" encoding="utf-8"?>
<sst xmlns="http://schemas.openxmlformats.org/spreadsheetml/2006/main" count="3865" uniqueCount="409">
  <si>
    <t>DLR</t>
  </si>
  <si>
    <t>European Union</t>
  </si>
  <si>
    <t>WorldBank</t>
  </si>
  <si>
    <t>Aluminium</t>
  </si>
  <si>
    <t>Antimony</t>
  </si>
  <si>
    <t>Baryte</t>
  </si>
  <si>
    <t>Bauxite</t>
  </si>
  <si>
    <t>Beryllium</t>
  </si>
  <si>
    <t>Bismuth</t>
  </si>
  <si>
    <t>Borate</t>
  </si>
  <si>
    <t>Cadmium</t>
  </si>
  <si>
    <t>Cerium</t>
  </si>
  <si>
    <t>Chromium</t>
  </si>
  <si>
    <t>Cobalt</t>
  </si>
  <si>
    <t>Coking coal</t>
  </si>
  <si>
    <t>Copper</t>
  </si>
  <si>
    <t>Dysprosium</t>
  </si>
  <si>
    <t>Fluorspar</t>
  </si>
  <si>
    <t>Gadolinium</t>
  </si>
  <si>
    <t>Galium</t>
  </si>
  <si>
    <t>Gallium</t>
  </si>
  <si>
    <t>Germanium</t>
  </si>
  <si>
    <t>Graphite</t>
  </si>
  <si>
    <t>Hafnium</t>
  </si>
  <si>
    <t>Heavy Rare Earth Elements</t>
  </si>
  <si>
    <t>Indium</t>
  </si>
  <si>
    <t>Iridium</t>
  </si>
  <si>
    <t>Iron</t>
  </si>
  <si>
    <t>Lanthanum</t>
  </si>
  <si>
    <t>Lead</t>
  </si>
  <si>
    <t>Light Rare Earth Elements</t>
  </si>
  <si>
    <t>Lithium</t>
  </si>
  <si>
    <t>Magnesium</t>
  </si>
  <si>
    <t>Manganese</t>
  </si>
  <si>
    <t>Molybdenum</t>
  </si>
  <si>
    <t>Natural Graphite</t>
  </si>
  <si>
    <t>Natural Rubber</t>
  </si>
  <si>
    <t>Neodymium</t>
  </si>
  <si>
    <t>Nickel</t>
  </si>
  <si>
    <t>Niobium</t>
  </si>
  <si>
    <t>Phosphate rock</t>
  </si>
  <si>
    <t>Phosphorus</t>
  </si>
  <si>
    <t>Platinum</t>
  </si>
  <si>
    <t>Platinum Group Metals</t>
  </si>
  <si>
    <t>Potassium</t>
  </si>
  <si>
    <t>Scandium</t>
  </si>
  <si>
    <t>Selenium</t>
  </si>
  <si>
    <t>Silicon metal</t>
  </si>
  <si>
    <t>Silver</t>
  </si>
  <si>
    <t>Strontium</t>
  </si>
  <si>
    <t>Sulfur</t>
  </si>
  <si>
    <t>Tantalum</t>
  </si>
  <si>
    <t>Tellurium</t>
  </si>
  <si>
    <t>Titanium</t>
  </si>
  <si>
    <t>Tungsten</t>
  </si>
  <si>
    <t>Vanadium</t>
  </si>
  <si>
    <t>Yttrium</t>
  </si>
  <si>
    <t>Zinc</t>
  </si>
  <si>
    <t>Zirconium</t>
  </si>
  <si>
    <t>Technologies</t>
  </si>
  <si>
    <t>Subtechnologies</t>
  </si>
  <si>
    <t>Electric vehicles</t>
  </si>
  <si>
    <t>Wind Onshore</t>
  </si>
  <si>
    <t>Asynchronous Generator</t>
  </si>
  <si>
    <t>Synchronous Generator Direct Drive Electrical Excited</t>
  </si>
  <si>
    <t>High Temperature Superconductor Direct Drive</t>
  </si>
  <si>
    <t>Synchronous Generator Direct Drive Permanent Magnet</t>
  </si>
  <si>
    <t>Synchronous Generator Geared Mid-Speed Permanent Magnet</t>
  </si>
  <si>
    <t>Synchronous Generator Geared High-Speed Permanent Magnet</t>
  </si>
  <si>
    <t>Wind Offshore</t>
  </si>
  <si>
    <t>Batteries</t>
  </si>
  <si>
    <t>Lithium-Cobalt-Oxide Battery</t>
  </si>
  <si>
    <t>Lithium-Manganese-Oxide Battery</t>
  </si>
  <si>
    <t xml:space="preserve">Lithium-Nickel-Manganese-Cobalt-Oxide Battery </t>
  </si>
  <si>
    <t>Lithium-Nickel-Cobalt-Aluminium-Oxide Battery</t>
  </si>
  <si>
    <t>Lithium-Iron-Phosphat Battery</t>
  </si>
  <si>
    <t>Lithium-Air Battery</t>
  </si>
  <si>
    <t>Lithium-Sulfur Battery</t>
  </si>
  <si>
    <t>Vanadium Redox-Flow Battery</t>
  </si>
  <si>
    <t>Sodium-Sulfur Battery</t>
  </si>
  <si>
    <t>Lead-Acid Battery</t>
  </si>
  <si>
    <t>Fuel Cells</t>
  </si>
  <si>
    <t>Proton-Exchange-Membrane / Polymer-Electrolyt-Membrane Fuel Cell</t>
  </si>
  <si>
    <t>Solide-Oxide Fuel Cell based on Yttrium</t>
  </si>
  <si>
    <t>Solide-Oxide Fuel Cell based on Scandium</t>
  </si>
  <si>
    <t>Phosphoric-Acid Fuel Cell</t>
  </si>
  <si>
    <t>Alkaline Fuel Cell</t>
  </si>
  <si>
    <t>Direct-Methanol Fuel Cell</t>
  </si>
  <si>
    <t>Molten-Carbonate Fuel Cell</t>
  </si>
  <si>
    <t>Electrolysers</t>
  </si>
  <si>
    <t>Alkaline Electrolysis</t>
  </si>
  <si>
    <t>Proton-Exchange-Membrane / Polymer-Electrolyt-Membrane Electrolysis</t>
  </si>
  <si>
    <t>High-Temperature Electrolysis / Solide-Oxide Electrolysis</t>
  </si>
  <si>
    <t>Photovoltaic</t>
  </si>
  <si>
    <t xml:space="preserve">Crystalline Silicon </t>
  </si>
  <si>
    <t>Amorphous Silicon</t>
  </si>
  <si>
    <t>Copper-Indium-Gallium-Selenide</t>
  </si>
  <si>
    <t>Cadmium-Telluride</t>
  </si>
  <si>
    <t>Perovskite</t>
  </si>
  <si>
    <t>Concentrated Solar Power</t>
  </si>
  <si>
    <t>Solar Trough</t>
  </si>
  <si>
    <t>Solar Tower</t>
  </si>
  <si>
    <t>Fresnel Collector</t>
  </si>
  <si>
    <t>Nuclear</t>
  </si>
  <si>
    <t>PWR</t>
  </si>
  <si>
    <t>BWR</t>
  </si>
  <si>
    <t>SMR</t>
  </si>
  <si>
    <t>EPR</t>
  </si>
  <si>
    <t>Coal</t>
  </si>
  <si>
    <t>Natural gas</t>
  </si>
  <si>
    <t>Biomass</t>
  </si>
  <si>
    <t>Geothermal</t>
  </si>
  <si>
    <t>Hydro</t>
  </si>
  <si>
    <t>Syntethic fuels</t>
  </si>
  <si>
    <t>ICE vehicles</t>
  </si>
  <si>
    <t>Material</t>
  </si>
  <si>
    <t>Unit</t>
  </si>
  <si>
    <t>Year</t>
  </si>
  <si>
    <t>Summary</t>
  </si>
  <si>
    <t>Cullbrand_2011</t>
  </si>
  <si>
    <t xml:space="preserve">Conventional Midsize, Low-Specified </t>
  </si>
  <si>
    <t>Conventional Midsize, High-Specified</t>
  </si>
  <si>
    <t>Conventional Large, Medium-Specified</t>
  </si>
  <si>
    <t>value</t>
  </si>
  <si>
    <t>use</t>
  </si>
  <si>
    <t>year of reference</t>
  </si>
  <si>
    <t>comment</t>
  </si>
  <si>
    <t>kg metal/kg vehicle</t>
  </si>
  <si>
    <t>Erbium</t>
  </si>
  <si>
    <t>Europium</t>
  </si>
  <si>
    <t>Palladium</t>
  </si>
  <si>
    <t>Praseodymium</t>
  </si>
  <si>
    <t>Rhodium</t>
  </si>
  <si>
    <t>Samarium</t>
  </si>
  <si>
    <t>Terbium</t>
  </si>
  <si>
    <t>Ytterbium</t>
  </si>
  <si>
    <t>Alonso_2012</t>
  </si>
  <si>
    <t>High-end car</t>
  </si>
  <si>
    <t>Low-end car</t>
  </si>
  <si>
    <t>Mid-range car</t>
  </si>
  <si>
    <t>Coupe high-end</t>
  </si>
  <si>
    <t>Coupe low-end</t>
  </si>
  <si>
    <t>Gold</t>
  </si>
  <si>
    <t>Rubidium</t>
  </si>
  <si>
    <t>Rhenium</t>
  </si>
  <si>
    <t>Tin</t>
  </si>
  <si>
    <t>Ruthenium</t>
  </si>
  <si>
    <t>Fishman_2018</t>
  </si>
  <si>
    <t>Internal combustion engine + powertrain (Toyota)</t>
  </si>
  <si>
    <t>Sedan</t>
  </si>
  <si>
    <t>Widmett_2015</t>
  </si>
  <si>
    <t>Widmet_2015</t>
  </si>
  <si>
    <t>2003-2008</t>
  </si>
  <si>
    <t>ÖkoInstitut_2011</t>
  </si>
  <si>
    <t>Euro6</t>
  </si>
  <si>
    <t>mean</t>
  </si>
  <si>
    <t>median</t>
  </si>
  <si>
    <t>min</t>
  </si>
  <si>
    <t>max</t>
  </si>
  <si>
    <t>Quantil 1 (25%)</t>
  </si>
  <si>
    <t>Quantil 2 (75%)</t>
  </si>
  <si>
    <t>Ecoinvent</t>
  </si>
  <si>
    <t>passenger car, diesel (GLO)</t>
  </si>
  <si>
    <t>passenger car, petrol/natural gas (GLO)</t>
  </si>
  <si>
    <t>kg metal/kg motor</t>
  </si>
  <si>
    <t>Hybrid Midsize, Medium-Specified</t>
  </si>
  <si>
    <t>Sedan Hybrid with Li battery</t>
  </si>
  <si>
    <t>Manberger_2018</t>
  </si>
  <si>
    <t>Toyota Prius</t>
  </si>
  <si>
    <t>USDOE_2010</t>
  </si>
  <si>
    <t>Elwert_2016</t>
  </si>
  <si>
    <t>Hernandez_2017</t>
  </si>
  <si>
    <t>45kW rare-earth PM synchronous motor</t>
  </si>
  <si>
    <t>Nordelöf_2018</t>
  </si>
  <si>
    <t>Restrepo_2017</t>
  </si>
  <si>
    <t>EV</t>
  </si>
  <si>
    <t>Hybrid</t>
  </si>
  <si>
    <t>HEV</t>
  </si>
  <si>
    <t>Environmental flows - in ground</t>
  </si>
  <si>
    <t>EV (80kW)</t>
  </si>
  <si>
    <t>HEV (20kW)</t>
  </si>
  <si>
    <t>Boron</t>
  </si>
  <si>
    <t>100kW electric motor</t>
  </si>
  <si>
    <t>Count</t>
  </si>
  <si>
    <t>Electric motor + generator</t>
  </si>
  <si>
    <t>E-motor small</t>
  </si>
  <si>
    <t>E-motor big</t>
  </si>
  <si>
    <t>Hoenderdaal_2013</t>
  </si>
  <si>
    <t>HEV and EV</t>
  </si>
  <si>
    <t>Two-wheel electric vehicles</t>
  </si>
  <si>
    <t>Rademaker_2013</t>
  </si>
  <si>
    <t>Grandell_2016</t>
  </si>
  <si>
    <t>EV (&lt;50kW)</t>
  </si>
  <si>
    <t>EV (&gt;50kW)</t>
  </si>
  <si>
    <t>electric motor production, vehicle (electric powertrain) (GLO)</t>
  </si>
  <si>
    <t>Borax</t>
  </si>
  <si>
    <t>Steel</t>
  </si>
  <si>
    <t>kg/MW</t>
  </si>
  <si>
    <t>DD PM</t>
  </si>
  <si>
    <t>Vestas_2017</t>
  </si>
  <si>
    <t>Vestas_2018</t>
  </si>
  <si>
    <t>Viebahn_2015</t>
  </si>
  <si>
    <t>Direct drive</t>
  </si>
  <si>
    <t>Middle Speed</t>
  </si>
  <si>
    <t>High speed</t>
  </si>
  <si>
    <t>High Speed</t>
  </si>
  <si>
    <t>AG</t>
  </si>
  <si>
    <t>Willburn_2011</t>
  </si>
  <si>
    <t>Moss_2011</t>
  </si>
  <si>
    <t>Habib_2014</t>
  </si>
  <si>
    <t>Imholte_2018</t>
  </si>
  <si>
    <t>Dominish_2019</t>
  </si>
  <si>
    <t>PM</t>
  </si>
  <si>
    <t>Nassar_2016</t>
  </si>
  <si>
    <t>Tokimatsu_2018</t>
  </si>
  <si>
    <t>Sander_2017</t>
  </si>
  <si>
    <t>Blagoeva_2016</t>
  </si>
  <si>
    <t>MS/HS PMG</t>
  </si>
  <si>
    <t>Bleicher_2020</t>
  </si>
  <si>
    <t xml:space="preserve">Low-speed </t>
  </si>
  <si>
    <t>WorldBank_2017</t>
  </si>
  <si>
    <t>Elshkaki_2019</t>
  </si>
  <si>
    <t>Carrara_2020</t>
  </si>
  <si>
    <t>DD EESG</t>
  </si>
  <si>
    <t>DD PMSG</t>
  </si>
  <si>
    <t>Double-Fed Induction Generator DFIG</t>
  </si>
  <si>
    <t>Gearbox PMSG</t>
  </si>
  <si>
    <t>50MW power plant AG</t>
  </si>
  <si>
    <t>100MW power plant AG</t>
  </si>
  <si>
    <t>Fizaine_2015</t>
  </si>
  <si>
    <t xml:space="preserve"> </t>
  </si>
  <si>
    <t>HS/MS</t>
  </si>
  <si>
    <t>Leader_2019</t>
  </si>
  <si>
    <t>Viehban_2015</t>
  </si>
  <si>
    <t>HTS</t>
  </si>
  <si>
    <t>WuppertallInstitut</t>
  </si>
  <si>
    <t>Pavel_2017</t>
  </si>
  <si>
    <t>Shammugam_2019</t>
  </si>
  <si>
    <t>Sekine_2017</t>
  </si>
  <si>
    <t>deKoning_2018</t>
  </si>
  <si>
    <t>ICE</t>
  </si>
  <si>
    <t>PHEV</t>
  </si>
  <si>
    <t>c-Si</t>
  </si>
  <si>
    <t>Li_2018</t>
  </si>
  <si>
    <t>Watari_2018</t>
  </si>
  <si>
    <t>Ohrlund_2012</t>
  </si>
  <si>
    <t>Silicon</t>
  </si>
  <si>
    <t>Average of single and multi Si</t>
  </si>
  <si>
    <t>Si</t>
  </si>
  <si>
    <t>Giurco_2019</t>
  </si>
  <si>
    <t>Kavlak_2015</t>
  </si>
  <si>
    <t>CdTe</t>
  </si>
  <si>
    <t>Fthenakis_2012</t>
  </si>
  <si>
    <t>CIGS</t>
  </si>
  <si>
    <t>a-Si</t>
  </si>
  <si>
    <t>SiGe</t>
  </si>
  <si>
    <t>a-SiGe</t>
  </si>
  <si>
    <t>Silicon sand</t>
  </si>
  <si>
    <t>Pihl_2012</t>
  </si>
  <si>
    <t>Tower</t>
  </si>
  <si>
    <t>Angerer_2009</t>
  </si>
  <si>
    <t>Teske_2016</t>
  </si>
  <si>
    <t>PT</t>
  </si>
  <si>
    <t>Moss_et_al_2011_EuroThrough_ET_150</t>
  </si>
  <si>
    <t>Moss_et_al_2011_Solnova_1</t>
  </si>
  <si>
    <t>World_Bank_Group_2017</t>
  </si>
  <si>
    <t>Teske_et_al_2016</t>
  </si>
  <si>
    <t>NREL_2020_Aalborg_CSP</t>
  </si>
  <si>
    <t>NREL_2020_Agua_Prieta_2</t>
  </si>
  <si>
    <t>NREL_2020_Andasol_1</t>
  </si>
  <si>
    <t>NREL_2020_Archimede</t>
  </si>
  <si>
    <t>NREL_2020_Borges_Termosolar</t>
  </si>
  <si>
    <t>NREL_2020_City_of_Medicine</t>
  </si>
  <si>
    <t>NREL_2020_Colorado_ISP</t>
  </si>
  <si>
    <t>NREL_2020_Enerstar</t>
  </si>
  <si>
    <t>NREL_2020_Godawari</t>
  </si>
  <si>
    <t>NREL_2020_Guzmán</t>
  </si>
  <si>
    <t>NREL_2020_Helioenergy</t>
  </si>
  <si>
    <t>NREL_2020_Ibersol</t>
  </si>
  <si>
    <t>NREL_2020_ISCC_Ain_Beni</t>
  </si>
  <si>
    <t>NREL_2020_ISCC_Kuraymat</t>
  </si>
  <si>
    <t>NREL_2020_La_Risca</t>
  </si>
  <si>
    <t>NREL_2020_Lebrija_1</t>
  </si>
  <si>
    <t>NREL_2020_Majadas_1</t>
  </si>
  <si>
    <t>NREL_2020_MNGSEC</t>
  </si>
  <si>
    <t>NREL_2020_Megha</t>
  </si>
  <si>
    <t>NREL_2020_Morón</t>
  </si>
  <si>
    <t>NREL_2020_National_Solar_Thermal</t>
  </si>
  <si>
    <t>NREL_2020_Olivenza_1</t>
  </si>
  <si>
    <t>NREL_2020_Orellana</t>
  </si>
  <si>
    <t>NREL_2020_Palma_del_Río_1</t>
  </si>
  <si>
    <t>NREL_2020_Saguaro</t>
  </si>
  <si>
    <t>NREL_2020_Shams_1</t>
  </si>
  <si>
    <t>NREL_2020_Solaben_1</t>
  </si>
  <si>
    <t>NREL_2020_SEGS_2</t>
  </si>
  <si>
    <t>NREL_2020_SEGS_3</t>
  </si>
  <si>
    <t>NREL_2020_SEGS_5</t>
  </si>
  <si>
    <t>NREL_2020_SEGS_6</t>
  </si>
  <si>
    <t>NREL_2020_SEGS_7</t>
  </si>
  <si>
    <t>NREL_2020_SGES_8</t>
  </si>
  <si>
    <t>NREL_2020_SEGS_9</t>
  </si>
  <si>
    <t>NREL_2020_Thai_SE_1</t>
  </si>
  <si>
    <t>yes</t>
  </si>
  <si>
    <t>within bandwith of 2015, therefore moved for more datapoints</t>
  </si>
  <si>
    <t>Angerer_et_al_2009</t>
  </si>
  <si>
    <t>NREL_2020_ACME</t>
  </si>
  <si>
    <t>NREL_2020_Ashalim_Plot_B</t>
  </si>
  <si>
    <t>NREL_2020_ISEGS</t>
  </si>
  <si>
    <t>NREL_2020_Jemalong</t>
  </si>
  <si>
    <t>NREL_2020_Sierra_SunTower</t>
  </si>
  <si>
    <t>NREL_2020_Sundrop</t>
  </si>
  <si>
    <t>AP1000/Trojan</t>
  </si>
  <si>
    <t>Uranium</t>
  </si>
  <si>
    <t>Valero_2018b</t>
  </si>
  <si>
    <t>Ashby_2013</t>
  </si>
  <si>
    <t>Brass</t>
  </si>
  <si>
    <t>Heat pumps</t>
  </si>
  <si>
    <t>kg/kWh</t>
  </si>
  <si>
    <t>Andersson_2001</t>
  </si>
  <si>
    <t>Li-ion(Co)</t>
  </si>
  <si>
    <t>Li-ion(Mn)</t>
  </si>
  <si>
    <t>NiMH(AB2)</t>
  </si>
  <si>
    <t>NiMH(AB5)</t>
  </si>
  <si>
    <t>REE</t>
  </si>
  <si>
    <t>Azevedo_2018</t>
  </si>
  <si>
    <t>LCO</t>
  </si>
  <si>
    <t>NMC1</t>
  </si>
  <si>
    <t>LMO</t>
  </si>
  <si>
    <t>LFP</t>
  </si>
  <si>
    <t>NCA</t>
  </si>
  <si>
    <t>Dai_2019</t>
  </si>
  <si>
    <t>Li-ion</t>
  </si>
  <si>
    <t>PbA</t>
  </si>
  <si>
    <t>Pb</t>
  </si>
  <si>
    <t>Harvey_2018</t>
  </si>
  <si>
    <t>NCA-G (LiNiCoAl)</t>
  </si>
  <si>
    <t>LFP-G (LiFePO4)</t>
  </si>
  <si>
    <t>LFP-LTO</t>
  </si>
  <si>
    <t>NMC111</t>
  </si>
  <si>
    <t>NCM622</t>
  </si>
  <si>
    <t>IEA_2018</t>
  </si>
  <si>
    <t>NMC622</t>
  </si>
  <si>
    <t>NMC811</t>
  </si>
  <si>
    <t>Jones_2020</t>
  </si>
  <si>
    <t>NiMH(Average of AB2 and AB5)</t>
  </si>
  <si>
    <t>Kushnir_2012</t>
  </si>
  <si>
    <t>LiNiCo</t>
  </si>
  <si>
    <t>FePO4</t>
  </si>
  <si>
    <t>Marscheider-Weidemann_2016</t>
  </si>
  <si>
    <t>NMC - Li(Ni0.33Mn0.33Co0.33)O2</t>
  </si>
  <si>
    <t>NCA - Li(Ni0.8Co0.15Al0.05)O2</t>
  </si>
  <si>
    <t>LMO - LiMn2O4</t>
  </si>
  <si>
    <t>McManus_2012</t>
  </si>
  <si>
    <t>Moss_2013</t>
  </si>
  <si>
    <t>NMC</t>
  </si>
  <si>
    <t>Olivetti_2017</t>
  </si>
  <si>
    <t>Reuter_2014</t>
  </si>
  <si>
    <t>Simon_2014</t>
  </si>
  <si>
    <t>Stahl_2016</t>
  </si>
  <si>
    <t>LTO</t>
  </si>
  <si>
    <t>Sun_2018</t>
  </si>
  <si>
    <t>Tsiropoulos_2018</t>
  </si>
  <si>
    <t>Weil_2018</t>
  </si>
  <si>
    <t>Xu_2020</t>
  </si>
  <si>
    <t>Ziemann_2018</t>
  </si>
  <si>
    <t>Ahluwalia_2011</t>
  </si>
  <si>
    <t>PEMFC</t>
  </si>
  <si>
    <t>James_2018</t>
  </si>
  <si>
    <t>USDOE_2011</t>
  </si>
  <si>
    <t>Sinha_2018</t>
  </si>
  <si>
    <t>SOFC</t>
  </si>
  <si>
    <t>PAFC</t>
  </si>
  <si>
    <t>Batelle_2013</t>
  </si>
  <si>
    <t>HyTechCycling_2018</t>
  </si>
  <si>
    <t>Kleijn_2010</t>
  </si>
  <si>
    <t>Kongkanand_2016</t>
  </si>
  <si>
    <t>Kurzweil_2013</t>
  </si>
  <si>
    <t>McLellan_2016</t>
  </si>
  <si>
    <t>SOFC Yttrium</t>
  </si>
  <si>
    <t>Rooijen_2006</t>
  </si>
  <si>
    <t>Saurat_2009</t>
  </si>
  <si>
    <t>Stropnik_2019</t>
  </si>
  <si>
    <t>Wittstock_2018</t>
  </si>
  <si>
    <t>Bareiß_2019</t>
  </si>
  <si>
    <t>PEMEL</t>
  </si>
  <si>
    <t>Bertuccioli_2014</t>
  </si>
  <si>
    <t>AEL</t>
  </si>
  <si>
    <t>Grigoriev_2010</t>
  </si>
  <si>
    <t>Chromium steel</t>
  </si>
  <si>
    <t>Praseodimium</t>
  </si>
  <si>
    <t>Häfele_2016</t>
  </si>
  <si>
    <t>HTEL Yttrium</t>
  </si>
  <si>
    <t>Millet_2010</t>
  </si>
  <si>
    <t>Siracusano_2011</t>
  </si>
  <si>
    <t>Smolinka_2018</t>
  </si>
  <si>
    <t>HTEL Sc</t>
  </si>
  <si>
    <t>Smolinka_2016</t>
  </si>
  <si>
    <t>Staffel_2010</t>
  </si>
  <si>
    <t>Wulf_2018</t>
  </si>
  <si>
    <t>Wuppertal_2014</t>
  </si>
  <si>
    <t>Xu_2011</t>
  </si>
  <si>
    <t>Xu_2010</t>
  </si>
  <si>
    <t>Koj_2017</t>
  </si>
  <si>
    <t>Giraldi_2015</t>
  </si>
  <si>
    <t>HTEL</t>
  </si>
  <si>
    <t>LiS</t>
  </si>
  <si>
    <t>Li-S</t>
  </si>
  <si>
    <t>Li Air</t>
  </si>
  <si>
    <t>LiAir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</si>
</sst>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0" borderId="2" xfId="1" applyFont="1" applyBorder="1" applyAlignment="1">
      <alignment horizontal="left" vertical="center"/>
    </xf>
    <xf numFmtId="0" fontId="3" fillId="0" borderId="0" xfId="1" applyFont="1" applyBorder="1" applyAlignment="1">
      <alignment horizontal="left" vertical="center"/>
    </xf>
    <xf numFmtId="0" fontId="3" fillId="0" borderId="0" xfId="1" quotePrefix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1" fillId="10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1" fillId="12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0" fontId="1" fillId="13" borderId="1" xfId="0" applyFont="1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1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14" borderId="4" xfId="0" applyFont="1" applyFill="1" applyBorder="1" applyAlignment="1">
      <alignment horizontal="center"/>
    </xf>
    <xf numFmtId="0" fontId="4" fillId="14" borderId="4" xfId="0" applyFont="1" applyFill="1" applyBorder="1" applyAlignment="1">
      <alignment horizontal="center"/>
    </xf>
    <xf numFmtId="0" fontId="5" fillId="14" borderId="4" xfId="0" applyFont="1" applyFill="1" applyBorder="1" applyAlignment="1">
      <alignment horizontal="center" textRotation="90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Border="1"/>
    <xf numFmtId="2" fontId="0" fillId="0" borderId="3" xfId="0" applyNumberFormat="1" applyBorder="1"/>
    <xf numFmtId="0" fontId="1" fillId="14" borderId="5" xfId="0" applyFont="1" applyFill="1" applyBorder="1" applyAlignment="1">
      <alignment horizontal="center"/>
    </xf>
    <xf numFmtId="0" fontId="4" fillId="14" borderId="5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 textRotation="90"/>
    </xf>
    <xf numFmtId="0" fontId="5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6" xfId="0" applyFill="1" applyBorder="1"/>
    <xf numFmtId="0" fontId="0" fillId="0" borderId="5" xfId="0" applyFill="1" applyBorder="1"/>
    <xf numFmtId="0" fontId="4" fillId="14" borderId="3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 textRotation="90"/>
    </xf>
    <xf numFmtId="0" fontId="1" fillId="14" borderId="1" xfId="0" applyFont="1" applyFill="1" applyBorder="1" applyAlignment="1">
      <alignment horizontal="center" textRotation="90"/>
    </xf>
    <xf numFmtId="1" fontId="0" fillId="0" borderId="3" xfId="0" applyNumberFormat="1" applyBorder="1"/>
    <xf numFmtId="0" fontId="1" fillId="14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 textRotation="90"/>
    </xf>
    <xf numFmtId="0" fontId="1" fillId="0" borderId="8" xfId="0" applyFont="1" applyFill="1" applyBorder="1" applyAlignment="1">
      <alignment horizontal="center"/>
    </xf>
    <xf numFmtId="2" fontId="0" fillId="0" borderId="9" xfId="0" applyNumberFormat="1" applyBorder="1"/>
    <xf numFmtId="2" fontId="0" fillId="0" borderId="4" xfId="0" applyNumberFormat="1" applyBorder="1"/>
    <xf numFmtId="0" fontId="1" fillId="4" borderId="3" xfId="0" applyFont="1" applyFill="1" applyBorder="1" applyAlignment="1">
      <alignment horizontal="center" textRotation="90"/>
    </xf>
    <xf numFmtId="11" fontId="0" fillId="0" borderId="0" xfId="0" applyNumberFormat="1"/>
    <xf numFmtId="2" fontId="0" fillId="0" borderId="0" xfId="0" applyNumberFormat="1" applyFill="1" applyBorder="1"/>
    <xf numFmtId="1" fontId="0" fillId="15" borderId="0" xfId="0" applyNumberFormat="1" applyFill="1"/>
    <xf numFmtId="0" fontId="1" fillId="4" borderId="4" xfId="0" applyFont="1" applyFill="1" applyBorder="1" applyAlignment="1">
      <alignment horizontal="center" textRotation="90"/>
    </xf>
    <xf numFmtId="0" fontId="1" fillId="0" borderId="9" xfId="0" applyFont="1" applyFill="1" applyBorder="1" applyAlignment="1">
      <alignment horizontal="center"/>
    </xf>
    <xf numFmtId="2" fontId="0" fillId="15" borderId="9" xfId="0" applyNumberFormat="1" applyFill="1" applyBorder="1"/>
    <xf numFmtId="0" fontId="1" fillId="5" borderId="3" xfId="0" applyFont="1" applyFill="1" applyBorder="1" applyAlignment="1">
      <alignment horizontal="center" textRotation="90"/>
    </xf>
    <xf numFmtId="0" fontId="1" fillId="5" borderId="4" xfId="0" applyFont="1" applyFill="1" applyBorder="1" applyAlignment="1">
      <alignment horizontal="center" textRotation="90"/>
    </xf>
    <xf numFmtId="49" fontId="1" fillId="4" borderId="7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11" fontId="0" fillId="0" borderId="0" xfId="0" applyNumberFormat="1" applyFill="1"/>
    <xf numFmtId="0" fontId="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1" fillId="0" borderId="0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textRotation="90"/>
    </xf>
    <xf numFmtId="0" fontId="6" fillId="2" borderId="4" xfId="0" applyFont="1" applyFill="1" applyBorder="1" applyAlignment="1">
      <alignment horizontal="center" textRotation="90"/>
    </xf>
    <xf numFmtId="0" fontId="1" fillId="14" borderId="4" xfId="0" applyFont="1" applyFill="1" applyBorder="1" applyAlignment="1">
      <alignment horizontal="center"/>
    </xf>
    <xf numFmtId="0" fontId="1" fillId="0" borderId="0" xfId="0" applyFont="1"/>
    <xf numFmtId="11" fontId="1" fillId="0" borderId="0" xfId="0" applyNumberFormat="1" applyFont="1"/>
    <xf numFmtId="11" fontId="1" fillId="0" borderId="0" xfId="0" applyNumberFormat="1" applyFont="1" applyFill="1"/>
    <xf numFmtId="11" fontId="0" fillId="0" borderId="0" xfId="0" applyNumberFormat="1" applyFont="1" applyFill="1" applyBorder="1" applyAlignment="1">
      <alignment horizontal="center"/>
    </xf>
    <xf numFmtId="11" fontId="0" fillId="15" borderId="0" xfId="0" applyNumberFormat="1" applyFill="1"/>
    <xf numFmtId="11" fontId="0" fillId="15" borderId="9" xfId="0" applyNumberFormat="1" applyFill="1" applyBorder="1"/>
    <xf numFmtId="11" fontId="0" fillId="0" borderId="0" xfId="0" applyNumberFormat="1" applyFill="1" applyBorder="1"/>
    <xf numFmtId="11" fontId="0" fillId="0" borderId="3" xfId="0" applyNumberFormat="1" applyBorder="1"/>
    <xf numFmtId="11" fontId="0" fillId="0" borderId="4" xfId="0" applyNumberFormat="1" applyBorder="1"/>
    <xf numFmtId="0" fontId="1" fillId="14" borderId="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1" fillId="14" borderId="4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/>
    <xf numFmtId="2" fontId="0" fillId="0" borderId="0" xfId="0" applyNumberFormat="1"/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17" fontId="4" fillId="5" borderId="3" xfId="0" applyNumberFormat="1" applyFont="1" applyFill="1" applyBorder="1" applyAlignment="1">
      <alignment horizontal="center"/>
    </xf>
    <xf numFmtId="17" fontId="4" fillId="5" borderId="4" xfId="0" applyNumberFormat="1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6" borderId="0" xfId="0" applyFont="1" applyFill="1" applyBorder="1" applyAlignment="1">
      <alignment horizontal="left" vertical="center"/>
    </xf>
    <xf numFmtId="0" fontId="0" fillId="16" borderId="0" xfId="0" applyFill="1"/>
    <xf numFmtId="0" fontId="1" fillId="14" borderId="4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 applyAlignment="1"/>
    <xf numFmtId="17" fontId="3" fillId="4" borderId="10" xfId="0" applyNumberFormat="1" applyFont="1" applyFill="1" applyBorder="1" applyAlignment="1">
      <alignment horizontal="center"/>
    </xf>
    <xf numFmtId="17" fontId="3" fillId="4" borderId="1" xfId="0" applyNumberFormat="1" applyFont="1" applyFill="1" applyBorder="1" applyAlignment="1">
      <alignment horizontal="center"/>
    </xf>
    <xf numFmtId="17" fontId="3" fillId="4" borderId="11" xfId="0" applyNumberFormat="1" applyFont="1" applyFill="1" applyBorder="1" applyAlignment="1">
      <alignment horizontal="center"/>
    </xf>
    <xf numFmtId="49" fontId="6" fillId="2" borderId="7" xfId="0" applyNumberFormat="1" applyFont="1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/>
    </xf>
    <xf numFmtId="49" fontId="6" fillId="2" borderId="4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center"/>
    </xf>
    <xf numFmtId="49" fontId="1" fillId="5" borderId="3" xfId="0" applyNumberFormat="1" applyFont="1" applyFill="1" applyBorder="1" applyAlignment="1">
      <alignment horizontal="center"/>
    </xf>
    <xf numFmtId="49" fontId="1" fillId="5" borderId="4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49" fontId="1" fillId="4" borderId="7" xfId="0" applyNumberFormat="1" applyFont="1" applyFill="1" applyBorder="1" applyAlignment="1">
      <alignment horizontal="center"/>
    </xf>
    <xf numFmtId="49" fontId="1" fillId="4" borderId="3" xfId="0" applyNumberFormat="1" applyFont="1" applyFill="1" applyBorder="1" applyAlignment="1">
      <alignment horizontal="center"/>
    </xf>
    <xf numFmtId="49" fontId="1" fillId="4" borderId="4" xfId="0" applyNumberFormat="1" applyFont="1" applyFill="1" applyBorder="1" applyAlignment="1">
      <alignment horizontal="center"/>
    </xf>
    <xf numFmtId="17" fontId="3" fillId="5" borderId="10" xfId="0" applyNumberFormat="1" applyFont="1" applyFill="1" applyBorder="1" applyAlignment="1">
      <alignment horizontal="center"/>
    </xf>
    <xf numFmtId="17" fontId="3" fillId="5" borderId="1" xfId="0" applyNumberFormat="1" applyFont="1" applyFill="1" applyBorder="1" applyAlignment="1">
      <alignment horizontal="center"/>
    </xf>
    <xf numFmtId="17" fontId="3" fillId="5" borderId="11" xfId="0" applyNumberFormat="1" applyFont="1" applyFill="1" applyBorder="1" applyAlignment="1">
      <alignment horizontal="center"/>
    </xf>
    <xf numFmtId="0" fontId="1" fillId="14" borderId="7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le2" displayName="Table2" ref="A1:C56" totalsRowShown="0">
  <autoFilter ref="A1:C56"/>
  <tableColumns count="3">
    <tableColumn id="1" name="DLR"/>
    <tableColumn id="2" name="European Union"/>
    <tableColumn id="3" name="WorldBan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workbookViewId="0">
      <selection activeCell="G31" sqref="G31"/>
    </sheetView>
  </sheetViews>
  <sheetFormatPr defaultRowHeight="15" x14ac:dyDescent="0.25"/>
  <cols>
    <col min="1" max="1" width="12" bestFit="1" customWidth="1"/>
    <col min="2" max="2" width="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C2" t="s">
        <v>3</v>
      </c>
    </row>
    <row r="3" spans="1:3" x14ac:dyDescent="0.25">
      <c r="B3" t="s">
        <v>4</v>
      </c>
    </row>
    <row r="4" spans="1:3" x14ac:dyDescent="0.25">
      <c r="B4" t="s">
        <v>5</v>
      </c>
    </row>
    <row r="5" spans="1:3" x14ac:dyDescent="0.25">
      <c r="B5" t="s">
        <v>6</v>
      </c>
    </row>
    <row r="6" spans="1:3" x14ac:dyDescent="0.25">
      <c r="B6" t="s">
        <v>7</v>
      </c>
    </row>
    <row r="7" spans="1:3" x14ac:dyDescent="0.25">
      <c r="B7" t="s">
        <v>8</v>
      </c>
    </row>
    <row r="8" spans="1:3" x14ac:dyDescent="0.25">
      <c r="B8" t="s">
        <v>9</v>
      </c>
    </row>
    <row r="9" spans="1:3" x14ac:dyDescent="0.25">
      <c r="A9" t="s">
        <v>10</v>
      </c>
    </row>
    <row r="10" spans="1:3" x14ac:dyDescent="0.25">
      <c r="A10" t="s">
        <v>11</v>
      </c>
    </row>
    <row r="11" spans="1:3" x14ac:dyDescent="0.25">
      <c r="C11" t="s">
        <v>12</v>
      </c>
    </row>
    <row r="12" spans="1:3" x14ac:dyDescent="0.25">
      <c r="A12" t="s">
        <v>13</v>
      </c>
      <c r="B12" t="s">
        <v>13</v>
      </c>
      <c r="C12" t="s">
        <v>13</v>
      </c>
    </row>
    <row r="13" spans="1:3" x14ac:dyDescent="0.25">
      <c r="B13" t="s">
        <v>14</v>
      </c>
    </row>
    <row r="14" spans="1:3" x14ac:dyDescent="0.25">
      <c r="C14" t="s">
        <v>15</v>
      </c>
    </row>
    <row r="15" spans="1:3" x14ac:dyDescent="0.25">
      <c r="A15" t="s">
        <v>16</v>
      </c>
    </row>
    <row r="16" spans="1:3" x14ac:dyDescent="0.25">
      <c r="B16" t="s">
        <v>17</v>
      </c>
    </row>
    <row r="17" spans="1:3" x14ac:dyDescent="0.25">
      <c r="A17" t="s">
        <v>18</v>
      </c>
    </row>
    <row r="18" spans="1:3" x14ac:dyDescent="0.25">
      <c r="A18" t="s">
        <v>19</v>
      </c>
      <c r="B18" t="s">
        <v>20</v>
      </c>
    </row>
    <row r="19" spans="1:3" x14ac:dyDescent="0.25">
      <c r="A19" t="s">
        <v>21</v>
      </c>
      <c r="B19" t="s">
        <v>21</v>
      </c>
    </row>
    <row r="20" spans="1:3" x14ac:dyDescent="0.25">
      <c r="C20" t="s">
        <v>22</v>
      </c>
    </row>
    <row r="21" spans="1:3" x14ac:dyDescent="0.25">
      <c r="B21" t="s">
        <v>23</v>
      </c>
    </row>
    <row r="22" spans="1:3" x14ac:dyDescent="0.25">
      <c r="B22" t="s">
        <v>24</v>
      </c>
    </row>
    <row r="23" spans="1:3" x14ac:dyDescent="0.25">
      <c r="A23" t="s">
        <v>25</v>
      </c>
      <c r="B23" t="s">
        <v>25</v>
      </c>
      <c r="C23" t="s">
        <v>25</v>
      </c>
    </row>
    <row r="24" spans="1:3" x14ac:dyDescent="0.25">
      <c r="A24" t="s">
        <v>26</v>
      </c>
    </row>
    <row r="25" spans="1:3" x14ac:dyDescent="0.25">
      <c r="C25" t="s">
        <v>27</v>
      </c>
    </row>
    <row r="26" spans="1:3" x14ac:dyDescent="0.25">
      <c r="A26" t="s">
        <v>28</v>
      </c>
    </row>
    <row r="27" spans="1:3" x14ac:dyDescent="0.25">
      <c r="C27" t="s">
        <v>29</v>
      </c>
    </row>
    <row r="28" spans="1:3" x14ac:dyDescent="0.25">
      <c r="B28" t="s">
        <v>30</v>
      </c>
    </row>
    <row r="29" spans="1:3" x14ac:dyDescent="0.25">
      <c r="A29" t="s">
        <v>31</v>
      </c>
      <c r="B29" t="s">
        <v>31</v>
      </c>
      <c r="C29" t="s">
        <v>31</v>
      </c>
    </row>
    <row r="30" spans="1:3" x14ac:dyDescent="0.25">
      <c r="B30" t="s">
        <v>32</v>
      </c>
    </row>
    <row r="31" spans="1:3" x14ac:dyDescent="0.25">
      <c r="A31" t="s">
        <v>33</v>
      </c>
      <c r="C31" t="s">
        <v>33</v>
      </c>
    </row>
    <row r="32" spans="1:3" x14ac:dyDescent="0.25">
      <c r="C32" t="s">
        <v>34</v>
      </c>
    </row>
    <row r="33" spans="1:3" x14ac:dyDescent="0.25">
      <c r="B33" t="s">
        <v>35</v>
      </c>
    </row>
    <row r="34" spans="1:3" x14ac:dyDescent="0.25">
      <c r="B34" t="s">
        <v>36</v>
      </c>
    </row>
    <row r="35" spans="1:3" x14ac:dyDescent="0.25">
      <c r="A35" t="s">
        <v>37</v>
      </c>
      <c r="C35" t="s">
        <v>37</v>
      </c>
    </row>
    <row r="36" spans="1:3" x14ac:dyDescent="0.25">
      <c r="A36" t="s">
        <v>38</v>
      </c>
      <c r="C36" t="s">
        <v>38</v>
      </c>
    </row>
    <row r="37" spans="1:3" x14ac:dyDescent="0.25">
      <c r="B37" t="s">
        <v>39</v>
      </c>
    </row>
    <row r="38" spans="1:3" x14ac:dyDescent="0.25">
      <c r="B38" t="s">
        <v>40</v>
      </c>
    </row>
    <row r="39" spans="1:3" x14ac:dyDescent="0.25">
      <c r="B39" t="s">
        <v>41</v>
      </c>
    </row>
    <row r="40" spans="1:3" x14ac:dyDescent="0.25">
      <c r="A40" t="s">
        <v>42</v>
      </c>
    </row>
    <row r="41" spans="1:3" x14ac:dyDescent="0.25">
      <c r="B41" t="s">
        <v>43</v>
      </c>
    </row>
    <row r="42" spans="1:3" x14ac:dyDescent="0.25">
      <c r="A42" t="s">
        <v>44</v>
      </c>
    </row>
    <row r="43" spans="1:3" x14ac:dyDescent="0.25">
      <c r="A43" t="s">
        <v>45</v>
      </c>
      <c r="B43" t="s">
        <v>45</v>
      </c>
    </row>
    <row r="44" spans="1:3" x14ac:dyDescent="0.25">
      <c r="A44" t="s">
        <v>46</v>
      </c>
    </row>
    <row r="45" spans="1:3" x14ac:dyDescent="0.25">
      <c r="B45" t="s">
        <v>47</v>
      </c>
    </row>
    <row r="46" spans="1:3" x14ac:dyDescent="0.25">
      <c r="A46" t="s">
        <v>48</v>
      </c>
      <c r="C46" t="s">
        <v>48</v>
      </c>
    </row>
    <row r="47" spans="1:3" x14ac:dyDescent="0.25">
      <c r="A47" t="s">
        <v>49</v>
      </c>
      <c r="B47" t="s">
        <v>49</v>
      </c>
    </row>
    <row r="48" spans="1:3" x14ac:dyDescent="0.25">
      <c r="A48" t="s">
        <v>50</v>
      </c>
    </row>
    <row r="49" spans="1:3" x14ac:dyDescent="0.25">
      <c r="B49" t="s">
        <v>51</v>
      </c>
    </row>
    <row r="50" spans="1:3" x14ac:dyDescent="0.25">
      <c r="A50" t="s">
        <v>52</v>
      </c>
    </row>
    <row r="51" spans="1:3" x14ac:dyDescent="0.25">
      <c r="B51" t="s">
        <v>53</v>
      </c>
      <c r="C51" t="s">
        <v>53</v>
      </c>
    </row>
    <row r="52" spans="1:3" x14ac:dyDescent="0.25">
      <c r="B52" t="s">
        <v>54</v>
      </c>
    </row>
    <row r="53" spans="1:3" x14ac:dyDescent="0.25">
      <c r="A53" t="s">
        <v>55</v>
      </c>
      <c r="B53" t="s">
        <v>55</v>
      </c>
      <c r="C53" t="s">
        <v>55</v>
      </c>
    </row>
    <row r="54" spans="1:3" x14ac:dyDescent="0.25">
      <c r="A54" t="s">
        <v>56</v>
      </c>
    </row>
    <row r="55" spans="1:3" x14ac:dyDescent="0.25">
      <c r="C55" t="s">
        <v>57</v>
      </c>
    </row>
    <row r="56" spans="1:3" x14ac:dyDescent="0.25">
      <c r="A56" t="s">
        <v>58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6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sheetData>
    <row r="1" spans="1:58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221</v>
      </c>
      <c r="L1" s="121"/>
      <c r="M1" s="121"/>
      <c r="N1" s="122"/>
      <c r="O1" s="114" t="s">
        <v>208</v>
      </c>
      <c r="P1" s="115"/>
      <c r="Q1" s="115"/>
      <c r="R1" s="116"/>
      <c r="S1" s="120" t="s">
        <v>244</v>
      </c>
      <c r="T1" s="121"/>
      <c r="U1" s="121"/>
      <c r="V1" s="122"/>
      <c r="W1" s="114" t="s">
        <v>213</v>
      </c>
      <c r="X1" s="115"/>
      <c r="Y1" s="115"/>
      <c r="Z1" s="116"/>
      <c r="AA1" s="120" t="s">
        <v>245</v>
      </c>
      <c r="AB1" s="121"/>
      <c r="AC1" s="121"/>
      <c r="AD1" s="122"/>
      <c r="AE1" s="114" t="s">
        <v>229</v>
      </c>
      <c r="AF1" s="115"/>
      <c r="AG1" s="115"/>
      <c r="AH1" s="116"/>
      <c r="AI1" s="120" t="s">
        <v>167</v>
      </c>
      <c r="AJ1" s="121"/>
      <c r="AK1" s="121"/>
      <c r="AL1" s="122"/>
      <c r="AM1" s="114" t="s">
        <v>222</v>
      </c>
      <c r="AN1" s="115"/>
      <c r="AO1" s="115"/>
      <c r="AP1" s="116"/>
      <c r="AQ1" s="120" t="s">
        <v>211</v>
      </c>
      <c r="AR1" s="121"/>
      <c r="AS1" s="121"/>
      <c r="AT1" s="122"/>
      <c r="AU1" s="114" t="s">
        <v>250</v>
      </c>
      <c r="AV1" s="115"/>
      <c r="AW1" s="115"/>
      <c r="AX1" s="116"/>
      <c r="AY1" s="120" t="s">
        <v>201</v>
      </c>
      <c r="AZ1" s="121"/>
      <c r="BA1" s="121"/>
      <c r="BB1" s="122"/>
      <c r="BC1" s="114" t="s">
        <v>252</v>
      </c>
      <c r="BD1" s="115"/>
      <c r="BE1" s="115"/>
      <c r="BF1" s="116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251</v>
      </c>
      <c r="L2" s="130"/>
      <c r="M2" s="130"/>
      <c r="N2" s="131"/>
      <c r="O2" s="123" t="s">
        <v>251</v>
      </c>
      <c r="P2" s="124"/>
      <c r="Q2" s="124"/>
      <c r="R2" s="125"/>
      <c r="S2" s="129" t="s">
        <v>251</v>
      </c>
      <c r="T2" s="130"/>
      <c r="U2" s="130"/>
      <c r="V2" s="131"/>
      <c r="W2" s="123" t="s">
        <v>251</v>
      </c>
      <c r="X2" s="124"/>
      <c r="Y2" s="124"/>
      <c r="Z2" s="125"/>
      <c r="AA2" s="129" t="s">
        <v>251</v>
      </c>
      <c r="AB2" s="130"/>
      <c r="AC2" s="130"/>
      <c r="AD2" s="131"/>
      <c r="AE2" s="123" t="s">
        <v>251</v>
      </c>
      <c r="AF2" s="124"/>
      <c r="AG2" s="124"/>
      <c r="AH2" s="125"/>
      <c r="AI2" s="129" t="s">
        <v>251</v>
      </c>
      <c r="AJ2" s="130"/>
      <c r="AK2" s="130"/>
      <c r="AL2" s="131"/>
      <c r="AM2" s="123" t="s">
        <v>251</v>
      </c>
      <c r="AN2" s="124"/>
      <c r="AO2" s="124"/>
      <c r="AP2" s="125"/>
      <c r="AQ2" s="129" t="s">
        <v>251</v>
      </c>
      <c r="AR2" s="130"/>
      <c r="AS2" s="130"/>
      <c r="AT2" s="131"/>
      <c r="AU2" s="123" t="s">
        <v>251</v>
      </c>
      <c r="AV2" s="124"/>
      <c r="AW2" s="124"/>
      <c r="AX2" s="125"/>
      <c r="AY2" s="129" t="s">
        <v>251</v>
      </c>
      <c r="AZ2" s="130"/>
      <c r="BA2" s="130"/>
      <c r="BB2" s="131"/>
      <c r="BC2" s="123"/>
      <c r="BD2" s="124"/>
      <c r="BE2" s="124"/>
      <c r="BF2" s="125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16003.75</v>
      </c>
      <c r="E5" s="73">
        <f>MEDIAN(K5,O5,S5,W5,AA5,AE5,AI5,AM5,AQ5,AU5,AY5,BC5,BG5,BK5,BO5,BS5,BW5,CA5)</f>
        <v>16003.75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32000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32000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7.5</v>
      </c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10</v>
      </c>
      <c r="B6" s="46" t="s">
        <v>197</v>
      </c>
      <c r="C6" s="47">
        <v>2021</v>
      </c>
      <c r="D6" s="73">
        <f t="shared" ref="D6" si="0">AVERAGE(K6,O6,S6,W6,AA6,AE6,AI6,AM6,AQ6,AU6,AY6,BC6,BG6,BK6,BO6,BS6,BW6,CA6)</f>
        <v>97.015185185185203</v>
      </c>
      <c r="E6" s="73">
        <f t="shared" ref="E6" si="1">MEDIAN(K6,O6,S6,W6,AA6,AE6,AI6,AM6,AQ6,AU6,AY6,BC6,BG6,BK6,BO6,BS6,BW6,CA6)</f>
        <v>83.51</v>
      </c>
      <c r="F6" s="73">
        <f t="shared" ref="F6" si="2">MIN(K6,O6,S6,W6,AA6,AE6,AI6,AM6,AQ6,AU6,AY6,BC6,BG6,BK6,BO6,BS6,BW6,CA6)</f>
        <v>56.666666666666664</v>
      </c>
      <c r="G6" s="73">
        <f t="shared" ref="G6" si="3">MAX(K6,O6,S6,W6,AA6,AE6,AI6,AM6,AQ6,AU6,AY6,BC6,BG6,BK6,BO6,BS6,BW6,CA6)</f>
        <v>244.26</v>
      </c>
      <c r="H6" s="39">
        <f t="shared" ref="H6" si="4">COUNT(K6,O6,S6,W6,AA6,AE6,AI6,AM6,AQ6,AU6,AY6,BC6,BG6,BK6,BO6,BS6,BW6,CA6,CE6)</f>
        <v>9</v>
      </c>
      <c r="I6" s="39"/>
      <c r="J6" s="63"/>
      <c r="K6" s="39">
        <v>85</v>
      </c>
      <c r="L6" s="39"/>
      <c r="M6" s="61"/>
      <c r="N6" s="64"/>
      <c r="O6" s="39"/>
      <c r="P6" s="39"/>
      <c r="Q6" s="61"/>
      <c r="R6" s="64"/>
      <c r="S6" s="39">
        <v>85</v>
      </c>
      <c r="T6" s="39"/>
      <c r="U6" s="61"/>
      <c r="V6" s="64"/>
      <c r="W6" s="39">
        <v>69.666666666666671</v>
      </c>
      <c r="X6" s="39"/>
      <c r="Y6" s="61"/>
      <c r="Z6" s="64"/>
      <c r="AA6" s="39">
        <v>83.51</v>
      </c>
      <c r="AB6" s="39"/>
      <c r="AC6" s="61"/>
      <c r="AD6" s="64"/>
      <c r="AE6" s="39">
        <v>244.26</v>
      </c>
      <c r="AF6" s="39"/>
      <c r="AG6" s="61"/>
      <c r="AH6" s="64"/>
      <c r="AI6" s="39"/>
      <c r="AJ6" s="39"/>
      <c r="AK6" s="61"/>
      <c r="AL6" s="64"/>
      <c r="AM6" s="39">
        <v>56.666666666666664</v>
      </c>
      <c r="AN6" s="39"/>
      <c r="AO6" s="61"/>
      <c r="AP6" s="64"/>
      <c r="AQ6" s="39">
        <v>60</v>
      </c>
      <c r="AR6" s="39"/>
      <c r="AS6" s="61"/>
      <c r="AT6" s="64"/>
      <c r="AU6" s="39">
        <v>72.333333333333329</v>
      </c>
      <c r="AV6" s="39"/>
      <c r="AW6" s="61"/>
      <c r="AX6" s="64"/>
      <c r="AY6" s="39">
        <v>116.7</v>
      </c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12</v>
      </c>
      <c r="B7" s="46" t="s">
        <v>197</v>
      </c>
      <c r="C7" s="47">
        <v>2020</v>
      </c>
      <c r="D7" s="73">
        <f t="shared" ref="D7:D15" si="5">AVERAGE(K7,O7,S7,W7,AA7,AE7,AI7,AM7,AQ7,AU7,AY7,BC7,BG7,BK7,BO7,BS7,BW7,CA7)</f>
        <v>61</v>
      </c>
      <c r="E7" s="73">
        <f t="shared" ref="E7:E15" si="6">MEDIAN(K7,O7,S7,W7,AA7,AE7,AI7,AM7,AQ7,AU7,AY7,BC7,BG7,BK7,BO7,BS7,BW7,CA7)</f>
        <v>61</v>
      </c>
      <c r="F7" s="73">
        <f t="shared" ref="F7:F15" si="7">MIN(K7,O7,S7,W7,AA7,AE7,AI7,AM7,AQ7,AU7,AY7,BC7,BG7,BK7,BO7,BS7,BW7,CA7)</f>
        <v>61</v>
      </c>
      <c r="G7" s="73">
        <f t="shared" ref="G7:G15" si="8">MAX(K7,O7,S7,W7,AA7,AE7,AI7,AM7,AQ7,AU7,AY7,BC7,BG7,BK7,BO7,BS7,BW7,CA7)</f>
        <v>61</v>
      </c>
      <c r="H7" s="39">
        <f t="shared" ref="H7:H15" si="9">COUNT(K7,O7,S7,W7,AA7,AE7,AI7,AM7,AQ7,AU7,AY7,BC7,BG7,BK7,BO7,BS7,BW7,CA7,CE7)</f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>
        <v>61</v>
      </c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15</v>
      </c>
      <c r="B8" s="46" t="s">
        <v>197</v>
      </c>
      <c r="C8" s="47">
        <v>2020</v>
      </c>
      <c r="D8" s="73">
        <f t="shared" si="5"/>
        <v>3462.0366666666669</v>
      </c>
      <c r="E8" s="73">
        <f t="shared" si="6"/>
        <v>5180.7</v>
      </c>
      <c r="F8" s="73">
        <f t="shared" si="7"/>
        <v>24.41</v>
      </c>
      <c r="G8" s="73">
        <f t="shared" si="8"/>
        <v>5181</v>
      </c>
      <c r="H8" s="39">
        <f t="shared" si="9"/>
        <v>3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>
        <v>24.41</v>
      </c>
      <c r="AB8" s="39"/>
      <c r="AC8" s="61"/>
      <c r="AD8" s="64"/>
      <c r="AE8" s="39">
        <v>5180.7</v>
      </c>
      <c r="AF8" s="39"/>
      <c r="AG8" s="61"/>
      <c r="AH8" s="64"/>
      <c r="AI8" s="39">
        <v>5181</v>
      </c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25</v>
      </c>
      <c r="B9" s="46" t="s">
        <v>197</v>
      </c>
      <c r="C9" s="47">
        <v>2020</v>
      </c>
      <c r="D9" s="73">
        <f t="shared" si="5"/>
        <v>13.116666666666667</v>
      </c>
      <c r="E9" s="73">
        <f t="shared" si="6"/>
        <v>15.5</v>
      </c>
      <c r="F9" s="73">
        <f t="shared" si="7"/>
        <v>7.95</v>
      </c>
      <c r="G9" s="73">
        <f t="shared" si="8"/>
        <v>15.9</v>
      </c>
      <c r="H9" s="39">
        <f t="shared" si="9"/>
        <v>3</v>
      </c>
      <c r="I9" s="39"/>
      <c r="J9" s="63"/>
      <c r="K9" s="39"/>
      <c r="L9" s="39"/>
      <c r="M9" s="61"/>
      <c r="N9" s="64"/>
      <c r="O9" s="39">
        <v>15.9</v>
      </c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>
        <v>7.95</v>
      </c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>
        <v>15.5</v>
      </c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29</v>
      </c>
      <c r="B10" s="46" t="s">
        <v>197</v>
      </c>
      <c r="C10" s="47">
        <v>2020</v>
      </c>
      <c r="D10" s="73">
        <f t="shared" si="5"/>
        <v>7.8</v>
      </c>
      <c r="E10" s="73">
        <f t="shared" si="6"/>
        <v>7.8</v>
      </c>
      <c r="F10" s="73">
        <f t="shared" si="7"/>
        <v>7.8</v>
      </c>
      <c r="G10" s="73">
        <f t="shared" si="8"/>
        <v>7.8</v>
      </c>
      <c r="H10" s="39">
        <f t="shared" si="9"/>
        <v>1</v>
      </c>
      <c r="I10" s="39"/>
      <c r="J10" s="63"/>
      <c r="K10" s="39"/>
      <c r="L10" s="39"/>
      <c r="M10" s="61"/>
      <c r="N10" s="64"/>
      <c r="O10" s="77"/>
      <c r="P10" s="39"/>
      <c r="Q10" s="61"/>
      <c r="R10" s="64"/>
      <c r="S10" s="39"/>
      <c r="T10" s="39"/>
      <c r="U10" s="61"/>
      <c r="V10" s="64"/>
      <c r="W10" s="77"/>
      <c r="X10" s="39"/>
      <c r="Y10" s="61"/>
      <c r="Z10" s="64"/>
      <c r="AA10" s="39"/>
      <c r="AB10" s="39"/>
      <c r="AC10" s="61"/>
      <c r="AD10" s="64"/>
      <c r="AE10" s="77">
        <v>7.8</v>
      </c>
      <c r="AF10" s="39"/>
      <c r="AG10" s="61"/>
      <c r="AH10" s="64"/>
      <c r="AI10" s="39"/>
      <c r="AJ10" s="39"/>
      <c r="AK10" s="61"/>
      <c r="AL10" s="64"/>
      <c r="AM10" s="77"/>
      <c r="AN10" s="39"/>
      <c r="AO10" s="61"/>
      <c r="AP10" s="64"/>
      <c r="AQ10" s="39"/>
      <c r="AR10" s="39"/>
      <c r="AS10" s="61"/>
      <c r="AT10" s="64"/>
      <c r="AU10" s="77"/>
      <c r="AV10" s="39"/>
      <c r="AW10" s="61"/>
      <c r="AX10" s="64"/>
      <c r="AY10" s="39"/>
      <c r="AZ10" s="39"/>
      <c r="BA10" s="61"/>
      <c r="BB10" s="64"/>
      <c r="BC10" s="77"/>
      <c r="BD10" s="39"/>
      <c r="BE10" s="61"/>
      <c r="BF10" s="64"/>
    </row>
    <row r="11" spans="1:58" x14ac:dyDescent="0.25">
      <c r="A11" t="s">
        <v>34</v>
      </c>
      <c r="B11" s="46" t="s">
        <v>197</v>
      </c>
      <c r="C11" s="47">
        <v>2020</v>
      </c>
      <c r="D11" s="73">
        <f t="shared" si="5"/>
        <v>0.5</v>
      </c>
      <c r="E11" s="73">
        <f t="shared" si="6"/>
        <v>0.5</v>
      </c>
      <c r="F11" s="73">
        <f t="shared" si="7"/>
        <v>0.5</v>
      </c>
      <c r="G11" s="73">
        <f t="shared" si="8"/>
        <v>0.5</v>
      </c>
      <c r="H11" s="39">
        <f t="shared" si="9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>
        <v>0.5</v>
      </c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38</v>
      </c>
      <c r="B12" s="46" t="s">
        <v>197</v>
      </c>
      <c r="C12" s="47">
        <v>2020</v>
      </c>
      <c r="D12" s="73">
        <f t="shared" si="5"/>
        <v>15.59</v>
      </c>
      <c r="E12" s="73">
        <f t="shared" si="6"/>
        <v>15.59</v>
      </c>
      <c r="F12" s="73">
        <f t="shared" si="7"/>
        <v>15.59</v>
      </c>
      <c r="G12" s="73">
        <f t="shared" si="8"/>
        <v>15.59</v>
      </c>
      <c r="H12" s="39">
        <f t="shared" si="9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>
        <v>15.59</v>
      </c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48</v>
      </c>
      <c r="B13" s="46" t="s">
        <v>197</v>
      </c>
      <c r="C13" s="47">
        <v>2020</v>
      </c>
      <c r="D13" s="73">
        <f t="shared" si="5"/>
        <v>80</v>
      </c>
      <c r="E13" s="73">
        <f t="shared" si="6"/>
        <v>80</v>
      </c>
      <c r="F13" s="73">
        <f t="shared" si="7"/>
        <v>80</v>
      </c>
      <c r="G13" s="73">
        <f t="shared" si="8"/>
        <v>80</v>
      </c>
      <c r="H13" s="39">
        <f t="shared" si="9"/>
        <v>1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>
        <v>80</v>
      </c>
      <c r="T13" s="39"/>
      <c r="U13" s="61"/>
      <c r="V13" s="64"/>
      <c r="W13" s="39"/>
      <c r="X13" s="39"/>
      <c r="Y13" s="61"/>
      <c r="Z13" s="64"/>
      <c r="AA13" s="8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8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52</v>
      </c>
      <c r="B14" s="46" t="s">
        <v>197</v>
      </c>
      <c r="C14" s="47">
        <v>2020</v>
      </c>
      <c r="D14" s="73">
        <f t="shared" si="5"/>
        <v>94.618055555555543</v>
      </c>
      <c r="E14" s="73">
        <f t="shared" si="6"/>
        <v>91.84</v>
      </c>
      <c r="F14" s="73">
        <f t="shared" si="7"/>
        <v>17</v>
      </c>
      <c r="G14" s="73">
        <f t="shared" si="8"/>
        <v>242.87</v>
      </c>
      <c r="H14" s="39">
        <f t="shared" si="9"/>
        <v>12</v>
      </c>
      <c r="I14" s="39"/>
      <c r="J14" s="63"/>
      <c r="K14" s="39">
        <v>97.5</v>
      </c>
      <c r="L14" s="39"/>
      <c r="M14" s="61"/>
      <c r="N14" s="64"/>
      <c r="O14" s="39">
        <v>93.3</v>
      </c>
      <c r="P14" s="39"/>
      <c r="Q14" s="61"/>
      <c r="R14" s="64"/>
      <c r="S14" s="39">
        <v>97.5</v>
      </c>
      <c r="T14" s="39"/>
      <c r="U14" s="61"/>
      <c r="V14" s="64"/>
      <c r="W14" s="39">
        <v>78.833333333333329</v>
      </c>
      <c r="X14" s="39"/>
      <c r="Y14" s="61"/>
      <c r="Z14" s="64"/>
      <c r="AA14" s="39">
        <v>90.38</v>
      </c>
      <c r="AB14" s="39"/>
      <c r="AC14" s="61"/>
      <c r="AD14" s="64"/>
      <c r="AE14" s="39">
        <v>242.87</v>
      </c>
      <c r="AF14" s="39"/>
      <c r="AG14" s="61"/>
      <c r="AH14" s="64"/>
      <c r="AI14" s="39">
        <v>70</v>
      </c>
      <c r="AJ14" s="39"/>
      <c r="AK14" s="61"/>
      <c r="AL14" s="64"/>
      <c r="AM14" s="39">
        <v>60.666666666666664</v>
      </c>
      <c r="AN14" s="39"/>
      <c r="AO14" s="61"/>
      <c r="AP14" s="64"/>
      <c r="AQ14" s="39">
        <v>17</v>
      </c>
      <c r="AR14" s="39"/>
      <c r="AS14" s="61"/>
      <c r="AT14" s="64"/>
      <c r="AU14" s="39">
        <v>81.666666666666671</v>
      </c>
      <c r="AV14" s="39"/>
      <c r="AW14" s="61"/>
      <c r="AX14" s="64"/>
      <c r="AY14" s="39">
        <v>99.7</v>
      </c>
      <c r="AZ14" s="39"/>
      <c r="BA14" s="61"/>
      <c r="BB14" s="64"/>
      <c r="BC14" s="39">
        <v>106</v>
      </c>
      <c r="BD14" s="39"/>
      <c r="BE14" s="61"/>
      <c r="BF14" s="64"/>
    </row>
    <row r="15" spans="1:58" x14ac:dyDescent="0.25">
      <c r="A15" t="s">
        <v>145</v>
      </c>
      <c r="B15" s="46" t="s">
        <v>197</v>
      </c>
      <c r="C15" s="47">
        <v>2021</v>
      </c>
      <c r="D15" s="73">
        <f t="shared" si="5"/>
        <v>52.629999999999995</v>
      </c>
      <c r="E15" s="73">
        <f t="shared" si="6"/>
        <v>52.629999999999995</v>
      </c>
      <c r="F15" s="73">
        <f t="shared" si="7"/>
        <v>21.4</v>
      </c>
      <c r="G15" s="73">
        <f t="shared" si="8"/>
        <v>83.86</v>
      </c>
      <c r="H15" s="39">
        <f t="shared" si="9"/>
        <v>2</v>
      </c>
      <c r="I15" s="39"/>
      <c r="J15" s="63"/>
      <c r="K15" s="39"/>
      <c r="L15" s="39"/>
      <c r="M15" s="61"/>
      <c r="N15" s="64"/>
      <c r="O15" s="39">
        <v>21.4</v>
      </c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>
        <v>83.86</v>
      </c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</row>
    <row r="16" spans="1:58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</row>
  </sheetData>
  <mergeCells count="25">
    <mergeCell ref="AQ2:AT2"/>
    <mergeCell ref="AU2:AX2"/>
    <mergeCell ref="AY2:BB2"/>
    <mergeCell ref="BC2:BF2"/>
    <mergeCell ref="BC1:BF1"/>
    <mergeCell ref="AQ1:AT1"/>
    <mergeCell ref="AU1:AX1"/>
    <mergeCell ref="AY1:BB1"/>
    <mergeCell ref="K2:N2"/>
    <mergeCell ref="O2:R2"/>
    <mergeCell ref="S2:V2"/>
    <mergeCell ref="W2:Z2"/>
    <mergeCell ref="AA2:AD2"/>
    <mergeCell ref="AE2:AH2"/>
    <mergeCell ref="AI2:AL2"/>
    <mergeCell ref="AM2:AP2"/>
    <mergeCell ref="AE1:AH1"/>
    <mergeCell ref="AI1:AL1"/>
    <mergeCell ref="AM1:AP1"/>
    <mergeCell ref="AA1:AD1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5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221</v>
      </c>
      <c r="L1" s="121"/>
      <c r="M1" s="121"/>
      <c r="N1" s="122"/>
      <c r="O1" s="114" t="s">
        <v>208</v>
      </c>
      <c r="P1" s="115"/>
      <c r="Q1" s="115"/>
      <c r="R1" s="116"/>
      <c r="S1" s="120" t="s">
        <v>244</v>
      </c>
      <c r="T1" s="121"/>
      <c r="U1" s="121"/>
      <c r="V1" s="122"/>
      <c r="W1" s="114" t="s">
        <v>213</v>
      </c>
      <c r="X1" s="115"/>
      <c r="Y1" s="115"/>
      <c r="Z1" s="116"/>
      <c r="AA1" s="120" t="s">
        <v>245</v>
      </c>
      <c r="AB1" s="121"/>
      <c r="AC1" s="121"/>
      <c r="AD1" s="122"/>
      <c r="AE1" s="114" t="s">
        <v>229</v>
      </c>
      <c r="AF1" s="115"/>
      <c r="AG1" s="115"/>
      <c r="AH1" s="116"/>
      <c r="AI1" s="120" t="s">
        <v>167</v>
      </c>
      <c r="AJ1" s="121"/>
      <c r="AK1" s="121"/>
      <c r="AL1" s="122"/>
      <c r="AM1" s="114" t="s">
        <v>222</v>
      </c>
      <c r="AN1" s="115"/>
      <c r="AO1" s="115"/>
      <c r="AP1" s="116"/>
      <c r="AQ1" s="120" t="s">
        <v>211</v>
      </c>
      <c r="AR1" s="121"/>
      <c r="AS1" s="121"/>
      <c r="AT1" s="122"/>
      <c r="AU1" s="114" t="s">
        <v>250</v>
      </c>
      <c r="AV1" s="115"/>
      <c r="AW1" s="115"/>
      <c r="AX1" s="116"/>
      <c r="AY1" s="120" t="s">
        <v>201</v>
      </c>
      <c r="AZ1" s="121"/>
      <c r="BA1" s="121"/>
      <c r="BB1" s="122"/>
      <c r="BC1" s="114" t="s">
        <v>252</v>
      </c>
      <c r="BD1" s="115"/>
      <c r="BE1" s="115"/>
      <c r="BF1" s="116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253</v>
      </c>
      <c r="L2" s="130"/>
      <c r="M2" s="130"/>
      <c r="N2" s="131"/>
      <c r="O2" s="123" t="s">
        <v>253</v>
      </c>
      <c r="P2" s="124"/>
      <c r="Q2" s="124"/>
      <c r="R2" s="125"/>
      <c r="S2" s="129" t="s">
        <v>253</v>
      </c>
      <c r="T2" s="130"/>
      <c r="U2" s="130"/>
      <c r="V2" s="131"/>
      <c r="W2" s="123" t="s">
        <v>253</v>
      </c>
      <c r="X2" s="124"/>
      <c r="Y2" s="124"/>
      <c r="Z2" s="125"/>
      <c r="AA2" s="129" t="s">
        <v>253</v>
      </c>
      <c r="AB2" s="130"/>
      <c r="AC2" s="130"/>
      <c r="AD2" s="131"/>
      <c r="AE2" s="123" t="s">
        <v>253</v>
      </c>
      <c r="AF2" s="124"/>
      <c r="AG2" s="124"/>
      <c r="AH2" s="125"/>
      <c r="AI2" s="129" t="s">
        <v>253</v>
      </c>
      <c r="AJ2" s="130"/>
      <c r="AK2" s="130"/>
      <c r="AL2" s="131"/>
      <c r="AM2" s="123" t="s">
        <v>253</v>
      </c>
      <c r="AN2" s="124"/>
      <c r="AO2" s="124"/>
      <c r="AP2" s="125"/>
      <c r="AQ2" s="129" t="s">
        <v>253</v>
      </c>
      <c r="AR2" s="130"/>
      <c r="AS2" s="130"/>
      <c r="AT2" s="131"/>
      <c r="AU2" s="123" t="s">
        <v>253</v>
      </c>
      <c r="AV2" s="124"/>
      <c r="AW2" s="124"/>
      <c r="AX2" s="125"/>
      <c r="AY2" s="129" t="s">
        <v>253</v>
      </c>
      <c r="AZ2" s="130"/>
      <c r="BA2" s="130"/>
      <c r="BB2" s="131"/>
      <c r="BC2" s="123" t="s">
        <v>253</v>
      </c>
      <c r="BD2" s="124"/>
      <c r="BE2" s="124"/>
      <c r="BF2" s="125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7.5</v>
      </c>
      <c r="E5" s="73">
        <f>MEDIAN(K5,O5,S5,W5,AA5,AE5,AI5,AM5,AQ5,AU5,AY5,BC5,BG5,BK5,BO5,BS5,BW5,CA5)</f>
        <v>7.5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7.5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7.5</v>
      </c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10</v>
      </c>
      <c r="B6" s="46" t="s">
        <v>197</v>
      </c>
      <c r="C6" s="47">
        <v>2020</v>
      </c>
      <c r="D6" s="73">
        <f t="shared" ref="D6" si="0">AVERAGE(K6,O6,S6,W6,AA6,AE6,AI6,AM6,AQ6,AU6,AY6,BC6,BG6,BK6,BO6,BS6,BW6,CA6)</f>
        <v>89.076666666666668</v>
      </c>
      <c r="E6" s="73">
        <f t="shared" ref="E6" si="1">MEDIAN(K6,O6,S6,W6,AA6,AE6,AI6,AM6,AQ6,AU6,AY6,BC6,BG6,BK6,BO6,BS6,BW6,CA6)</f>
        <v>1.3</v>
      </c>
      <c r="F6" s="73">
        <f t="shared" ref="F6" si="2">MIN(K6,O6,S6,W6,AA6,AE6,AI6,AM6,AQ6,AU6,AY6,BC6,BG6,BK6,BO6,BS6,BW6,CA6)</f>
        <v>0.93</v>
      </c>
      <c r="G6" s="73">
        <f t="shared" ref="G6" si="3">MAX(K6,O6,S6,W6,AA6,AE6,AI6,AM6,AQ6,AU6,AY6,BC6,BG6,BK6,BO6,BS6,BW6,CA6)</f>
        <v>265</v>
      </c>
      <c r="H6" s="39">
        <f t="shared" ref="H6" si="4">COUNT(K6,O6,S6,W6,AA6,AE6,AI6,AM6,AQ6,AU6,AY6,BC6,BG6,BK6,BO6,BS6,BW6,CA6,CE6)</f>
        <v>3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>
        <v>0.93</v>
      </c>
      <c r="AB6" s="39"/>
      <c r="AC6" s="61"/>
      <c r="AD6" s="64"/>
      <c r="AE6" s="39">
        <v>265</v>
      </c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>
        <v>1.3</v>
      </c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15</v>
      </c>
      <c r="B7" s="46" t="s">
        <v>197</v>
      </c>
      <c r="C7" s="47">
        <v>2020</v>
      </c>
      <c r="D7" s="73">
        <f t="shared" ref="D7:D14" si="5">AVERAGE(K7,O7,S7,W7,AA7,AE7,AI7,AM7,AQ7,AU7,AY7,BC7,BG7,BK7,BO7,BS7,BW7,CA7)</f>
        <v>234.4975</v>
      </c>
      <c r="E7" s="73">
        <f t="shared" ref="E7:E14" si="6">MEDIAN(K7,O7,S7,W7,AA7,AE7,AI7,AM7,AQ7,AU7,AY7,BC7,BG7,BK7,BO7,BS7,BW7,CA7)</f>
        <v>235.51000000000002</v>
      </c>
      <c r="F7" s="73">
        <f t="shared" ref="F7:F14" si="7">MIN(K7,O7,S7,W7,AA7,AE7,AI7,AM7,AQ7,AU7,AY7,BC7,BG7,BK7,BO7,BS7,BW7,CA7)</f>
        <v>16.97</v>
      </c>
      <c r="G7" s="73">
        <f t="shared" ref="G7:G14" si="8">MAX(K7,O7,S7,W7,AA7,AE7,AI7,AM7,AQ7,AU7,AY7,BC7,BG7,BK7,BO7,BS7,BW7,CA7)</f>
        <v>450</v>
      </c>
      <c r="H7" s="39">
        <f t="shared" ref="H7:H14" si="9">COUNT(K7,O7,S7,W7,AA7,AE7,AI7,AM7,AQ7,AU7,AY7,BC7,BG7,BK7,BO7,BS7,BW7,CA7,CE7)</f>
        <v>4</v>
      </c>
      <c r="I7" s="39"/>
      <c r="J7" s="63"/>
      <c r="K7" s="39"/>
      <c r="L7" s="39"/>
      <c r="M7" s="61"/>
      <c r="N7" s="64"/>
      <c r="O7" s="39">
        <v>21.02</v>
      </c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>
        <v>16.97</v>
      </c>
      <c r="AB7" s="39"/>
      <c r="AC7" s="61"/>
      <c r="AD7" s="64"/>
      <c r="AE7" s="39">
        <v>450</v>
      </c>
      <c r="AF7" s="39"/>
      <c r="AG7" s="61"/>
      <c r="AH7" s="64"/>
      <c r="AI7" s="39">
        <v>450</v>
      </c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20</v>
      </c>
      <c r="B8" s="46" t="s">
        <v>197</v>
      </c>
      <c r="C8" s="47">
        <v>2020</v>
      </c>
      <c r="D8" s="73">
        <f t="shared" si="5"/>
        <v>17.785666666666664</v>
      </c>
      <c r="E8" s="73">
        <f t="shared" si="6"/>
        <v>6.085</v>
      </c>
      <c r="F8" s="73">
        <f t="shared" si="7"/>
        <v>2.3199999999999998</v>
      </c>
      <c r="G8" s="73">
        <f t="shared" si="8"/>
        <v>124</v>
      </c>
      <c r="H8" s="39">
        <f t="shared" si="9"/>
        <v>10</v>
      </c>
      <c r="I8" s="39"/>
      <c r="J8" s="63"/>
      <c r="K8" s="39">
        <v>11</v>
      </c>
      <c r="L8" s="39"/>
      <c r="M8" s="61"/>
      <c r="N8" s="64"/>
      <c r="O8" s="39">
        <v>2.3199999999999998</v>
      </c>
      <c r="P8" s="39"/>
      <c r="Q8" s="61"/>
      <c r="R8" s="64"/>
      <c r="S8" s="39">
        <v>7.5</v>
      </c>
      <c r="T8" s="39"/>
      <c r="U8" s="61"/>
      <c r="V8" s="64"/>
      <c r="W8" s="39">
        <v>6</v>
      </c>
      <c r="X8" s="39"/>
      <c r="Y8" s="61"/>
      <c r="Z8" s="64"/>
      <c r="AA8" s="39">
        <v>6.17</v>
      </c>
      <c r="AB8" s="39"/>
      <c r="AC8" s="61"/>
      <c r="AD8" s="64"/>
      <c r="AE8" s="39">
        <v>124</v>
      </c>
      <c r="AF8" s="39"/>
      <c r="AG8" s="61"/>
      <c r="AH8" s="64"/>
      <c r="AI8" s="39">
        <v>4</v>
      </c>
      <c r="AJ8" s="39"/>
      <c r="AK8" s="61"/>
      <c r="AL8" s="64"/>
      <c r="AM8" s="39">
        <v>4.666666666666667</v>
      </c>
      <c r="AN8" s="39"/>
      <c r="AO8" s="61"/>
      <c r="AP8" s="64"/>
      <c r="AQ8" s="39"/>
      <c r="AR8" s="39"/>
      <c r="AS8" s="61"/>
      <c r="AT8" s="64"/>
      <c r="AU8" s="39">
        <v>5</v>
      </c>
      <c r="AV8" s="39"/>
      <c r="AW8" s="61"/>
      <c r="AX8" s="64"/>
      <c r="AY8" s="39">
        <v>7.2</v>
      </c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25</v>
      </c>
      <c r="B9" s="46" t="s">
        <v>197</v>
      </c>
      <c r="C9" s="47">
        <v>2020</v>
      </c>
      <c r="D9" s="73">
        <f t="shared" si="5"/>
        <v>40.311388888888892</v>
      </c>
      <c r="E9" s="73">
        <f t="shared" si="6"/>
        <v>25.5</v>
      </c>
      <c r="F9" s="73">
        <f t="shared" si="7"/>
        <v>13</v>
      </c>
      <c r="G9" s="73">
        <f t="shared" si="8"/>
        <v>83.79</v>
      </c>
      <c r="H9" s="39">
        <f t="shared" si="9"/>
        <v>12</v>
      </c>
      <c r="I9" s="39"/>
      <c r="J9" s="63"/>
      <c r="K9" s="39">
        <v>23</v>
      </c>
      <c r="L9" s="39"/>
      <c r="M9" s="61"/>
      <c r="N9" s="64"/>
      <c r="O9" s="39">
        <v>63.28</v>
      </c>
      <c r="P9" s="39"/>
      <c r="Q9" s="61"/>
      <c r="R9" s="64"/>
      <c r="S9" s="39">
        <v>23</v>
      </c>
      <c r="T9" s="39"/>
      <c r="U9" s="61"/>
      <c r="V9" s="64"/>
      <c r="W9" s="39">
        <v>22.833333333333332</v>
      </c>
      <c r="X9" s="39"/>
      <c r="Y9" s="61"/>
      <c r="Z9" s="64"/>
      <c r="AA9" s="39">
        <v>83.79</v>
      </c>
      <c r="AB9" s="39"/>
      <c r="AC9" s="61"/>
      <c r="AD9" s="64"/>
      <c r="AE9" s="39">
        <v>55</v>
      </c>
      <c r="AF9" s="39"/>
      <c r="AG9" s="61"/>
      <c r="AH9" s="64"/>
      <c r="AI9" s="39">
        <v>13</v>
      </c>
      <c r="AJ9" s="39"/>
      <c r="AK9" s="61"/>
      <c r="AL9" s="64"/>
      <c r="AM9" s="39">
        <v>17.333333333333332</v>
      </c>
      <c r="AN9" s="39"/>
      <c r="AO9" s="61"/>
      <c r="AP9" s="64"/>
      <c r="AQ9" s="39">
        <v>28</v>
      </c>
      <c r="AR9" s="39"/>
      <c r="AS9" s="61"/>
      <c r="AT9" s="64"/>
      <c r="AU9" s="39">
        <v>16</v>
      </c>
      <c r="AV9" s="39"/>
      <c r="AW9" s="61"/>
      <c r="AX9" s="64"/>
      <c r="AY9" s="39">
        <v>55.5</v>
      </c>
      <c r="AZ9" s="39"/>
      <c r="BA9" s="61"/>
      <c r="BB9" s="64"/>
      <c r="BC9" s="39">
        <v>83</v>
      </c>
      <c r="BD9" s="39"/>
      <c r="BE9" s="61"/>
      <c r="BF9" s="64"/>
    </row>
    <row r="10" spans="1:58" x14ac:dyDescent="0.25">
      <c r="A10" t="s">
        <v>34</v>
      </c>
      <c r="B10" s="46" t="s">
        <v>197</v>
      </c>
      <c r="C10" s="47">
        <v>2020</v>
      </c>
      <c r="D10" s="73">
        <f t="shared" si="5"/>
        <v>72.89</v>
      </c>
      <c r="E10" s="73">
        <f t="shared" si="6"/>
        <v>72.89</v>
      </c>
      <c r="F10" s="73">
        <f t="shared" si="7"/>
        <v>36.78</v>
      </c>
      <c r="G10" s="73">
        <f t="shared" si="8"/>
        <v>109</v>
      </c>
      <c r="H10" s="39">
        <f t="shared" si="9"/>
        <v>2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>
        <v>36.78</v>
      </c>
      <c r="AB10" s="39"/>
      <c r="AC10" s="61"/>
      <c r="AD10" s="64"/>
      <c r="AE10" s="39">
        <v>109</v>
      </c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</row>
    <row r="11" spans="1:58" x14ac:dyDescent="0.25">
      <c r="A11" t="s">
        <v>46</v>
      </c>
      <c r="B11" s="46" t="s">
        <v>197</v>
      </c>
      <c r="C11" s="47">
        <v>2020</v>
      </c>
      <c r="D11" s="73">
        <f t="shared" si="5"/>
        <v>49.145757575757578</v>
      </c>
      <c r="E11" s="73">
        <f t="shared" si="6"/>
        <v>41</v>
      </c>
      <c r="F11" s="73">
        <f t="shared" si="7"/>
        <v>6</v>
      </c>
      <c r="G11" s="73">
        <f t="shared" si="8"/>
        <v>110</v>
      </c>
      <c r="H11" s="39">
        <f t="shared" si="9"/>
        <v>11</v>
      </c>
      <c r="I11" s="39"/>
      <c r="J11" s="63"/>
      <c r="K11" s="39">
        <v>6</v>
      </c>
      <c r="L11" s="39"/>
      <c r="M11" s="61"/>
      <c r="N11" s="64"/>
      <c r="O11" s="39">
        <v>9.56</v>
      </c>
      <c r="P11" s="39"/>
      <c r="Q11" s="61"/>
      <c r="R11" s="64"/>
      <c r="S11" s="39">
        <v>45</v>
      </c>
      <c r="T11" s="39"/>
      <c r="U11" s="61"/>
      <c r="V11" s="64"/>
      <c r="W11" s="39">
        <v>52.333333333333336</v>
      </c>
      <c r="X11" s="39"/>
      <c r="Y11" s="61"/>
      <c r="Z11" s="64"/>
      <c r="AA11" s="39">
        <v>84.41</v>
      </c>
      <c r="AB11" s="39"/>
      <c r="AC11" s="61"/>
      <c r="AD11" s="64"/>
      <c r="AE11" s="39">
        <v>110</v>
      </c>
      <c r="AF11" s="39"/>
      <c r="AG11" s="61"/>
      <c r="AH11" s="64"/>
      <c r="AI11" s="39">
        <v>41</v>
      </c>
      <c r="AJ11" s="39"/>
      <c r="AK11" s="61"/>
      <c r="AL11" s="64"/>
      <c r="AM11" s="39">
        <v>39</v>
      </c>
      <c r="AN11" s="39"/>
      <c r="AO11" s="61"/>
      <c r="AP11" s="64"/>
      <c r="AQ11" s="39">
        <v>41</v>
      </c>
      <c r="AR11" s="39"/>
      <c r="AS11" s="61"/>
      <c r="AT11" s="64"/>
      <c r="AU11" s="39">
        <v>73</v>
      </c>
      <c r="AV11" s="39"/>
      <c r="AW11" s="61"/>
      <c r="AX11" s="64"/>
      <c r="AY11" s="39">
        <v>39.299999999999997</v>
      </c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48</v>
      </c>
      <c r="B12" s="46" t="s">
        <v>197</v>
      </c>
      <c r="C12" s="47">
        <v>2020</v>
      </c>
      <c r="D12" s="73">
        <f t="shared" si="5"/>
        <v>80</v>
      </c>
      <c r="E12" s="73">
        <f t="shared" si="6"/>
        <v>80</v>
      </c>
      <c r="F12" s="73">
        <f t="shared" si="7"/>
        <v>80</v>
      </c>
      <c r="G12" s="73">
        <f t="shared" si="8"/>
        <v>80</v>
      </c>
      <c r="H12" s="39">
        <f t="shared" si="9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>
        <v>80</v>
      </c>
      <c r="T12" s="39"/>
      <c r="U12" s="61"/>
      <c r="V12" s="64"/>
      <c r="W12" s="39"/>
      <c r="X12" s="39"/>
      <c r="Y12" s="61"/>
      <c r="Z12" s="64"/>
      <c r="AA12" s="8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8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145</v>
      </c>
      <c r="B13" s="46" t="s">
        <v>197</v>
      </c>
      <c r="C13" s="47">
        <v>2021</v>
      </c>
      <c r="D13" s="73">
        <f t="shared" si="5"/>
        <v>5.95</v>
      </c>
      <c r="E13" s="73">
        <f t="shared" si="6"/>
        <v>5.95</v>
      </c>
      <c r="F13" s="73">
        <f t="shared" si="7"/>
        <v>5.95</v>
      </c>
      <c r="G13" s="73">
        <f t="shared" si="8"/>
        <v>5.95</v>
      </c>
      <c r="H13" s="39">
        <f t="shared" si="9"/>
        <v>2</v>
      </c>
      <c r="I13" s="39"/>
      <c r="J13" s="63"/>
      <c r="K13" s="39"/>
      <c r="L13" s="39"/>
      <c r="M13" s="61"/>
      <c r="N13" s="64"/>
      <c r="O13" s="39">
        <v>5.95</v>
      </c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>
        <v>5.95</v>
      </c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57</v>
      </c>
      <c r="B14" s="46" t="s">
        <v>197</v>
      </c>
      <c r="C14" s="47">
        <v>2020</v>
      </c>
      <c r="D14" s="73">
        <f t="shared" si="5"/>
        <v>75.495000000000005</v>
      </c>
      <c r="E14" s="73">
        <f t="shared" si="6"/>
        <v>75.495000000000005</v>
      </c>
      <c r="F14" s="73">
        <f t="shared" si="7"/>
        <v>29.99</v>
      </c>
      <c r="G14" s="73">
        <f t="shared" si="8"/>
        <v>121</v>
      </c>
      <c r="H14" s="39">
        <f t="shared" si="9"/>
        <v>2</v>
      </c>
      <c r="I14" s="40"/>
      <c r="J14" s="56"/>
      <c r="K14" s="59"/>
      <c r="L14" s="60"/>
      <c r="M14" s="61"/>
      <c r="N14" s="64"/>
      <c r="O14" s="70"/>
      <c r="P14" s="60"/>
      <c r="Q14" s="61"/>
      <c r="R14" s="64"/>
      <c r="S14" s="70"/>
      <c r="T14" s="60"/>
      <c r="U14" s="61"/>
      <c r="V14" s="64"/>
      <c r="W14" s="70"/>
      <c r="X14" s="60"/>
      <c r="Y14" s="61"/>
      <c r="Z14" s="64"/>
      <c r="AA14" s="91">
        <v>29.99</v>
      </c>
      <c r="AB14" s="60"/>
      <c r="AC14" s="61"/>
      <c r="AD14" s="64"/>
      <c r="AE14" s="70">
        <v>121</v>
      </c>
      <c r="AF14" s="60"/>
      <c r="AG14" s="61"/>
      <c r="AH14" s="64"/>
      <c r="AI14" s="90"/>
      <c r="AJ14" s="60"/>
      <c r="AK14" s="61"/>
      <c r="AL14" s="64"/>
      <c r="AM14" s="70"/>
      <c r="AN14" s="60"/>
      <c r="AO14" s="61"/>
      <c r="AP14" s="64"/>
      <c r="AQ14" s="70"/>
      <c r="AR14" s="60"/>
      <c r="AS14" s="61"/>
      <c r="AT14" s="64"/>
      <c r="AU14" s="70"/>
      <c r="AV14" s="60"/>
      <c r="AW14" s="61"/>
      <c r="AX14" s="64"/>
      <c r="AY14" s="59"/>
      <c r="AZ14" s="60"/>
      <c r="BA14" s="61"/>
      <c r="BB14" s="64"/>
      <c r="BC14" s="70"/>
      <c r="BD14" s="60"/>
      <c r="BE14" s="61"/>
      <c r="BF14" s="64"/>
    </row>
    <row r="15" spans="1:58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</row>
  </sheetData>
  <mergeCells count="25">
    <mergeCell ref="AU2:AX2"/>
    <mergeCell ref="AY2:BB2"/>
    <mergeCell ref="BC2:BF2"/>
    <mergeCell ref="BC1:BF1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E1:AH1"/>
    <mergeCell ref="AI1:AL1"/>
    <mergeCell ref="AM1:AP1"/>
    <mergeCell ref="AQ1:AT1"/>
    <mergeCell ref="AU1:AX1"/>
    <mergeCell ref="AY1:BB1"/>
    <mergeCell ref="D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7"/>
  <sheetViews>
    <sheetView workbookViewId="0">
      <pane xSplit="1" topLeftCell="B1" activePane="topRight" state="frozen"/>
      <selection pane="topRight" activeCell="H16" sqref="H16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221</v>
      </c>
      <c r="L1" s="121"/>
      <c r="M1" s="121"/>
      <c r="N1" s="122"/>
      <c r="O1" s="114" t="s">
        <v>208</v>
      </c>
      <c r="P1" s="115"/>
      <c r="Q1" s="115"/>
      <c r="R1" s="116"/>
      <c r="S1" s="120" t="s">
        <v>213</v>
      </c>
      <c r="T1" s="121"/>
      <c r="U1" s="121"/>
      <c r="V1" s="122"/>
      <c r="W1" s="114" t="s">
        <v>245</v>
      </c>
      <c r="X1" s="115"/>
      <c r="Y1" s="115"/>
      <c r="Z1" s="116"/>
      <c r="AA1" s="120" t="s">
        <v>229</v>
      </c>
      <c r="AB1" s="121"/>
      <c r="AC1" s="121"/>
      <c r="AD1" s="122"/>
      <c r="AE1" s="114" t="s">
        <v>167</v>
      </c>
      <c r="AF1" s="115"/>
      <c r="AG1" s="115"/>
      <c r="AH1" s="116"/>
      <c r="AI1" s="120" t="s">
        <v>222</v>
      </c>
      <c r="AJ1" s="121"/>
      <c r="AK1" s="121"/>
      <c r="AL1" s="122"/>
      <c r="AM1" s="114" t="s">
        <v>201</v>
      </c>
      <c r="AN1" s="115"/>
      <c r="AO1" s="115"/>
      <c r="AP1" s="116"/>
      <c r="AQ1" s="120" t="s">
        <v>252</v>
      </c>
      <c r="AR1" s="121"/>
      <c r="AS1" s="121"/>
      <c r="AT1" s="122"/>
      <c r="AU1" s="114"/>
      <c r="AV1" s="115"/>
      <c r="AW1" s="115"/>
      <c r="AX1" s="116"/>
      <c r="AY1" s="120"/>
      <c r="AZ1" s="121"/>
      <c r="BA1" s="121"/>
      <c r="BB1" s="122"/>
      <c r="BC1" s="114"/>
      <c r="BD1" s="115"/>
      <c r="BE1" s="115"/>
      <c r="BF1" s="116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254</v>
      </c>
      <c r="L2" s="130"/>
      <c r="M2" s="130"/>
      <c r="N2" s="131"/>
      <c r="O2" s="123" t="s">
        <v>254</v>
      </c>
      <c r="P2" s="124"/>
      <c r="Q2" s="124"/>
      <c r="R2" s="125"/>
      <c r="S2" s="129" t="s">
        <v>255</v>
      </c>
      <c r="T2" s="130"/>
      <c r="U2" s="130"/>
      <c r="V2" s="131"/>
      <c r="W2" s="123" t="s">
        <v>254</v>
      </c>
      <c r="X2" s="124"/>
      <c r="Y2" s="124"/>
      <c r="Z2" s="125"/>
      <c r="AA2" s="129" t="s">
        <v>254</v>
      </c>
      <c r="AB2" s="130"/>
      <c r="AC2" s="130"/>
      <c r="AD2" s="131"/>
      <c r="AE2" s="123" t="s">
        <v>256</v>
      </c>
      <c r="AF2" s="124"/>
      <c r="AG2" s="124"/>
      <c r="AH2" s="125"/>
      <c r="AI2" s="129" t="s">
        <v>254</v>
      </c>
      <c r="AJ2" s="130"/>
      <c r="AK2" s="130"/>
      <c r="AL2" s="131"/>
      <c r="AM2" s="123" t="s">
        <v>254</v>
      </c>
      <c r="AN2" s="124"/>
      <c r="AO2" s="124"/>
      <c r="AP2" s="125"/>
      <c r="AQ2" s="129" t="s">
        <v>256</v>
      </c>
      <c r="AR2" s="130"/>
      <c r="AS2" s="130"/>
      <c r="AT2" s="131"/>
      <c r="AU2" s="123"/>
      <c r="AV2" s="124"/>
      <c r="AW2" s="124"/>
      <c r="AX2" s="125"/>
      <c r="AY2" s="129"/>
      <c r="AZ2" s="130"/>
      <c r="BA2" s="130"/>
      <c r="BB2" s="131"/>
      <c r="BC2" s="123"/>
      <c r="BD2" s="124"/>
      <c r="BE2" s="124"/>
      <c r="BF2" s="125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54.75</v>
      </c>
      <c r="E5" s="73">
        <f>MEDIAN(K5,O5,S5,W5,AA5,AE5,AI5,AM5,AQ5,AU5,AY5,BC5,BG5,BK5,BO5,BS5,BW5,CA5)</f>
        <v>54.75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102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102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>
        <v>7.5</v>
      </c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181</v>
      </c>
      <c r="B6" s="46" t="s">
        <v>197</v>
      </c>
      <c r="C6" s="47">
        <v>2020</v>
      </c>
      <c r="D6" s="73">
        <f t="shared" ref="D6:D16" si="0">AVERAGE(K6,O6,S6,W6,AA6,AE6,AI6,AM6,AQ6,AU6,AY6,BC6,BG6,BK6,BO6,BS6,BW6,CA6)</f>
        <v>8.0000000000000004E-4</v>
      </c>
      <c r="E6" s="73">
        <f t="shared" ref="E6:E16" si="1">MEDIAN(K6,O6,S6,W6,AA6,AE6,AI6,AM6,AQ6,AU6,AY6,BC6,BG6,BK6,BO6,BS6,BW6,CA6)</f>
        <v>8.0000000000000004E-4</v>
      </c>
      <c r="F6" s="73">
        <f t="shared" ref="F6:F16" si="2">MIN(K6,O6,S6,W6,AA6,AE6,AI6,AM6,AQ6,AU6,AY6,BC6,BG6,BK6,BO6,BS6,BW6,CA6)</f>
        <v>8.0000000000000004E-4</v>
      </c>
      <c r="G6" s="73">
        <f t="shared" ref="G6:G16" si="3">MAX(K6,O6,S6,W6,AA6,AE6,AI6,AM6,AQ6,AU6,AY6,BC6,BG6,BK6,BO6,BS6,BW6,CA6)</f>
        <v>8.0000000000000004E-4</v>
      </c>
      <c r="H6" s="39">
        <f t="shared" ref="H6:H16" si="4">COUNT(K6,O6,S6,W6,AA6,AE6,AI6,AM6,AQ6,AU6,AY6,BC6,BG6,BK6,BO6,BS6,BW6,CA6,CE6)</f>
        <v>1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>
        <v>8.0000000000000004E-4</v>
      </c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12</v>
      </c>
      <c r="B7" s="46" t="s">
        <v>197</v>
      </c>
      <c r="C7" s="47">
        <v>2020</v>
      </c>
      <c r="D7" s="73">
        <f t="shared" si="0"/>
        <v>634</v>
      </c>
      <c r="E7" s="73">
        <f t="shared" si="1"/>
        <v>634</v>
      </c>
      <c r="F7" s="73">
        <f t="shared" si="2"/>
        <v>634</v>
      </c>
      <c r="G7" s="73">
        <f t="shared" si="3"/>
        <v>634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>
        <v>634</v>
      </c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10</v>
      </c>
      <c r="B8" s="46" t="s">
        <v>197</v>
      </c>
      <c r="C8" s="47">
        <v>2021</v>
      </c>
      <c r="D8" s="73">
        <f t="shared" ref="D8" si="5">AVERAGE(K8,O8,S8,W8,AA8,AE8,AI8,AM8,AQ8,AU8,AY8,BC8,BG8,BK8,BO8,BS8,BW8,CA8)</f>
        <v>6.61</v>
      </c>
      <c r="E8" s="73">
        <f t="shared" ref="E8" si="6">MEDIAN(K8,O8,S8,W8,AA8,AE8,AI8,AM8,AQ8,AU8,AY8,BC8,BG8,BK8,BO8,BS8,BW8,CA8)</f>
        <v>6.61</v>
      </c>
      <c r="F8" s="73">
        <f t="shared" ref="F8" si="7">MIN(K8,O8,S8,W8,AA8,AE8,AI8,AM8,AQ8,AU8,AY8,BC8,BG8,BK8,BO8,BS8,BW8,CA8)</f>
        <v>6.61</v>
      </c>
      <c r="G8" s="73">
        <f t="shared" ref="G8" si="8">MAX(K8,O8,S8,W8,AA8,AE8,AI8,AM8,AQ8,AU8,AY8,BC8,BG8,BK8,BO8,BS8,BW8,CA8)</f>
        <v>6.61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>
        <v>6.61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</row>
    <row r="9" spans="1:58" x14ac:dyDescent="0.25">
      <c r="A9" t="s">
        <v>15</v>
      </c>
      <c r="B9" s="46" t="s">
        <v>197</v>
      </c>
      <c r="C9" s="47">
        <v>2020</v>
      </c>
      <c r="D9" s="73">
        <f t="shared" si="0"/>
        <v>1005</v>
      </c>
      <c r="E9" s="73">
        <f t="shared" si="1"/>
        <v>1005</v>
      </c>
      <c r="F9" s="73">
        <f t="shared" si="2"/>
        <v>1004.9999999999999</v>
      </c>
      <c r="G9" s="73">
        <f t="shared" si="3"/>
        <v>1005</v>
      </c>
      <c r="H9" s="39">
        <f t="shared" si="4"/>
        <v>2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>
        <v>1004.9999999999999</v>
      </c>
      <c r="AB9" s="39"/>
      <c r="AC9" s="61"/>
      <c r="AD9" s="64"/>
      <c r="AE9" s="39">
        <v>1005</v>
      </c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21</v>
      </c>
      <c r="B10" s="46" t="s">
        <v>197</v>
      </c>
      <c r="C10" s="47">
        <v>2021</v>
      </c>
      <c r="D10" s="73">
        <f t="shared" ref="D10" si="10">AVERAGE(K10,O10,S10,W10,AA10,AE10,AI10,AM10,AQ10,AU10,AY10,BC10,BG10,BK10,BO10,BS10,BW10,CA10)</f>
        <v>62.833333333333336</v>
      </c>
      <c r="E10" s="73">
        <f t="shared" ref="E10" si="11">MEDIAN(K10,O10,S10,W10,AA10,AE10,AI10,AM10,AQ10,AU10,AY10,BC10,BG10,BK10,BO10,BS10,BW10,CA10)</f>
        <v>65.166666666666671</v>
      </c>
      <c r="F10" s="73">
        <f t="shared" ref="F10" si="12">MIN(K10,O10,S10,W10,AA10,AE10,AI10,AM10,AQ10,AU10,AY10,BC10,BG10,BK10,BO10,BS10,BW10,CA10)</f>
        <v>48</v>
      </c>
      <c r="G10" s="73">
        <f t="shared" ref="G10" si="13">MAX(K10,O10,S10,W10,AA10,AE10,AI10,AM10,AQ10,AU10,AY10,BC10,BG10,BK10,BO10,BS10,BW10,CA10)</f>
        <v>73</v>
      </c>
      <c r="H10" s="39">
        <f t="shared" ref="H10" si="14">COUNT(K10,O10,S10,W10,AA10,AE10,AI10,AM10,AQ10,AU10,AY10,BC10,BG10,BK10,BO10,BS10,BW10,CA10,CE10)</f>
        <v>4</v>
      </c>
      <c r="I10" s="39"/>
      <c r="J10" s="63"/>
      <c r="K10" s="39">
        <v>73</v>
      </c>
      <c r="L10" s="39"/>
      <c r="M10" s="61"/>
      <c r="N10" s="64"/>
      <c r="O10" s="39"/>
      <c r="P10" s="39"/>
      <c r="Q10" s="61"/>
      <c r="R10" s="64"/>
      <c r="S10" s="39">
        <v>57.333333333333336</v>
      </c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>
        <v>48</v>
      </c>
      <c r="AJ10" s="39"/>
      <c r="AK10" s="61"/>
      <c r="AL10" s="64"/>
      <c r="AM10" s="39"/>
      <c r="AN10" s="39"/>
      <c r="AO10" s="61"/>
      <c r="AP10" s="64"/>
      <c r="AQ10" s="39">
        <v>73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</row>
    <row r="11" spans="1:58" x14ac:dyDescent="0.25">
      <c r="A11" t="s">
        <v>25</v>
      </c>
      <c r="B11" s="46" t="s">
        <v>197</v>
      </c>
      <c r="C11" s="47">
        <v>2020</v>
      </c>
      <c r="D11" s="73">
        <f t="shared" si="0"/>
        <v>5.7528000000000006</v>
      </c>
      <c r="E11" s="73">
        <f t="shared" si="1"/>
        <v>5.32</v>
      </c>
      <c r="F11" s="73">
        <f t="shared" si="2"/>
        <v>0.71399999999999997</v>
      </c>
      <c r="G11" s="73">
        <f t="shared" si="3"/>
        <v>13.41</v>
      </c>
      <c r="H11" s="39">
        <f t="shared" si="4"/>
        <v>5</v>
      </c>
      <c r="I11" s="39"/>
      <c r="J11" s="63"/>
      <c r="K11" s="39"/>
      <c r="L11" s="39"/>
      <c r="M11" s="61"/>
      <c r="N11" s="64"/>
      <c r="O11" s="39">
        <v>0.71399999999999997</v>
      </c>
      <c r="P11" s="39"/>
      <c r="Q11" s="61"/>
      <c r="R11" s="64"/>
      <c r="S11" s="39"/>
      <c r="T11" s="39"/>
      <c r="U11" s="61"/>
      <c r="V11" s="64"/>
      <c r="W11" s="39">
        <v>5.32</v>
      </c>
      <c r="X11" s="39"/>
      <c r="Y11" s="61"/>
      <c r="Z11" s="64"/>
      <c r="AA11" s="39">
        <v>13.41</v>
      </c>
      <c r="AB11" s="39"/>
      <c r="AC11" s="61"/>
      <c r="AD11" s="64"/>
      <c r="AE11" s="39">
        <v>5.32</v>
      </c>
      <c r="AF11" s="39"/>
      <c r="AG11" s="61"/>
      <c r="AH11" s="64"/>
      <c r="AI11" s="39"/>
      <c r="AJ11" s="39"/>
      <c r="AK11" s="61"/>
      <c r="AL11" s="64"/>
      <c r="AM11" s="39">
        <v>4</v>
      </c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34</v>
      </c>
      <c r="B12" s="46" t="s">
        <v>197</v>
      </c>
      <c r="C12" s="47">
        <v>2020</v>
      </c>
      <c r="D12" s="73">
        <f t="shared" si="0"/>
        <v>10.62</v>
      </c>
      <c r="E12" s="73">
        <f t="shared" si="1"/>
        <v>10.62</v>
      </c>
      <c r="F12" s="73">
        <f t="shared" si="2"/>
        <v>10.62</v>
      </c>
      <c r="G12" s="73">
        <f t="shared" si="3"/>
        <v>10.62</v>
      </c>
      <c r="H12" s="39">
        <f t="shared" si="4"/>
        <v>1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>
        <v>10.62</v>
      </c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38</v>
      </c>
      <c r="B13" s="46" t="s">
        <v>197</v>
      </c>
      <c r="C13" s="47">
        <v>2020</v>
      </c>
      <c r="D13" s="73">
        <f t="shared" si="0"/>
        <v>334</v>
      </c>
      <c r="E13" s="73">
        <f t="shared" si="1"/>
        <v>334</v>
      </c>
      <c r="F13" s="73">
        <f t="shared" si="2"/>
        <v>334</v>
      </c>
      <c r="G13" s="73">
        <f t="shared" si="3"/>
        <v>334</v>
      </c>
      <c r="H13" s="39">
        <f t="shared" si="4"/>
        <v>1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>
        <v>334</v>
      </c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</row>
    <row r="14" spans="1:58" x14ac:dyDescent="0.25">
      <c r="A14" t="s">
        <v>246</v>
      </c>
      <c r="B14" s="46" t="s">
        <v>197</v>
      </c>
      <c r="C14" s="47">
        <v>2021</v>
      </c>
      <c r="D14" s="73">
        <f t="shared" si="0"/>
        <v>84.2</v>
      </c>
      <c r="E14" s="73">
        <f t="shared" si="1"/>
        <v>84.199999999999989</v>
      </c>
      <c r="F14" s="73">
        <f t="shared" si="2"/>
        <v>18.399999999999999</v>
      </c>
      <c r="G14" s="73">
        <f t="shared" si="3"/>
        <v>150</v>
      </c>
      <c r="H14" s="39">
        <f t="shared" si="4"/>
        <v>2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>
        <v>18.399999999999999</v>
      </c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>
        <v>150</v>
      </c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</row>
    <row r="15" spans="1:58" x14ac:dyDescent="0.25">
      <c r="A15" t="s">
        <v>52</v>
      </c>
      <c r="B15" s="46" t="s">
        <v>197</v>
      </c>
      <c r="C15" s="47">
        <v>2020</v>
      </c>
      <c r="D15" s="73">
        <f t="shared" si="0"/>
        <v>7.5</v>
      </c>
      <c r="E15" s="73">
        <f t="shared" si="1"/>
        <v>7.5</v>
      </c>
      <c r="F15" s="73">
        <f t="shared" si="2"/>
        <v>7.5</v>
      </c>
      <c r="G15" s="73">
        <f t="shared" si="3"/>
        <v>7.5</v>
      </c>
      <c r="H15" s="39">
        <f t="shared" si="4"/>
        <v>1</v>
      </c>
      <c r="I15" s="39"/>
      <c r="J15" s="63"/>
      <c r="K15" s="39"/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>
        <v>7.5</v>
      </c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</row>
    <row r="16" spans="1:58" x14ac:dyDescent="0.25">
      <c r="A16" t="s">
        <v>145</v>
      </c>
      <c r="B16" s="46" t="s">
        <v>197</v>
      </c>
      <c r="C16" s="47">
        <v>2021</v>
      </c>
      <c r="D16" s="73">
        <f t="shared" si="0"/>
        <v>83.87</v>
      </c>
      <c r="E16" s="73">
        <f t="shared" si="1"/>
        <v>103.08</v>
      </c>
      <c r="F16" s="73">
        <f t="shared" si="2"/>
        <v>5.32</v>
      </c>
      <c r="G16" s="73">
        <f t="shared" si="3"/>
        <v>143.21</v>
      </c>
      <c r="H16" s="39">
        <f t="shared" si="4"/>
        <v>3</v>
      </c>
      <c r="I16" s="39"/>
      <c r="J16" s="63"/>
      <c r="K16" s="39"/>
      <c r="L16" s="39"/>
      <c r="M16" s="61"/>
      <c r="N16" s="64"/>
      <c r="O16" s="39">
        <v>5.32</v>
      </c>
      <c r="P16" s="39"/>
      <c r="Q16" s="61"/>
      <c r="R16" s="64"/>
      <c r="S16" s="39"/>
      <c r="T16" s="39"/>
      <c r="U16" s="61"/>
      <c r="V16" s="64"/>
      <c r="W16" s="39">
        <v>103.08</v>
      </c>
      <c r="X16" s="39"/>
      <c r="Y16" s="61"/>
      <c r="Z16" s="64"/>
      <c r="AA16" s="39">
        <v>143.21</v>
      </c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</row>
    <row r="17" spans="1:58" x14ac:dyDescent="0.25">
      <c r="A17" s="41"/>
      <c r="B17" s="48"/>
      <c r="C17" s="48"/>
      <c r="D17" s="41"/>
      <c r="E17" s="41"/>
      <c r="F17" s="41"/>
      <c r="G17" s="41"/>
      <c r="H17" s="52"/>
      <c r="I17" s="41"/>
      <c r="J17" s="57"/>
      <c r="K17" s="41"/>
      <c r="L17" s="41"/>
      <c r="M17" s="52"/>
      <c r="N17" s="57"/>
      <c r="O17" s="41"/>
      <c r="P17" s="41"/>
      <c r="Q17" s="52"/>
      <c r="R17" s="57"/>
      <c r="S17" s="41"/>
      <c r="T17" s="41"/>
      <c r="U17" s="52"/>
      <c r="V17" s="57"/>
      <c r="W17" s="41"/>
      <c r="X17" s="41"/>
      <c r="Y17" s="52"/>
      <c r="Z17" s="57"/>
      <c r="AA17" s="41"/>
      <c r="AB17" s="41"/>
      <c r="AC17" s="52"/>
      <c r="AD17" s="57"/>
      <c r="AE17" s="41"/>
      <c r="AF17" s="41"/>
      <c r="AG17" s="52"/>
      <c r="AH17" s="57"/>
      <c r="AI17" s="41"/>
      <c r="AJ17" s="41"/>
      <c r="AK17" s="52"/>
      <c r="AL17" s="57"/>
      <c r="AM17" s="41"/>
      <c r="AN17" s="41"/>
      <c r="AO17" s="52"/>
      <c r="AP17" s="57"/>
      <c r="AQ17" s="41"/>
      <c r="AR17" s="41"/>
      <c r="AS17" s="52"/>
      <c r="AT17" s="57"/>
      <c r="AU17" s="41"/>
      <c r="AV17" s="41"/>
      <c r="AW17" s="52"/>
      <c r="AX17" s="57"/>
      <c r="AY17" s="41"/>
      <c r="AZ17" s="41"/>
      <c r="BA17" s="52"/>
      <c r="BB17" s="57"/>
      <c r="BC17" s="41"/>
      <c r="BD17" s="41"/>
      <c r="BE17" s="52"/>
      <c r="BF17" s="57"/>
    </row>
  </sheetData>
  <mergeCells count="25">
    <mergeCell ref="AU2:AX2"/>
    <mergeCell ref="AY2:BB2"/>
    <mergeCell ref="BC2:BF2"/>
    <mergeCell ref="BC1:BF1"/>
    <mergeCell ref="K2:N2"/>
    <mergeCell ref="O2:R2"/>
    <mergeCell ref="S2:V2"/>
    <mergeCell ref="W2:Z2"/>
    <mergeCell ref="AA2:AD2"/>
    <mergeCell ref="AE2:AH2"/>
    <mergeCell ref="AI2:AL2"/>
    <mergeCell ref="AM2:AP2"/>
    <mergeCell ref="AQ2:AT2"/>
    <mergeCell ref="AE1:AH1"/>
    <mergeCell ref="AI1:AL1"/>
    <mergeCell ref="AM1:AP1"/>
    <mergeCell ref="AQ1:AT1"/>
    <mergeCell ref="AU1:AX1"/>
    <mergeCell ref="AY1:BB1"/>
    <mergeCell ref="D1:J1"/>
    <mergeCell ref="K1:N1"/>
    <mergeCell ref="O1:R1"/>
    <mergeCell ref="S1:V1"/>
    <mergeCell ref="W1:Z1"/>
    <mergeCell ref="AA1:A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Z20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sheetData>
    <row r="1" spans="1:182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258</v>
      </c>
      <c r="L1" s="121"/>
      <c r="M1" s="121"/>
      <c r="N1" s="122"/>
      <c r="O1" s="114" t="s">
        <v>260</v>
      </c>
      <c r="P1" s="115"/>
      <c r="Q1" s="115"/>
      <c r="R1" s="116"/>
      <c r="S1" s="120" t="s">
        <v>261</v>
      </c>
      <c r="T1" s="121"/>
      <c r="U1" s="121"/>
      <c r="V1" s="122"/>
      <c r="W1" s="114" t="s">
        <v>208</v>
      </c>
      <c r="X1" s="115"/>
      <c r="Y1" s="115"/>
      <c r="Z1" s="116"/>
      <c r="AA1" s="120" t="s">
        <v>263</v>
      </c>
      <c r="AB1" s="121"/>
      <c r="AC1" s="121"/>
      <c r="AD1" s="122"/>
      <c r="AE1" s="115" t="s">
        <v>264</v>
      </c>
      <c r="AF1" s="115"/>
      <c r="AG1" s="115"/>
      <c r="AH1" s="116"/>
      <c r="AI1" s="120" t="s">
        <v>265</v>
      </c>
      <c r="AJ1" s="121"/>
      <c r="AK1" s="121"/>
      <c r="AL1" s="122"/>
      <c r="AM1" s="115" t="s">
        <v>266</v>
      </c>
      <c r="AN1" s="115"/>
      <c r="AO1" s="115"/>
      <c r="AP1" s="116"/>
      <c r="AQ1" s="120" t="s">
        <v>267</v>
      </c>
      <c r="AR1" s="121"/>
      <c r="AS1" s="121"/>
      <c r="AT1" s="122"/>
      <c r="AU1" s="115" t="s">
        <v>268</v>
      </c>
      <c r="AV1" s="115"/>
      <c r="AW1" s="115"/>
      <c r="AX1" s="116"/>
      <c r="AY1" s="120" t="s">
        <v>269</v>
      </c>
      <c r="AZ1" s="121"/>
      <c r="BA1" s="121"/>
      <c r="BB1" s="122"/>
      <c r="BC1" s="115" t="s">
        <v>270</v>
      </c>
      <c r="BD1" s="115"/>
      <c r="BE1" s="115"/>
      <c r="BF1" s="116"/>
      <c r="BG1" s="120" t="s">
        <v>271</v>
      </c>
      <c r="BH1" s="121"/>
      <c r="BI1" s="121"/>
      <c r="BJ1" s="122"/>
      <c r="BK1" s="115" t="s">
        <v>272</v>
      </c>
      <c r="BL1" s="115"/>
      <c r="BM1" s="115"/>
      <c r="BN1" s="116"/>
      <c r="BO1" s="120" t="s">
        <v>273</v>
      </c>
      <c r="BP1" s="121"/>
      <c r="BQ1" s="121"/>
      <c r="BR1" s="122"/>
      <c r="BS1" s="115" t="s">
        <v>274</v>
      </c>
      <c r="BT1" s="115"/>
      <c r="BU1" s="115"/>
      <c r="BV1" s="116"/>
      <c r="BW1" s="120" t="s">
        <v>275</v>
      </c>
      <c r="BX1" s="121"/>
      <c r="BY1" s="121"/>
      <c r="BZ1" s="122"/>
      <c r="CA1" s="115" t="s">
        <v>276</v>
      </c>
      <c r="CB1" s="115"/>
      <c r="CC1" s="115"/>
      <c r="CD1" s="116"/>
      <c r="CE1" s="120" t="s">
        <v>277</v>
      </c>
      <c r="CF1" s="121"/>
      <c r="CG1" s="121"/>
      <c r="CH1" s="122"/>
      <c r="CI1" s="115" t="s">
        <v>278</v>
      </c>
      <c r="CJ1" s="115"/>
      <c r="CK1" s="115"/>
      <c r="CL1" s="116"/>
      <c r="CM1" s="120" t="s">
        <v>279</v>
      </c>
      <c r="CN1" s="121"/>
      <c r="CO1" s="121"/>
      <c r="CP1" s="122"/>
      <c r="CQ1" s="115" t="s">
        <v>280</v>
      </c>
      <c r="CR1" s="115"/>
      <c r="CS1" s="115"/>
      <c r="CT1" s="116"/>
      <c r="CU1" s="120" t="s">
        <v>281</v>
      </c>
      <c r="CV1" s="121"/>
      <c r="CW1" s="121"/>
      <c r="CX1" s="122"/>
      <c r="CY1" s="115" t="s">
        <v>282</v>
      </c>
      <c r="CZ1" s="115"/>
      <c r="DA1" s="115"/>
      <c r="DB1" s="116"/>
      <c r="DC1" s="120" t="s">
        <v>283</v>
      </c>
      <c r="DD1" s="121"/>
      <c r="DE1" s="121"/>
      <c r="DF1" s="122"/>
      <c r="DG1" s="115" t="s">
        <v>284</v>
      </c>
      <c r="DH1" s="115"/>
      <c r="DI1" s="115"/>
      <c r="DJ1" s="116"/>
      <c r="DK1" s="120" t="s">
        <v>285</v>
      </c>
      <c r="DL1" s="121"/>
      <c r="DM1" s="121"/>
      <c r="DN1" s="122"/>
      <c r="DO1" s="115" t="s">
        <v>286</v>
      </c>
      <c r="DP1" s="115"/>
      <c r="DQ1" s="115"/>
      <c r="DR1" s="116"/>
      <c r="DS1" s="120" t="s">
        <v>287</v>
      </c>
      <c r="DT1" s="121"/>
      <c r="DU1" s="121"/>
      <c r="DV1" s="122"/>
      <c r="DW1" s="115" t="s">
        <v>288</v>
      </c>
      <c r="DX1" s="115"/>
      <c r="DY1" s="115"/>
      <c r="DZ1" s="116"/>
      <c r="EA1" s="120" t="s">
        <v>289</v>
      </c>
      <c r="EB1" s="121"/>
      <c r="EC1" s="121"/>
      <c r="ED1" s="122"/>
      <c r="EE1" s="115" t="s">
        <v>290</v>
      </c>
      <c r="EF1" s="115"/>
      <c r="EG1" s="115"/>
      <c r="EH1" s="116"/>
      <c r="EI1" s="120" t="s">
        <v>291</v>
      </c>
      <c r="EJ1" s="121"/>
      <c r="EK1" s="121"/>
      <c r="EL1" s="122"/>
      <c r="EM1" s="115" t="s">
        <v>292</v>
      </c>
      <c r="EN1" s="115"/>
      <c r="EO1" s="115"/>
      <c r="EP1" s="116"/>
      <c r="EQ1" s="120" t="s">
        <v>293</v>
      </c>
      <c r="ER1" s="121"/>
      <c r="ES1" s="121"/>
      <c r="ET1" s="122"/>
      <c r="EU1" s="115" t="s">
        <v>294</v>
      </c>
      <c r="EV1" s="115"/>
      <c r="EW1" s="115"/>
      <c r="EX1" s="116"/>
      <c r="EY1" s="120" t="s">
        <v>295</v>
      </c>
      <c r="EZ1" s="121"/>
      <c r="FA1" s="121"/>
      <c r="FB1" s="122"/>
      <c r="FC1" s="115" t="s">
        <v>296</v>
      </c>
      <c r="FD1" s="115"/>
      <c r="FE1" s="115"/>
      <c r="FF1" s="116"/>
      <c r="FG1" s="120" t="s">
        <v>297</v>
      </c>
      <c r="FH1" s="121"/>
      <c r="FI1" s="121"/>
      <c r="FJ1" s="122"/>
      <c r="FK1" s="115" t="s">
        <v>298</v>
      </c>
      <c r="FL1" s="115"/>
      <c r="FM1" s="115"/>
      <c r="FN1" s="116"/>
      <c r="FO1" s="120" t="s">
        <v>299</v>
      </c>
      <c r="FP1" s="121"/>
      <c r="FQ1" s="121"/>
      <c r="FR1" s="122"/>
      <c r="FS1" s="115" t="s">
        <v>300</v>
      </c>
      <c r="FT1" s="115"/>
      <c r="FU1" s="115"/>
      <c r="FV1" s="116"/>
      <c r="FW1" s="120" t="s">
        <v>301</v>
      </c>
      <c r="FX1" s="121"/>
      <c r="FY1" s="121"/>
      <c r="FZ1" s="122"/>
    </row>
    <row r="2" spans="1:18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262</v>
      </c>
      <c r="L2" s="130"/>
      <c r="M2" s="130"/>
      <c r="N2" s="131"/>
      <c r="O2" s="123" t="s">
        <v>262</v>
      </c>
      <c r="P2" s="124"/>
      <c r="Q2" s="124"/>
      <c r="R2" s="125"/>
      <c r="S2" s="129" t="s">
        <v>262</v>
      </c>
      <c r="T2" s="130"/>
      <c r="U2" s="130"/>
      <c r="V2" s="131"/>
      <c r="W2" s="123" t="s">
        <v>262</v>
      </c>
      <c r="X2" s="124"/>
      <c r="Y2" s="124"/>
      <c r="Z2" s="12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  <c r="AU2" s="94"/>
      <c r="AV2" s="94"/>
      <c r="AW2" s="94"/>
      <c r="AX2" s="95"/>
      <c r="AY2" s="92"/>
      <c r="AZ2" s="92"/>
      <c r="BA2" s="92"/>
      <c r="BB2" s="93"/>
      <c r="BC2" s="94"/>
      <c r="BD2" s="94"/>
      <c r="BE2" s="94"/>
      <c r="BF2" s="95"/>
      <c r="BG2" s="92"/>
      <c r="BH2" s="92"/>
      <c r="BI2" s="92"/>
      <c r="BJ2" s="93"/>
      <c r="BK2" s="94"/>
      <c r="BL2" s="94"/>
      <c r="BM2" s="94"/>
      <c r="BN2" s="95"/>
      <c r="BO2" s="92"/>
      <c r="BP2" s="92"/>
      <c r="BQ2" s="92"/>
      <c r="BR2" s="93"/>
      <c r="BS2" s="94"/>
      <c r="BT2" s="94"/>
      <c r="BU2" s="94"/>
      <c r="BV2" s="95"/>
      <c r="BW2" s="92"/>
      <c r="BX2" s="92"/>
      <c r="BY2" s="92"/>
      <c r="BZ2" s="93"/>
      <c r="CA2" s="94"/>
      <c r="CB2" s="94"/>
      <c r="CC2" s="94"/>
      <c r="CD2" s="95"/>
      <c r="CE2" s="92"/>
      <c r="CF2" s="92"/>
      <c r="CG2" s="92"/>
      <c r="CH2" s="93"/>
      <c r="CI2" s="94"/>
      <c r="CJ2" s="94"/>
      <c r="CK2" s="94"/>
      <c r="CL2" s="95"/>
      <c r="CM2" s="92"/>
      <c r="CN2" s="92"/>
      <c r="CO2" s="92"/>
      <c r="CP2" s="93"/>
      <c r="CQ2" s="94"/>
      <c r="CR2" s="94"/>
      <c r="CS2" s="94"/>
      <c r="CT2" s="95"/>
      <c r="CU2" s="92"/>
      <c r="CV2" s="92"/>
      <c r="CW2" s="92"/>
      <c r="CX2" s="93"/>
      <c r="CY2" s="94"/>
      <c r="CZ2" s="94"/>
      <c r="DA2" s="94"/>
      <c r="DB2" s="95"/>
      <c r="DC2" s="92"/>
      <c r="DD2" s="92"/>
      <c r="DE2" s="92"/>
      <c r="DF2" s="93"/>
      <c r="DG2" s="94"/>
      <c r="DH2" s="94"/>
      <c r="DI2" s="94"/>
      <c r="DJ2" s="95"/>
      <c r="DK2" s="92"/>
      <c r="DL2" s="92"/>
      <c r="DM2" s="92"/>
      <c r="DN2" s="93"/>
      <c r="DO2" s="94"/>
      <c r="DP2" s="94"/>
      <c r="DQ2" s="94"/>
      <c r="DR2" s="95"/>
      <c r="DS2" s="92"/>
      <c r="DT2" s="92"/>
      <c r="DU2" s="92"/>
      <c r="DV2" s="93"/>
      <c r="DW2" s="94"/>
      <c r="DX2" s="94"/>
      <c r="DY2" s="94"/>
      <c r="DZ2" s="95"/>
      <c r="EA2" s="92"/>
      <c r="EB2" s="92"/>
      <c r="EC2" s="92"/>
      <c r="ED2" s="93"/>
      <c r="EE2" s="94"/>
      <c r="EF2" s="94"/>
      <c r="EG2" s="94"/>
      <c r="EH2" s="95"/>
      <c r="EI2" s="92"/>
      <c r="EJ2" s="92"/>
      <c r="EK2" s="92"/>
      <c r="EL2" s="93"/>
      <c r="EM2" s="94"/>
      <c r="EN2" s="94"/>
      <c r="EO2" s="94"/>
      <c r="EP2" s="95"/>
      <c r="EQ2" s="92"/>
      <c r="ER2" s="92"/>
      <c r="ES2" s="92"/>
      <c r="ET2" s="93"/>
      <c r="EU2" s="94"/>
      <c r="EV2" s="94"/>
      <c r="EW2" s="94"/>
      <c r="EX2" s="95"/>
      <c r="EY2" s="92"/>
      <c r="EZ2" s="92"/>
      <c r="FA2" s="92"/>
      <c r="FB2" s="93"/>
      <c r="FC2" s="94"/>
      <c r="FD2" s="94"/>
      <c r="FE2" s="94"/>
      <c r="FF2" s="95"/>
      <c r="FG2" s="92"/>
      <c r="FH2" s="92"/>
      <c r="FI2" s="92"/>
      <c r="FJ2" s="93"/>
      <c r="FK2" s="94"/>
      <c r="FL2" s="94"/>
      <c r="FM2" s="94"/>
      <c r="FN2" s="95"/>
      <c r="FO2" s="92"/>
      <c r="FP2" s="92"/>
      <c r="FQ2" s="92"/>
      <c r="FR2" s="93"/>
      <c r="FS2" s="94"/>
      <c r="FT2" s="94"/>
      <c r="FU2" s="94"/>
      <c r="FV2" s="95"/>
      <c r="FW2" s="92"/>
      <c r="FX2" s="92"/>
      <c r="FY2" s="92"/>
      <c r="FZ2" s="93"/>
    </row>
    <row r="3" spans="1:182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/>
      <c r="T3" s="58"/>
      <c r="U3" s="58"/>
      <c r="V3" s="62"/>
      <c r="W3" s="65"/>
      <c r="X3" s="65"/>
      <c r="Y3" s="65"/>
      <c r="Z3" s="66"/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58" t="s">
        <v>123</v>
      </c>
      <c r="DD3" s="58" t="s">
        <v>124</v>
      </c>
      <c r="DE3" s="58" t="s">
        <v>125</v>
      </c>
      <c r="DF3" s="62" t="s">
        <v>126</v>
      </c>
      <c r="DG3" s="65" t="s">
        <v>123</v>
      </c>
      <c r="DH3" s="65" t="s">
        <v>124</v>
      </c>
      <c r="DI3" s="65" t="s">
        <v>125</v>
      </c>
      <c r="DJ3" s="66" t="s">
        <v>126</v>
      </c>
      <c r="DK3" s="58" t="s">
        <v>123</v>
      </c>
      <c r="DL3" s="58" t="s">
        <v>124</v>
      </c>
      <c r="DM3" s="58" t="s">
        <v>125</v>
      </c>
      <c r="DN3" s="62" t="s">
        <v>126</v>
      </c>
      <c r="DO3" s="65" t="s">
        <v>123</v>
      </c>
      <c r="DP3" s="65" t="s">
        <v>124</v>
      </c>
      <c r="DQ3" s="65" t="s">
        <v>125</v>
      </c>
      <c r="DR3" s="66" t="s">
        <v>126</v>
      </c>
      <c r="DS3" s="58" t="s">
        <v>123</v>
      </c>
      <c r="DT3" s="58" t="s">
        <v>124</v>
      </c>
      <c r="DU3" s="58" t="s">
        <v>125</v>
      </c>
      <c r="DV3" s="62" t="s">
        <v>126</v>
      </c>
      <c r="DW3" s="65" t="s">
        <v>123</v>
      </c>
      <c r="DX3" s="65" t="s">
        <v>124</v>
      </c>
      <c r="DY3" s="65" t="s">
        <v>125</v>
      </c>
      <c r="DZ3" s="66" t="s">
        <v>126</v>
      </c>
      <c r="EA3" s="58" t="s">
        <v>123</v>
      </c>
      <c r="EB3" s="58" t="s">
        <v>124</v>
      </c>
      <c r="EC3" s="58" t="s">
        <v>125</v>
      </c>
      <c r="ED3" s="62" t="s">
        <v>126</v>
      </c>
      <c r="EE3" s="65" t="s">
        <v>123</v>
      </c>
      <c r="EF3" s="65" t="s">
        <v>124</v>
      </c>
      <c r="EG3" s="65" t="s">
        <v>125</v>
      </c>
      <c r="EH3" s="66" t="s">
        <v>126</v>
      </c>
      <c r="EI3" s="58" t="s">
        <v>123</v>
      </c>
      <c r="EJ3" s="58" t="s">
        <v>124</v>
      </c>
      <c r="EK3" s="58" t="s">
        <v>125</v>
      </c>
      <c r="EL3" s="62" t="s">
        <v>126</v>
      </c>
      <c r="EM3" s="65" t="s">
        <v>123</v>
      </c>
      <c r="EN3" s="65" t="s">
        <v>124</v>
      </c>
      <c r="EO3" s="65" t="s">
        <v>125</v>
      </c>
      <c r="EP3" s="66" t="s">
        <v>126</v>
      </c>
      <c r="EQ3" s="58" t="s">
        <v>123</v>
      </c>
      <c r="ER3" s="58" t="s">
        <v>124</v>
      </c>
      <c r="ES3" s="58" t="s">
        <v>125</v>
      </c>
      <c r="ET3" s="62" t="s">
        <v>126</v>
      </c>
      <c r="EU3" s="65" t="s">
        <v>123</v>
      </c>
      <c r="EV3" s="65" t="s">
        <v>124</v>
      </c>
      <c r="EW3" s="65" t="s">
        <v>125</v>
      </c>
      <c r="EX3" s="66" t="s">
        <v>126</v>
      </c>
      <c r="EY3" s="58" t="s">
        <v>123</v>
      </c>
      <c r="EZ3" s="58" t="s">
        <v>124</v>
      </c>
      <c r="FA3" s="58" t="s">
        <v>125</v>
      </c>
      <c r="FB3" s="62" t="s">
        <v>126</v>
      </c>
      <c r="FC3" s="65" t="s">
        <v>123</v>
      </c>
      <c r="FD3" s="65" t="s">
        <v>124</v>
      </c>
      <c r="FE3" s="65" t="s">
        <v>125</v>
      </c>
      <c r="FF3" s="66" t="s">
        <v>126</v>
      </c>
      <c r="FG3" s="58" t="s">
        <v>123</v>
      </c>
      <c r="FH3" s="58" t="s">
        <v>124</v>
      </c>
      <c r="FI3" s="58" t="s">
        <v>125</v>
      </c>
      <c r="FJ3" s="62" t="s">
        <v>126</v>
      </c>
      <c r="FK3" s="65" t="s">
        <v>123</v>
      </c>
      <c r="FL3" s="65" t="s">
        <v>124</v>
      </c>
      <c r="FM3" s="65" t="s">
        <v>125</v>
      </c>
      <c r="FN3" s="66" t="s">
        <v>126</v>
      </c>
      <c r="FO3" s="58" t="s">
        <v>123</v>
      </c>
      <c r="FP3" s="58" t="s">
        <v>124</v>
      </c>
      <c r="FQ3" s="58" t="s">
        <v>125</v>
      </c>
      <c r="FR3" s="62" t="s">
        <v>126</v>
      </c>
      <c r="FS3" s="65" t="s">
        <v>123</v>
      </c>
      <c r="FT3" s="65" t="s">
        <v>124</v>
      </c>
      <c r="FU3" s="65" t="s">
        <v>125</v>
      </c>
      <c r="FV3" s="66" t="s">
        <v>126</v>
      </c>
      <c r="FW3" s="58" t="s">
        <v>123</v>
      </c>
      <c r="FX3" s="58" t="s">
        <v>124</v>
      </c>
      <c r="FY3" s="58" t="s">
        <v>125</v>
      </c>
      <c r="FZ3" s="62" t="s">
        <v>126</v>
      </c>
    </row>
    <row r="4" spans="1:18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  <c r="DG4" s="39"/>
      <c r="DH4" s="39"/>
      <c r="DI4" s="39"/>
      <c r="DJ4" s="63"/>
      <c r="DK4" s="39"/>
      <c r="DL4" s="39"/>
      <c r="DM4" s="39"/>
      <c r="DN4" s="63"/>
      <c r="DO4" s="39"/>
      <c r="DP4" s="39"/>
      <c r="DQ4" s="39"/>
      <c r="DR4" s="63"/>
      <c r="DS4" s="39"/>
      <c r="DT4" s="39"/>
      <c r="DU4" s="39"/>
      <c r="DV4" s="63"/>
      <c r="DW4" s="39"/>
      <c r="DX4" s="39"/>
      <c r="DY4" s="39"/>
      <c r="DZ4" s="63"/>
      <c r="EA4" s="39"/>
      <c r="EB4" s="39"/>
      <c r="EC4" s="39"/>
      <c r="ED4" s="63"/>
      <c r="EE4" s="39"/>
      <c r="EF4" s="39"/>
      <c r="EG4" s="39"/>
      <c r="EH4" s="63"/>
      <c r="EI4" s="39"/>
      <c r="EJ4" s="39"/>
      <c r="EK4" s="39"/>
      <c r="EL4" s="63"/>
      <c r="EM4" s="39"/>
      <c r="EN4" s="39"/>
      <c r="EO4" s="39"/>
      <c r="EP4" s="63"/>
      <c r="EQ4" s="39"/>
      <c r="ER4" s="39"/>
      <c r="ES4" s="39"/>
      <c r="ET4" s="63"/>
      <c r="EU4" s="39"/>
      <c r="EV4" s="39"/>
      <c r="EW4" s="39"/>
      <c r="EX4" s="63"/>
      <c r="EY4" s="39"/>
      <c r="EZ4" s="39"/>
      <c r="FA4" s="39"/>
      <c r="FB4" s="63"/>
      <c r="FC4" s="39"/>
      <c r="FD4" s="39"/>
      <c r="FE4" s="39"/>
      <c r="FF4" s="63"/>
      <c r="FG4" s="39"/>
      <c r="FH4" s="39"/>
      <c r="FI4" s="39"/>
      <c r="FJ4" s="63"/>
      <c r="FK4" s="39"/>
      <c r="FL4" s="39"/>
      <c r="FM4" s="39"/>
      <c r="FN4" s="63"/>
      <c r="FO4" s="39"/>
      <c r="FP4" s="39"/>
      <c r="FQ4" s="39"/>
      <c r="FR4" s="63"/>
      <c r="FS4" s="39"/>
      <c r="FT4" s="39"/>
      <c r="FU4" s="39"/>
      <c r="FV4" s="63"/>
      <c r="FW4" s="39"/>
      <c r="FX4" s="39"/>
      <c r="FY4" s="39"/>
      <c r="FZ4" s="63"/>
    </row>
    <row r="5" spans="1:182" x14ac:dyDescent="0.25">
      <c r="A5" t="s">
        <v>3</v>
      </c>
      <c r="B5" s="46" t="s">
        <v>197</v>
      </c>
      <c r="C5" s="47">
        <v>2020</v>
      </c>
      <c r="D5" s="73" t="e">
        <f>AVERAGE(K5,O5,S5,W5,AA5,AE5,AI5,AM5,AQ5,AU5,AY5,BC5,BG5,BK5,BO5,BS5,BW5,CA5,CE5,CI5,CM5,CQ5,CU5,CY5,DC5,DG5,DK5,DO5,DS5,DW5,EA5,EE5,EI5,EM5,EQ5,EU5,EY5,FC5,FG5,FK5,FO5,FS5,FW5)</f>
        <v>#DIV/0!</v>
      </c>
      <c r="E5" s="73" t="e">
        <f>MEDIAN(K5,O5,S5,W5,AA5,AE5,AI5,AM5,AQ5,AU5,AY5,BC5,BG5,BK5,BO5,BS5,BW5,CA5,CE5,CI5,CM5,CQ5,CU5,CY5,DC5,DG5,DK5,DO5,DS5,DW5,EA5,EE5,EI5,EM5,EQ5,EU5,EY5,FC5,FG5,FK5,FO5,FS5,FW5)</f>
        <v>#NUM!</v>
      </c>
      <c r="F5" s="73">
        <f>MIN(K5,O5,S5,W5,AA5,AE5,AI5,AM5,AQ5,AU5,AY5,BC5,BG5,BK5,BO5,BS5,BW5,CA5,CE5,CI5,CM5,CQ5,CU5,CY5,DC5,DG5,DK5,DO5,DS5,DW5,EA5,EE5,EI5,EM5,EQ5,EU5,EY5,FC5,FG5,FK5,FO5,FS5,FW5)</f>
        <v>0</v>
      </c>
      <c r="G5" s="73">
        <f>MAX(K5,O5,S5,W5,AA5,AE5,AI5,AM5,AQ5,AU5,AY5,BC5,BG5,BK5,BO5,BS5,BW5,CA5,CE5,CI5,CM5,CQ5,CU5,CY5,DC5,DG5,DK5,DO5,DS5,DW5,EA5,EE5,EI5,EM5,EQ5,EU5,EY5,FC5,FG5,FK5,FO5,FS5,FW5)</f>
        <v>0</v>
      </c>
      <c r="H5" s="39">
        <f>COUNT(K5,O5,S5,W5,AA5,AE5,AI5,AM5,AQ5,AU5,AY5,BC5,BG5,BK5,BO5,BS5,BW5,CA5,CE5,CE5,CI5,CM5,CQ5,CU5,CY5,DC5,DG5,DK5,DO5,DS5,DW5,EA5,EE5,EI5,EM5,EQ5,EU5,EY5,FC5,FG5,FK5,FO5,FS5,FW5)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  <c r="CQ5" s="39"/>
      <c r="CR5" s="39"/>
      <c r="CS5" s="61"/>
      <c r="CT5" s="64"/>
      <c r="CU5" s="39"/>
      <c r="CV5" s="39"/>
      <c r="CW5" s="61"/>
      <c r="CX5" s="64"/>
      <c r="CY5" s="39"/>
      <c r="CZ5" s="39"/>
      <c r="DA5" s="61"/>
      <c r="DB5" s="64"/>
      <c r="DC5" s="39"/>
      <c r="DD5" s="39"/>
      <c r="DE5" s="61"/>
      <c r="DF5" s="64"/>
      <c r="DG5" s="39"/>
      <c r="DH5" s="39"/>
      <c r="DI5" s="61"/>
      <c r="DJ5" s="64"/>
      <c r="DK5" s="39"/>
      <c r="DL5" s="39"/>
      <c r="DM5" s="61"/>
      <c r="DN5" s="64"/>
      <c r="DO5" s="39"/>
      <c r="DP5" s="39"/>
      <c r="DQ5" s="61"/>
      <c r="DR5" s="64"/>
      <c r="DS5" s="39"/>
      <c r="DT5" s="39"/>
      <c r="DU5" s="61"/>
      <c r="DV5" s="64"/>
      <c r="DW5" s="39"/>
      <c r="DX5" s="39"/>
      <c r="DY5" s="61"/>
      <c r="DZ5" s="64"/>
      <c r="EA5" s="39"/>
      <c r="EB5" s="39"/>
      <c r="EC5" s="61"/>
      <c r="ED5" s="64"/>
      <c r="EE5" s="39"/>
      <c r="EF5" s="39"/>
      <c r="EG5" s="61"/>
      <c r="EH5" s="64"/>
      <c r="EI5" s="39"/>
      <c r="EJ5" s="39"/>
      <c r="EK5" s="61"/>
      <c r="EL5" s="64"/>
      <c r="EM5" s="39"/>
      <c r="EN5" s="39"/>
      <c r="EO5" s="61"/>
      <c r="EP5" s="64"/>
      <c r="EQ5" s="39"/>
      <c r="ER5" s="39"/>
      <c r="ES5" s="61"/>
      <c r="ET5" s="64"/>
      <c r="EU5" s="39"/>
      <c r="EV5" s="39"/>
      <c r="EW5" s="61"/>
      <c r="EX5" s="64"/>
      <c r="EY5" s="39"/>
      <c r="EZ5" s="39"/>
      <c r="FA5" s="61"/>
      <c r="FB5" s="64"/>
      <c r="FC5" s="39"/>
      <c r="FD5" s="39"/>
      <c r="FE5" s="61"/>
      <c r="FF5" s="64"/>
      <c r="FG5" s="39"/>
      <c r="FH5" s="39"/>
      <c r="FI5" s="61"/>
      <c r="FJ5" s="64"/>
      <c r="FK5" s="39"/>
      <c r="FL5" s="39"/>
      <c r="FM5" s="61"/>
      <c r="FN5" s="64"/>
      <c r="FO5" s="39"/>
      <c r="FP5" s="39"/>
      <c r="FQ5" s="61"/>
      <c r="FR5" s="64"/>
      <c r="FS5" s="39"/>
      <c r="FT5" s="39"/>
      <c r="FU5" s="61"/>
      <c r="FV5" s="64"/>
      <c r="FW5" s="39"/>
      <c r="FX5" s="39"/>
      <c r="FY5" s="61"/>
      <c r="FZ5" s="64"/>
    </row>
    <row r="6" spans="1:182" x14ac:dyDescent="0.25">
      <c r="A6" t="s">
        <v>12</v>
      </c>
      <c r="B6" s="46" t="s">
        <v>197</v>
      </c>
      <c r="C6" s="47">
        <v>2020</v>
      </c>
      <c r="D6" s="73" t="e">
        <f t="shared" ref="D6:D19" si="0">AVERAGE(K6,O6,S6,W6,AA6,AE6,AI6,AM6,AQ6,AU6,AY6,BC6,BG6,BK6,BO6,BS6,BW6,CA6,CE6,CI6,CM6,CQ6,CU6,CY6,DC6,DG6,DK6,DO6,DS6,DW6,EA6,EE6,EI6,EM6,EQ6,EU6,EY6,FC6,FG6,FK6,FO6,FS6,FW6)</f>
        <v>#DIV/0!</v>
      </c>
      <c r="E6" s="73" t="e">
        <f t="shared" ref="E6:E19" si="1">MEDIAN(K6,O6,S6,W6,AA6,AE6,AI6,AM6,AQ6,AU6,AY6,BC6,BG6,BK6,BO6,BS6,BW6,CA6,CE6,CI6,CM6,CQ6,CU6,CY6,DC6,DG6,DK6,DO6,DS6,DW6,EA6,EE6,EI6,EM6,EQ6,EU6,EY6,FC6,FG6,FK6,FO6,FS6,FW6)</f>
        <v>#NUM!</v>
      </c>
      <c r="F6" s="73">
        <f t="shared" ref="F6:F19" si="2">MIN(K6,O6,S6,W6,AA6,AE6,AI6,AM6,AQ6,AU6,AY6,BC6,BG6,BK6,BO6,BS6,BW6,CA6,CE6,CI6,CM6,CQ6,CU6,CY6,DC6,DG6,DK6,DO6,DS6,DW6,EA6,EE6,EI6,EM6,EQ6,EU6,EY6,FC6,FG6,FK6,FO6,FS6,FW6)</f>
        <v>0</v>
      </c>
      <c r="G6" s="73">
        <f t="shared" ref="G6:G19" si="3">MAX(K6,O6,S6,W6,AA6,AE6,AI6,AM6,AQ6,AU6,AY6,BC6,BG6,BK6,BO6,BS6,BW6,CA6,CE6,CI6,CM6,CQ6,CU6,CY6,DC6,DG6,DK6,DO6,DS6,DW6,EA6,EE6,EI6,EM6,EQ6,EU6,EY6,FC6,FG6,FK6,FO6,FS6,FW6)</f>
        <v>0</v>
      </c>
      <c r="H6" s="39">
        <f t="shared" ref="H6:H19" si="4">COUNT(K6,O6,S6,W6,AA6,AE6,AI6,AM6,AQ6,AU6,AY6,BC6,BG6,BK6,BO6,BS6,BW6,CA6,CE6,CE6,CI6,CM6,CQ6,CU6,CY6,DC6,DG6,DK6,DO6,DS6,DW6,EA6,EE6,EI6,EM6,EQ6,EU6,EY6,FC6,FG6,FK6,FO6,FS6,FW6)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  <c r="CQ6" s="39"/>
      <c r="CR6" s="39"/>
      <c r="CS6" s="61"/>
      <c r="CT6" s="64"/>
      <c r="CU6" s="39"/>
      <c r="CV6" s="39"/>
      <c r="CW6" s="61"/>
      <c r="CX6" s="64"/>
      <c r="CY6" s="39"/>
      <c r="CZ6" s="39"/>
      <c r="DA6" s="61"/>
      <c r="DB6" s="64"/>
      <c r="DC6" s="39"/>
      <c r="DD6" s="39"/>
      <c r="DE6" s="61"/>
      <c r="DF6" s="64"/>
      <c r="DG6" s="39"/>
      <c r="DH6" s="39"/>
      <c r="DI6" s="61"/>
      <c r="DJ6" s="64"/>
      <c r="DK6" s="39"/>
      <c r="DL6" s="39"/>
      <c r="DM6" s="61"/>
      <c r="DN6" s="64"/>
      <c r="DO6" s="39"/>
      <c r="DP6" s="39"/>
      <c r="DQ6" s="61"/>
      <c r="DR6" s="64"/>
      <c r="DS6" s="39"/>
      <c r="DT6" s="39"/>
      <c r="DU6" s="61"/>
      <c r="DV6" s="64"/>
      <c r="DW6" s="39"/>
      <c r="DX6" s="39"/>
      <c r="DY6" s="61"/>
      <c r="DZ6" s="64"/>
      <c r="EA6" s="39"/>
      <c r="EB6" s="39"/>
      <c r="EC6" s="61"/>
      <c r="ED6" s="64"/>
      <c r="EE6" s="39"/>
      <c r="EF6" s="39"/>
      <c r="EG6" s="61"/>
      <c r="EH6" s="64"/>
      <c r="EI6" s="39"/>
      <c r="EJ6" s="39"/>
      <c r="EK6" s="61"/>
      <c r="EL6" s="64"/>
      <c r="EM6" s="39"/>
      <c r="EN6" s="39"/>
      <c r="EO6" s="61"/>
      <c r="EP6" s="64"/>
      <c r="EQ6" s="39"/>
      <c r="ER6" s="39"/>
      <c r="ES6" s="61"/>
      <c r="ET6" s="64"/>
      <c r="EU6" s="39"/>
      <c r="EV6" s="39"/>
      <c r="EW6" s="61"/>
      <c r="EX6" s="64"/>
      <c r="EY6" s="39"/>
      <c r="EZ6" s="39"/>
      <c r="FA6" s="61"/>
      <c r="FB6" s="64"/>
      <c r="FC6" s="39"/>
      <c r="FD6" s="39"/>
      <c r="FE6" s="61"/>
      <c r="FF6" s="64"/>
      <c r="FG6" s="39"/>
      <c r="FH6" s="39"/>
      <c r="FI6" s="61"/>
      <c r="FJ6" s="64"/>
      <c r="FK6" s="39"/>
      <c r="FL6" s="39"/>
      <c r="FM6" s="61"/>
      <c r="FN6" s="64"/>
      <c r="FO6" s="39"/>
      <c r="FP6" s="39"/>
      <c r="FQ6" s="61"/>
      <c r="FR6" s="64"/>
      <c r="FS6" s="39"/>
      <c r="FT6" s="39"/>
      <c r="FU6" s="61"/>
      <c r="FV6" s="64"/>
      <c r="FW6" s="39"/>
      <c r="FX6" s="39"/>
      <c r="FY6" s="61"/>
      <c r="FZ6" s="64"/>
    </row>
    <row r="7" spans="1:182" x14ac:dyDescent="0.25">
      <c r="A7" t="s">
        <v>15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 t="shared" si="4"/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  <c r="CQ7" s="39"/>
      <c r="CR7" s="39"/>
      <c r="CS7" s="61"/>
      <c r="CT7" s="64"/>
      <c r="CU7" s="39"/>
      <c r="CV7" s="39"/>
      <c r="CW7" s="61"/>
      <c r="CX7" s="64"/>
      <c r="CY7" s="39"/>
      <c r="CZ7" s="39"/>
      <c r="DA7" s="61"/>
      <c r="DB7" s="64"/>
      <c r="DC7" s="39"/>
      <c r="DD7" s="39"/>
      <c r="DE7" s="61"/>
      <c r="DF7" s="64"/>
      <c r="DG7" s="39"/>
      <c r="DH7" s="39"/>
      <c r="DI7" s="61"/>
      <c r="DJ7" s="64"/>
      <c r="DK7" s="39"/>
      <c r="DL7" s="39"/>
      <c r="DM7" s="61"/>
      <c r="DN7" s="64"/>
      <c r="DO7" s="39"/>
      <c r="DP7" s="39"/>
      <c r="DQ7" s="61"/>
      <c r="DR7" s="64"/>
      <c r="DS7" s="39"/>
      <c r="DT7" s="39"/>
      <c r="DU7" s="61"/>
      <c r="DV7" s="64"/>
      <c r="DW7" s="39"/>
      <c r="DX7" s="39"/>
      <c r="DY7" s="61"/>
      <c r="DZ7" s="64"/>
      <c r="EA7" s="39"/>
      <c r="EB7" s="39"/>
      <c r="EC7" s="61"/>
      <c r="ED7" s="64"/>
      <c r="EE7" s="39"/>
      <c r="EF7" s="39"/>
      <c r="EG7" s="61"/>
      <c r="EH7" s="64"/>
      <c r="EI7" s="39"/>
      <c r="EJ7" s="39"/>
      <c r="EK7" s="61"/>
      <c r="EL7" s="64"/>
      <c r="EM7" s="39"/>
      <c r="EN7" s="39"/>
      <c r="EO7" s="61"/>
      <c r="EP7" s="64"/>
      <c r="EQ7" s="39"/>
      <c r="ER7" s="39"/>
      <c r="ES7" s="61"/>
      <c r="ET7" s="64"/>
      <c r="EU7" s="39"/>
      <c r="EV7" s="39"/>
      <c r="EW7" s="61"/>
      <c r="EX7" s="64"/>
      <c r="EY7" s="39"/>
      <c r="EZ7" s="39"/>
      <c r="FA7" s="61"/>
      <c r="FB7" s="64"/>
      <c r="FC7" s="39"/>
      <c r="FD7" s="39"/>
      <c r="FE7" s="61"/>
      <c r="FF7" s="64"/>
      <c r="FG7" s="39"/>
      <c r="FH7" s="39"/>
      <c r="FI7" s="61"/>
      <c r="FJ7" s="64"/>
      <c r="FK7" s="39"/>
      <c r="FL7" s="39"/>
      <c r="FM7" s="61"/>
      <c r="FN7" s="64"/>
      <c r="FO7" s="39"/>
      <c r="FP7" s="39"/>
      <c r="FQ7" s="61"/>
      <c r="FR7" s="64"/>
      <c r="FS7" s="39"/>
      <c r="FT7" s="39"/>
      <c r="FU7" s="61"/>
      <c r="FV7" s="64"/>
      <c r="FW7" s="39"/>
      <c r="FX7" s="39"/>
      <c r="FY7" s="61"/>
      <c r="FZ7" s="64"/>
    </row>
    <row r="8" spans="1:182" x14ac:dyDescent="0.25">
      <c r="A8" t="s">
        <v>27</v>
      </c>
      <c r="B8" s="46" t="s">
        <v>197</v>
      </c>
      <c r="C8" s="47">
        <v>2021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 t="shared" si="4"/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  <c r="CQ8" s="39"/>
      <c r="CR8" s="39"/>
      <c r="CS8" s="61"/>
      <c r="CT8" s="64"/>
      <c r="CU8" s="39"/>
      <c r="CV8" s="39"/>
      <c r="CW8" s="61"/>
      <c r="CX8" s="64"/>
      <c r="CY8" s="39"/>
      <c r="CZ8" s="39"/>
      <c r="DA8" s="61"/>
      <c r="DB8" s="64"/>
      <c r="DC8" s="39"/>
      <c r="DD8" s="39"/>
      <c r="DE8" s="61"/>
      <c r="DF8" s="64"/>
      <c r="DG8" s="39"/>
      <c r="DH8" s="39"/>
      <c r="DI8" s="61"/>
      <c r="DJ8" s="64"/>
      <c r="DK8" s="39"/>
      <c r="DL8" s="39"/>
      <c r="DM8" s="61"/>
      <c r="DN8" s="64"/>
      <c r="DO8" s="39"/>
      <c r="DP8" s="39"/>
      <c r="DQ8" s="61"/>
      <c r="DR8" s="64"/>
      <c r="DS8" s="39"/>
      <c r="DT8" s="39"/>
      <c r="DU8" s="61"/>
      <c r="DV8" s="64"/>
      <c r="DW8" s="39"/>
      <c r="DX8" s="39"/>
      <c r="DY8" s="61"/>
      <c r="DZ8" s="64"/>
      <c r="EA8" s="39"/>
      <c r="EB8" s="39"/>
      <c r="EC8" s="61"/>
      <c r="ED8" s="64"/>
      <c r="EE8" s="39"/>
      <c r="EF8" s="39"/>
      <c r="EG8" s="61"/>
      <c r="EH8" s="64"/>
      <c r="EI8" s="39"/>
      <c r="EJ8" s="39"/>
      <c r="EK8" s="61"/>
      <c r="EL8" s="64"/>
      <c r="EM8" s="39"/>
      <c r="EN8" s="39"/>
      <c r="EO8" s="61"/>
      <c r="EP8" s="64"/>
      <c r="EQ8" s="39"/>
      <c r="ER8" s="39"/>
      <c r="ES8" s="61"/>
      <c r="ET8" s="64"/>
      <c r="EU8" s="39"/>
      <c r="EV8" s="39"/>
      <c r="EW8" s="61"/>
      <c r="EX8" s="64"/>
      <c r="EY8" s="39"/>
      <c r="EZ8" s="39"/>
      <c r="FA8" s="61"/>
      <c r="FB8" s="64"/>
      <c r="FC8" s="39"/>
      <c r="FD8" s="39"/>
      <c r="FE8" s="61"/>
      <c r="FF8" s="64"/>
      <c r="FG8" s="39"/>
      <c r="FH8" s="39"/>
      <c r="FI8" s="61"/>
      <c r="FJ8" s="64"/>
      <c r="FK8" s="39"/>
      <c r="FL8" s="39"/>
      <c r="FM8" s="61"/>
      <c r="FN8" s="64"/>
      <c r="FO8" s="39"/>
      <c r="FP8" s="39"/>
      <c r="FQ8" s="61"/>
      <c r="FR8" s="64"/>
      <c r="FS8" s="39"/>
      <c r="FT8" s="39"/>
      <c r="FU8" s="61"/>
      <c r="FV8" s="64"/>
      <c r="FW8" s="39"/>
      <c r="FX8" s="39"/>
      <c r="FY8" s="61"/>
      <c r="FZ8" s="64"/>
    </row>
    <row r="9" spans="1:182" x14ac:dyDescent="0.25">
      <c r="A9" t="s">
        <v>32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 t="shared" si="4"/>
        <v>0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  <c r="CQ9" s="39"/>
      <c r="CR9" s="39"/>
      <c r="CS9" s="61"/>
      <c r="CT9" s="64"/>
      <c r="CU9" s="39"/>
      <c r="CV9" s="39"/>
      <c r="CW9" s="61"/>
      <c r="CX9" s="64"/>
      <c r="CY9" s="39"/>
      <c r="CZ9" s="39"/>
      <c r="DA9" s="61"/>
      <c r="DB9" s="64"/>
      <c r="DC9" s="39"/>
      <c r="DD9" s="39"/>
      <c r="DE9" s="61"/>
      <c r="DF9" s="64"/>
      <c r="DG9" s="39"/>
      <c r="DH9" s="39"/>
      <c r="DI9" s="61"/>
      <c r="DJ9" s="64"/>
      <c r="DK9" s="39"/>
      <c r="DL9" s="39"/>
      <c r="DM9" s="61"/>
      <c r="DN9" s="64"/>
      <c r="DO9" s="39"/>
      <c r="DP9" s="39"/>
      <c r="DQ9" s="61"/>
      <c r="DR9" s="64"/>
      <c r="DS9" s="39"/>
      <c r="DT9" s="39"/>
      <c r="DU9" s="61"/>
      <c r="DV9" s="64"/>
      <c r="DW9" s="39"/>
      <c r="DX9" s="39"/>
      <c r="DY9" s="61"/>
      <c r="DZ9" s="64"/>
      <c r="EA9" s="39"/>
      <c r="EB9" s="39"/>
      <c r="EC9" s="61"/>
      <c r="ED9" s="64"/>
      <c r="EE9" s="39"/>
      <c r="EF9" s="39"/>
      <c r="EG9" s="61"/>
      <c r="EH9" s="64"/>
      <c r="EI9" s="39"/>
      <c r="EJ9" s="39"/>
      <c r="EK9" s="61"/>
      <c r="EL9" s="64"/>
      <c r="EM9" s="39"/>
      <c r="EN9" s="39"/>
      <c r="EO9" s="61"/>
      <c r="EP9" s="64"/>
      <c r="EQ9" s="39"/>
      <c r="ER9" s="39"/>
      <c r="ES9" s="61"/>
      <c r="ET9" s="64"/>
      <c r="EU9" s="39"/>
      <c r="EV9" s="39"/>
      <c r="EW9" s="61"/>
      <c r="EX9" s="64"/>
      <c r="EY9" s="39"/>
      <c r="EZ9" s="39"/>
      <c r="FA9" s="61"/>
      <c r="FB9" s="64"/>
      <c r="FC9" s="39"/>
      <c r="FD9" s="39"/>
      <c r="FE9" s="61"/>
      <c r="FF9" s="64"/>
      <c r="FG9" s="39"/>
      <c r="FH9" s="39"/>
      <c r="FI9" s="61"/>
      <c r="FJ9" s="64"/>
      <c r="FK9" s="39"/>
      <c r="FL9" s="39"/>
      <c r="FM9" s="61"/>
      <c r="FN9" s="64"/>
      <c r="FO9" s="39"/>
      <c r="FP9" s="39"/>
      <c r="FQ9" s="61"/>
      <c r="FR9" s="64"/>
      <c r="FS9" s="39"/>
      <c r="FT9" s="39"/>
      <c r="FU9" s="61"/>
      <c r="FV9" s="64"/>
      <c r="FW9" s="39"/>
      <c r="FX9" s="39"/>
      <c r="FY9" s="61"/>
      <c r="FZ9" s="64"/>
    </row>
    <row r="10" spans="1:182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  <c r="CQ10" s="39"/>
      <c r="CR10" s="39"/>
      <c r="CS10" s="61"/>
      <c r="CT10" s="64"/>
      <c r="CU10" s="39"/>
      <c r="CV10" s="39"/>
      <c r="CW10" s="61"/>
      <c r="CX10" s="64"/>
      <c r="CY10" s="39"/>
      <c r="CZ10" s="39"/>
      <c r="DA10" s="61"/>
      <c r="DB10" s="64"/>
      <c r="DC10" s="39"/>
      <c r="DD10" s="39"/>
      <c r="DE10" s="61"/>
      <c r="DF10" s="64"/>
      <c r="DG10" s="39"/>
      <c r="DH10" s="39"/>
      <c r="DI10" s="61"/>
      <c r="DJ10" s="64"/>
      <c r="DK10" s="39"/>
      <c r="DL10" s="39"/>
      <c r="DM10" s="61"/>
      <c r="DN10" s="64"/>
      <c r="DO10" s="39"/>
      <c r="DP10" s="39"/>
      <c r="DQ10" s="61"/>
      <c r="DR10" s="64"/>
      <c r="DS10" s="39"/>
      <c r="DT10" s="39"/>
      <c r="DU10" s="61"/>
      <c r="DV10" s="64"/>
      <c r="DW10" s="39"/>
      <c r="DX10" s="39"/>
      <c r="DY10" s="61"/>
      <c r="DZ10" s="64"/>
      <c r="EA10" s="39"/>
      <c r="EB10" s="39"/>
      <c r="EC10" s="61"/>
      <c r="ED10" s="64"/>
      <c r="EE10" s="39"/>
      <c r="EF10" s="39"/>
      <c r="EG10" s="61"/>
      <c r="EH10" s="64"/>
      <c r="EI10" s="39"/>
      <c r="EJ10" s="39"/>
      <c r="EK10" s="61"/>
      <c r="EL10" s="64"/>
      <c r="EM10" s="39"/>
      <c r="EN10" s="39"/>
      <c r="EO10" s="61"/>
      <c r="EP10" s="64"/>
      <c r="EQ10" s="39"/>
      <c r="ER10" s="39"/>
      <c r="ES10" s="61"/>
      <c r="ET10" s="64"/>
      <c r="EU10" s="39"/>
      <c r="EV10" s="39"/>
      <c r="EW10" s="61"/>
      <c r="EX10" s="64"/>
      <c r="EY10" s="39"/>
      <c r="EZ10" s="39"/>
      <c r="FA10" s="61"/>
      <c r="FB10" s="64"/>
      <c r="FC10" s="39"/>
      <c r="FD10" s="39"/>
      <c r="FE10" s="61"/>
      <c r="FF10" s="64"/>
      <c r="FG10" s="39"/>
      <c r="FH10" s="39"/>
      <c r="FI10" s="61"/>
      <c r="FJ10" s="64"/>
      <c r="FK10" s="39"/>
      <c r="FL10" s="39"/>
      <c r="FM10" s="61"/>
      <c r="FN10" s="64"/>
      <c r="FO10" s="39"/>
      <c r="FP10" s="39"/>
      <c r="FQ10" s="61"/>
      <c r="FR10" s="64"/>
      <c r="FS10" s="39"/>
      <c r="FT10" s="39"/>
      <c r="FU10" s="61"/>
      <c r="FV10" s="64"/>
      <c r="FW10" s="39"/>
      <c r="FX10" s="39"/>
      <c r="FY10" s="61"/>
      <c r="FZ10" s="64"/>
    </row>
    <row r="11" spans="1:182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 t="shared" si="4"/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  <c r="CQ11" s="39"/>
      <c r="CR11" s="39"/>
      <c r="CS11" s="61"/>
      <c r="CT11" s="64"/>
      <c r="CU11" s="39"/>
      <c r="CV11" s="39"/>
      <c r="CW11" s="61"/>
      <c r="CX11" s="64"/>
      <c r="CY11" s="39"/>
      <c r="CZ11" s="39"/>
      <c r="DA11" s="61"/>
      <c r="DB11" s="64"/>
      <c r="DC11" s="39"/>
      <c r="DD11" s="39"/>
      <c r="DE11" s="61"/>
      <c r="DF11" s="64"/>
      <c r="DG11" s="39"/>
      <c r="DH11" s="39"/>
      <c r="DI11" s="61"/>
      <c r="DJ11" s="64"/>
      <c r="DK11" s="39"/>
      <c r="DL11" s="39"/>
      <c r="DM11" s="61"/>
      <c r="DN11" s="64"/>
      <c r="DO11" s="39"/>
      <c r="DP11" s="39"/>
      <c r="DQ11" s="61"/>
      <c r="DR11" s="64"/>
      <c r="DS11" s="39"/>
      <c r="DT11" s="39"/>
      <c r="DU11" s="61"/>
      <c r="DV11" s="64"/>
      <c r="DW11" s="39"/>
      <c r="DX11" s="39"/>
      <c r="DY11" s="61"/>
      <c r="DZ11" s="64"/>
      <c r="EA11" s="39"/>
      <c r="EB11" s="39"/>
      <c r="EC11" s="61"/>
      <c r="ED11" s="64"/>
      <c r="EE11" s="39"/>
      <c r="EF11" s="39"/>
      <c r="EG11" s="61"/>
      <c r="EH11" s="64"/>
      <c r="EI11" s="39"/>
      <c r="EJ11" s="39"/>
      <c r="EK11" s="61"/>
      <c r="EL11" s="64"/>
      <c r="EM11" s="39"/>
      <c r="EN11" s="39"/>
      <c r="EO11" s="61"/>
      <c r="EP11" s="64"/>
      <c r="EQ11" s="39"/>
      <c r="ER11" s="39"/>
      <c r="ES11" s="61"/>
      <c r="ET11" s="64"/>
      <c r="EU11" s="39"/>
      <c r="EV11" s="39"/>
      <c r="EW11" s="61"/>
      <c r="EX11" s="64"/>
      <c r="EY11" s="39"/>
      <c r="EZ11" s="39"/>
      <c r="FA11" s="61"/>
      <c r="FB11" s="64"/>
      <c r="FC11" s="39"/>
      <c r="FD11" s="39"/>
      <c r="FE11" s="61"/>
      <c r="FF11" s="64"/>
      <c r="FG11" s="39"/>
      <c r="FH11" s="39"/>
      <c r="FI11" s="61"/>
      <c r="FJ11" s="64"/>
      <c r="FK11" s="39"/>
      <c r="FL11" s="39"/>
      <c r="FM11" s="61"/>
      <c r="FN11" s="64"/>
      <c r="FO11" s="39"/>
      <c r="FP11" s="39"/>
      <c r="FQ11" s="61"/>
      <c r="FR11" s="64"/>
      <c r="FS11" s="39"/>
      <c r="FT11" s="39"/>
      <c r="FU11" s="61"/>
      <c r="FV11" s="64"/>
      <c r="FW11" s="39"/>
      <c r="FX11" s="39"/>
      <c r="FY11" s="61"/>
      <c r="FZ11" s="64"/>
    </row>
    <row r="12" spans="1:182" x14ac:dyDescent="0.25">
      <c r="A12" t="s">
        <v>38</v>
      </c>
      <c r="B12" s="46" t="s">
        <v>197</v>
      </c>
      <c r="C12" s="47">
        <v>2021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 t="shared" si="4"/>
        <v>0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  <c r="CQ12" s="39"/>
      <c r="CR12" s="39"/>
      <c r="CS12" s="61"/>
      <c r="CT12" s="64"/>
      <c r="CU12" s="39"/>
      <c r="CV12" s="39"/>
      <c r="CW12" s="61"/>
      <c r="CX12" s="64"/>
      <c r="CY12" s="39"/>
      <c r="CZ12" s="39"/>
      <c r="DA12" s="61"/>
      <c r="DB12" s="64"/>
      <c r="DC12" s="39"/>
      <c r="DD12" s="39"/>
      <c r="DE12" s="61"/>
      <c r="DF12" s="64"/>
      <c r="DG12" s="39"/>
      <c r="DH12" s="39"/>
      <c r="DI12" s="61"/>
      <c r="DJ12" s="64"/>
      <c r="DK12" s="39"/>
      <c r="DL12" s="39"/>
      <c r="DM12" s="61"/>
      <c r="DN12" s="64"/>
      <c r="DO12" s="39"/>
      <c r="DP12" s="39"/>
      <c r="DQ12" s="61"/>
      <c r="DR12" s="64"/>
      <c r="DS12" s="39"/>
      <c r="DT12" s="39"/>
      <c r="DU12" s="61"/>
      <c r="DV12" s="64"/>
      <c r="DW12" s="39"/>
      <c r="DX12" s="39"/>
      <c r="DY12" s="61"/>
      <c r="DZ12" s="64"/>
      <c r="EA12" s="39"/>
      <c r="EB12" s="39"/>
      <c r="EC12" s="61"/>
      <c r="ED12" s="64"/>
      <c r="EE12" s="39"/>
      <c r="EF12" s="39"/>
      <c r="EG12" s="61"/>
      <c r="EH12" s="64"/>
      <c r="EI12" s="39"/>
      <c r="EJ12" s="39"/>
      <c r="EK12" s="61"/>
      <c r="EL12" s="64"/>
      <c r="EM12" s="39"/>
      <c r="EN12" s="39"/>
      <c r="EO12" s="61"/>
      <c r="EP12" s="64"/>
      <c r="EQ12" s="39"/>
      <c r="ER12" s="39"/>
      <c r="ES12" s="61"/>
      <c r="ET12" s="64"/>
      <c r="EU12" s="39"/>
      <c r="EV12" s="39"/>
      <c r="EW12" s="61"/>
      <c r="EX12" s="64"/>
      <c r="EY12" s="39"/>
      <c r="EZ12" s="39"/>
      <c r="FA12" s="61"/>
      <c r="FB12" s="64"/>
      <c r="FC12" s="39"/>
      <c r="FD12" s="39"/>
      <c r="FE12" s="61"/>
      <c r="FF12" s="64"/>
      <c r="FG12" s="39"/>
      <c r="FH12" s="39"/>
      <c r="FI12" s="61"/>
      <c r="FJ12" s="64"/>
      <c r="FK12" s="39"/>
      <c r="FL12" s="39"/>
      <c r="FM12" s="61"/>
      <c r="FN12" s="64"/>
      <c r="FO12" s="39"/>
      <c r="FP12" s="39"/>
      <c r="FQ12" s="61"/>
      <c r="FR12" s="64"/>
      <c r="FS12" s="39"/>
      <c r="FT12" s="39"/>
      <c r="FU12" s="61"/>
      <c r="FV12" s="64"/>
      <c r="FW12" s="39"/>
      <c r="FX12" s="39"/>
      <c r="FY12" s="61"/>
      <c r="FZ12" s="64"/>
    </row>
    <row r="13" spans="1:182" x14ac:dyDescent="0.25">
      <c r="A13" t="s">
        <v>39</v>
      </c>
      <c r="B13" s="46" t="s">
        <v>197</v>
      </c>
      <c r="C13" s="47">
        <v>2022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 t="shared" si="4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  <c r="CQ13" s="39"/>
      <c r="CR13" s="39"/>
      <c r="CS13" s="61"/>
      <c r="CT13" s="64"/>
      <c r="CU13" s="39"/>
      <c r="CV13" s="39"/>
      <c r="CW13" s="61"/>
      <c r="CX13" s="64"/>
      <c r="CY13" s="39"/>
      <c r="CZ13" s="39"/>
      <c r="DA13" s="61"/>
      <c r="DB13" s="64"/>
      <c r="DC13" s="39"/>
      <c r="DD13" s="39"/>
      <c r="DE13" s="61"/>
      <c r="DF13" s="64"/>
      <c r="DG13" s="39"/>
      <c r="DH13" s="39"/>
      <c r="DI13" s="61"/>
      <c r="DJ13" s="64"/>
      <c r="DK13" s="39"/>
      <c r="DL13" s="39"/>
      <c r="DM13" s="61"/>
      <c r="DN13" s="64"/>
      <c r="DO13" s="39"/>
      <c r="DP13" s="39"/>
      <c r="DQ13" s="61"/>
      <c r="DR13" s="64"/>
      <c r="DS13" s="39"/>
      <c r="DT13" s="39"/>
      <c r="DU13" s="61"/>
      <c r="DV13" s="64"/>
      <c r="DW13" s="39"/>
      <c r="DX13" s="39"/>
      <c r="DY13" s="61"/>
      <c r="DZ13" s="64"/>
      <c r="EA13" s="39"/>
      <c r="EB13" s="39"/>
      <c r="EC13" s="61"/>
      <c r="ED13" s="64"/>
      <c r="EE13" s="39"/>
      <c r="EF13" s="39"/>
      <c r="EG13" s="61"/>
      <c r="EH13" s="64"/>
      <c r="EI13" s="39"/>
      <c r="EJ13" s="39"/>
      <c r="EK13" s="61"/>
      <c r="EL13" s="64"/>
      <c r="EM13" s="39"/>
      <c r="EN13" s="39"/>
      <c r="EO13" s="61"/>
      <c r="EP13" s="64"/>
      <c r="EQ13" s="39"/>
      <c r="ER13" s="39"/>
      <c r="ES13" s="61"/>
      <c r="ET13" s="64"/>
      <c r="EU13" s="39"/>
      <c r="EV13" s="39"/>
      <c r="EW13" s="61"/>
      <c r="EX13" s="64"/>
      <c r="EY13" s="39"/>
      <c r="EZ13" s="39"/>
      <c r="FA13" s="61"/>
      <c r="FB13" s="64"/>
      <c r="FC13" s="39"/>
      <c r="FD13" s="39"/>
      <c r="FE13" s="61"/>
      <c r="FF13" s="64"/>
      <c r="FG13" s="39"/>
      <c r="FH13" s="39"/>
      <c r="FI13" s="61"/>
      <c r="FJ13" s="64"/>
      <c r="FK13" s="39"/>
      <c r="FL13" s="39"/>
      <c r="FM13" s="61"/>
      <c r="FN13" s="64"/>
      <c r="FO13" s="39"/>
      <c r="FP13" s="39"/>
      <c r="FQ13" s="61"/>
      <c r="FR13" s="64"/>
      <c r="FS13" s="39"/>
      <c r="FT13" s="39"/>
      <c r="FU13" s="61"/>
      <c r="FV13" s="64"/>
      <c r="FW13" s="39"/>
      <c r="FX13" s="39"/>
      <c r="FY13" s="61"/>
      <c r="FZ13" s="64"/>
    </row>
    <row r="14" spans="1:182" x14ac:dyDescent="0.25">
      <c r="A14" t="s">
        <v>257</v>
      </c>
      <c r="B14" s="46" t="s">
        <v>197</v>
      </c>
      <c r="C14" s="47">
        <v>2023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  <c r="CQ14" s="39"/>
      <c r="CR14" s="39"/>
      <c r="CS14" s="61"/>
      <c r="CT14" s="64"/>
      <c r="CU14" s="39"/>
      <c r="CV14" s="39"/>
      <c r="CW14" s="61"/>
      <c r="CX14" s="64"/>
      <c r="CY14" s="39"/>
      <c r="CZ14" s="39"/>
      <c r="DA14" s="61"/>
      <c r="DB14" s="64"/>
      <c r="DC14" s="39"/>
      <c r="DD14" s="39"/>
      <c r="DE14" s="61"/>
      <c r="DF14" s="64"/>
      <c r="DG14" s="39"/>
      <c r="DH14" s="39"/>
      <c r="DI14" s="61"/>
      <c r="DJ14" s="64"/>
      <c r="DK14" s="39"/>
      <c r="DL14" s="39"/>
      <c r="DM14" s="61"/>
      <c r="DN14" s="64"/>
      <c r="DO14" s="39"/>
      <c r="DP14" s="39"/>
      <c r="DQ14" s="61"/>
      <c r="DR14" s="64"/>
      <c r="DS14" s="39"/>
      <c r="DT14" s="39"/>
      <c r="DU14" s="61"/>
      <c r="DV14" s="64"/>
      <c r="DW14" s="39"/>
      <c r="DX14" s="39"/>
      <c r="DY14" s="61"/>
      <c r="DZ14" s="64"/>
      <c r="EA14" s="39"/>
      <c r="EB14" s="39"/>
      <c r="EC14" s="61"/>
      <c r="ED14" s="64"/>
      <c r="EE14" s="39"/>
      <c r="EF14" s="39"/>
      <c r="EG14" s="61"/>
      <c r="EH14" s="64"/>
      <c r="EI14" s="39"/>
      <c r="EJ14" s="39"/>
      <c r="EK14" s="61"/>
      <c r="EL14" s="64"/>
      <c r="EM14" s="39"/>
      <c r="EN14" s="39"/>
      <c r="EO14" s="61"/>
      <c r="EP14" s="64"/>
      <c r="EQ14" s="39"/>
      <c r="ER14" s="39"/>
      <c r="ES14" s="61"/>
      <c r="ET14" s="64"/>
      <c r="EU14" s="39"/>
      <c r="EV14" s="39"/>
      <c r="EW14" s="61"/>
      <c r="EX14" s="64"/>
      <c r="EY14" s="39"/>
      <c r="EZ14" s="39"/>
      <c r="FA14" s="61"/>
      <c r="FB14" s="64"/>
      <c r="FC14" s="39"/>
      <c r="FD14" s="39"/>
      <c r="FE14" s="61"/>
      <c r="FF14" s="64"/>
      <c r="FG14" s="39"/>
      <c r="FH14" s="39"/>
      <c r="FI14" s="61"/>
      <c r="FJ14" s="64"/>
      <c r="FK14" s="39"/>
      <c r="FL14" s="39"/>
      <c r="FM14" s="61"/>
      <c r="FN14" s="64"/>
      <c r="FO14" s="39"/>
      <c r="FP14" s="39"/>
      <c r="FQ14" s="61"/>
      <c r="FR14" s="64"/>
      <c r="FS14" s="39"/>
      <c r="FT14" s="39"/>
      <c r="FU14" s="61"/>
      <c r="FV14" s="64"/>
      <c r="FW14" s="39"/>
      <c r="FX14" s="39"/>
      <c r="FY14" s="61"/>
      <c r="FZ14" s="64"/>
    </row>
    <row r="15" spans="1:182" x14ac:dyDescent="0.25">
      <c r="A15" t="s">
        <v>48</v>
      </c>
      <c r="B15" s="46" t="s">
        <v>197</v>
      </c>
      <c r="C15" s="47">
        <v>2024</v>
      </c>
      <c r="D15" s="73">
        <f t="shared" si="0"/>
        <v>7.3074418604651168</v>
      </c>
      <c r="E15" s="73">
        <f t="shared" si="1"/>
        <v>7.1</v>
      </c>
      <c r="F15" s="73">
        <f t="shared" si="2"/>
        <v>1.83</v>
      </c>
      <c r="G15" s="73">
        <f t="shared" si="3"/>
        <v>13</v>
      </c>
      <c r="H15" s="39">
        <f t="shared" si="4"/>
        <v>44</v>
      </c>
      <c r="I15" s="39"/>
      <c r="J15" s="63"/>
      <c r="K15" s="39">
        <v>13</v>
      </c>
      <c r="L15" s="39"/>
      <c r="M15" s="61"/>
      <c r="N15" s="64"/>
      <c r="O15" s="39">
        <v>3.75</v>
      </c>
      <c r="P15" s="39"/>
      <c r="Q15" s="61"/>
      <c r="R15" s="64"/>
      <c r="S15" s="39">
        <v>4</v>
      </c>
      <c r="T15" s="39"/>
      <c r="U15" s="61"/>
      <c r="V15" s="64"/>
      <c r="W15" s="39">
        <v>6.5</v>
      </c>
      <c r="X15" s="39"/>
      <c r="Y15" s="61"/>
      <c r="Z15" s="64"/>
      <c r="AA15" s="39">
        <v>6.7</v>
      </c>
      <c r="AB15" s="39" t="s">
        <v>302</v>
      </c>
      <c r="AC15" s="61">
        <v>2002</v>
      </c>
      <c r="AD15" s="64" t="s">
        <v>303</v>
      </c>
      <c r="AE15" s="39">
        <v>6.3</v>
      </c>
      <c r="AF15" s="39" t="s">
        <v>302</v>
      </c>
      <c r="AG15" s="61">
        <v>2010</v>
      </c>
      <c r="AH15" s="64"/>
      <c r="AI15" s="39">
        <v>3.75</v>
      </c>
      <c r="AJ15" s="39" t="s">
        <v>302</v>
      </c>
      <c r="AK15" s="61">
        <v>2017</v>
      </c>
      <c r="AL15" s="64"/>
      <c r="AM15" s="39">
        <v>4</v>
      </c>
      <c r="AN15" s="39" t="s">
        <v>302</v>
      </c>
      <c r="AO15" s="61">
        <v>2016</v>
      </c>
      <c r="AP15" s="64"/>
      <c r="AQ15" s="39">
        <v>1.83</v>
      </c>
      <c r="AR15" s="39" t="s">
        <v>302</v>
      </c>
      <c r="AS15" s="61">
        <v>2017</v>
      </c>
      <c r="AT15" s="64"/>
      <c r="AU15" s="39">
        <v>6.86</v>
      </c>
      <c r="AV15" s="39" t="s">
        <v>302</v>
      </c>
      <c r="AW15" s="61">
        <v>2013</v>
      </c>
      <c r="AX15" s="64"/>
      <c r="AY15" s="39">
        <v>11.53</v>
      </c>
      <c r="AZ15" s="39" t="s">
        <v>302</v>
      </c>
      <c r="BA15" s="61">
        <v>2017</v>
      </c>
      <c r="BB15" s="64"/>
      <c r="BC15" s="39">
        <v>7.2</v>
      </c>
      <c r="BD15" s="39" t="s">
        <v>302</v>
      </c>
      <c r="BE15" s="61">
        <v>2012</v>
      </c>
      <c r="BF15" s="64"/>
      <c r="BG15" s="39">
        <v>8.3000000000000007</v>
      </c>
      <c r="BH15" s="39" t="s">
        <v>302</v>
      </c>
      <c r="BI15" s="61">
        <v>2013</v>
      </c>
      <c r="BJ15" s="64"/>
      <c r="BK15" s="39">
        <v>5.4</v>
      </c>
      <c r="BL15" s="39" t="s">
        <v>302</v>
      </c>
      <c r="BM15" s="61">
        <v>2015</v>
      </c>
      <c r="BN15" s="64"/>
      <c r="BO15" s="39">
        <v>3.7</v>
      </c>
      <c r="BP15" s="39" t="s">
        <v>302</v>
      </c>
      <c r="BQ15" s="61">
        <v>2013</v>
      </c>
      <c r="BR15" s="64"/>
      <c r="BS15" s="39">
        <v>7.7</v>
      </c>
      <c r="BT15" s="39" t="s">
        <v>302</v>
      </c>
      <c r="BU15" s="61">
        <v>2017</v>
      </c>
      <c r="BV15" s="64"/>
      <c r="BW15" s="39">
        <v>8.8000000000000007</v>
      </c>
      <c r="BX15" s="39" t="s">
        <v>302</v>
      </c>
      <c r="BY15" s="61">
        <v>2014</v>
      </c>
      <c r="BZ15" s="64"/>
      <c r="CA15" s="39">
        <v>7</v>
      </c>
      <c r="CB15" s="39" t="s">
        <v>302</v>
      </c>
      <c r="CC15" s="61">
        <v>2017</v>
      </c>
      <c r="CD15" s="64"/>
      <c r="CE15" s="39">
        <v>6.8</v>
      </c>
      <c r="CF15" s="39" t="s">
        <v>302</v>
      </c>
      <c r="CG15" s="61">
        <v>2017</v>
      </c>
      <c r="CH15" s="64"/>
      <c r="CI15" s="39">
        <v>6.5</v>
      </c>
      <c r="CJ15" s="39" t="s">
        <v>302</v>
      </c>
      <c r="CK15" s="61">
        <v>2017</v>
      </c>
      <c r="CL15" s="64"/>
      <c r="CM15" s="39">
        <v>10.3</v>
      </c>
      <c r="CN15" s="39" t="s">
        <v>302</v>
      </c>
      <c r="CO15" s="61">
        <v>2013</v>
      </c>
      <c r="CP15" s="64"/>
      <c r="CQ15" s="39">
        <v>7.4</v>
      </c>
      <c r="CR15" s="39" t="s">
        <v>302</v>
      </c>
      <c r="CS15" s="61">
        <v>2013</v>
      </c>
      <c r="CT15" s="64"/>
      <c r="CU15" s="39">
        <v>8</v>
      </c>
      <c r="CV15" s="39" t="s">
        <v>302</v>
      </c>
      <c r="CW15" s="61">
        <v>2017</v>
      </c>
      <c r="CX15" s="64"/>
      <c r="CY15" s="39">
        <v>9.3000000000000007</v>
      </c>
      <c r="CZ15" s="39" t="s">
        <v>302</v>
      </c>
      <c r="DA15" s="61">
        <v>2017</v>
      </c>
      <c r="DB15" s="64"/>
      <c r="DC15" s="39">
        <v>8.4</v>
      </c>
      <c r="DD15" s="39" t="s">
        <v>302</v>
      </c>
      <c r="DE15" s="61">
        <v>2017</v>
      </c>
      <c r="DF15" s="64"/>
      <c r="DG15" s="39">
        <v>7</v>
      </c>
      <c r="DH15" s="39" t="s">
        <v>302</v>
      </c>
      <c r="DI15" s="61">
        <v>2013</v>
      </c>
      <c r="DJ15" s="64"/>
      <c r="DK15" s="39">
        <v>8.3000000000000007</v>
      </c>
      <c r="DL15" s="39" t="s">
        <v>302</v>
      </c>
      <c r="DM15" s="61">
        <v>2014</v>
      </c>
      <c r="DN15" s="64"/>
      <c r="DO15" s="39">
        <v>8.6</v>
      </c>
      <c r="DP15" s="39" t="s">
        <v>302</v>
      </c>
      <c r="DQ15" s="61">
        <v>2017</v>
      </c>
      <c r="DR15" s="64"/>
      <c r="DS15" s="39">
        <v>9</v>
      </c>
      <c r="DT15" s="39" t="s">
        <v>302</v>
      </c>
      <c r="DU15" s="61">
        <v>2014</v>
      </c>
      <c r="DV15" s="64"/>
      <c r="DW15" s="39">
        <v>9.1</v>
      </c>
      <c r="DX15" s="39" t="s">
        <v>302</v>
      </c>
      <c r="DY15" s="61">
        <v>2017</v>
      </c>
      <c r="DZ15" s="64"/>
      <c r="EA15" s="39">
        <v>9.1999999999999993</v>
      </c>
      <c r="EB15" s="39" t="s">
        <v>302</v>
      </c>
      <c r="EC15" s="61">
        <v>2017</v>
      </c>
      <c r="ED15" s="64"/>
      <c r="EE15" s="39">
        <v>8.4</v>
      </c>
      <c r="EF15" s="39" t="s">
        <v>302</v>
      </c>
      <c r="EG15" s="61">
        <v>2013</v>
      </c>
      <c r="EH15" s="64"/>
      <c r="EI15" s="39">
        <v>10.1</v>
      </c>
      <c r="EJ15" s="39" t="s">
        <v>302</v>
      </c>
      <c r="EK15" s="61">
        <v>2017</v>
      </c>
      <c r="EL15" s="64"/>
      <c r="EM15" s="39">
        <v>7.1</v>
      </c>
      <c r="EN15" s="39" t="s">
        <v>302</v>
      </c>
      <c r="EO15" s="61">
        <v>2016</v>
      </c>
      <c r="EP15" s="64"/>
      <c r="EQ15" s="39">
        <v>6.8</v>
      </c>
      <c r="ER15" s="39" t="s">
        <v>302</v>
      </c>
      <c r="ES15" s="61">
        <v>2017</v>
      </c>
      <c r="ET15" s="64"/>
      <c r="EU15" s="39">
        <v>6.5</v>
      </c>
      <c r="EV15" s="39" t="s">
        <v>302</v>
      </c>
      <c r="EW15" s="61">
        <v>2017</v>
      </c>
      <c r="EX15" s="64"/>
      <c r="EY15" s="39">
        <v>7.9</v>
      </c>
      <c r="EZ15" s="39" t="s">
        <v>302</v>
      </c>
      <c r="FA15" s="61">
        <v>2015</v>
      </c>
      <c r="FB15" s="64"/>
      <c r="FC15" s="39">
        <v>8.6</v>
      </c>
      <c r="FD15" s="39" t="s">
        <v>302</v>
      </c>
      <c r="FE15" s="61">
        <v>2015</v>
      </c>
      <c r="FF15" s="64"/>
      <c r="FG15" s="39">
        <v>6.1</v>
      </c>
      <c r="FH15" s="39" t="s">
        <v>302</v>
      </c>
      <c r="FI15" s="61">
        <v>2015</v>
      </c>
      <c r="FJ15" s="64"/>
      <c r="FK15" s="39">
        <v>6.3</v>
      </c>
      <c r="FL15" s="39" t="s">
        <v>302</v>
      </c>
      <c r="FM15" s="61">
        <v>2015</v>
      </c>
      <c r="FN15" s="64"/>
      <c r="FO15" s="39">
        <v>5.9</v>
      </c>
      <c r="FP15" s="39" t="s">
        <v>302</v>
      </c>
      <c r="FQ15" s="61">
        <v>2015</v>
      </c>
      <c r="FR15" s="64"/>
      <c r="FS15" s="39">
        <v>6.1</v>
      </c>
      <c r="FT15" s="39" t="s">
        <v>302</v>
      </c>
      <c r="FU15" s="61">
        <v>2015</v>
      </c>
      <c r="FV15" s="64"/>
      <c r="FW15" s="39">
        <v>10.199999999999999</v>
      </c>
      <c r="FX15" s="39" t="s">
        <v>302</v>
      </c>
      <c r="FY15" s="61">
        <v>2015</v>
      </c>
      <c r="FZ15" s="64"/>
    </row>
    <row r="16" spans="1:182" x14ac:dyDescent="0.25">
      <c r="A16" t="s">
        <v>196</v>
      </c>
      <c r="B16" s="46" t="s">
        <v>197</v>
      </c>
      <c r="C16" s="47">
        <v>2025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  <c r="CQ16" s="39"/>
      <c r="CR16" s="39"/>
      <c r="CS16" s="61"/>
      <c r="CT16" s="64"/>
      <c r="CU16" s="39"/>
      <c r="CV16" s="39"/>
      <c r="CW16" s="61"/>
      <c r="CX16" s="64"/>
      <c r="CY16" s="39"/>
      <c r="CZ16" s="39"/>
      <c r="DA16" s="61"/>
      <c r="DB16" s="64"/>
      <c r="DC16" s="39"/>
      <c r="DD16" s="39"/>
      <c r="DE16" s="61"/>
      <c r="DF16" s="64"/>
      <c r="DG16" s="39"/>
      <c r="DH16" s="39"/>
      <c r="DI16" s="61"/>
      <c r="DJ16" s="64"/>
      <c r="DK16" s="39"/>
      <c r="DL16" s="39"/>
      <c r="DM16" s="61"/>
      <c r="DN16" s="64"/>
      <c r="DO16" s="39"/>
      <c r="DP16" s="39"/>
      <c r="DQ16" s="61"/>
      <c r="DR16" s="64"/>
      <c r="DS16" s="39"/>
      <c r="DT16" s="39"/>
      <c r="DU16" s="61"/>
      <c r="DV16" s="64"/>
      <c r="DW16" s="39"/>
      <c r="DX16" s="39"/>
      <c r="DY16" s="61"/>
      <c r="DZ16" s="64"/>
      <c r="EA16" s="39"/>
      <c r="EB16" s="39"/>
      <c r="EC16" s="61"/>
      <c r="ED16" s="64"/>
      <c r="EE16" s="39"/>
      <c r="EF16" s="39"/>
      <c r="EG16" s="61"/>
      <c r="EH16" s="64"/>
      <c r="EI16" s="39"/>
      <c r="EJ16" s="39"/>
      <c r="EK16" s="61"/>
      <c r="EL16" s="64"/>
      <c r="EM16" s="39"/>
      <c r="EN16" s="39"/>
      <c r="EO16" s="61"/>
      <c r="EP16" s="64"/>
      <c r="EQ16" s="39"/>
      <c r="ER16" s="39"/>
      <c r="ES16" s="61"/>
      <c r="ET16" s="64"/>
      <c r="EU16" s="39"/>
      <c r="EV16" s="39"/>
      <c r="EW16" s="61"/>
      <c r="EX16" s="64"/>
      <c r="EY16" s="39"/>
      <c r="EZ16" s="39"/>
      <c r="FA16" s="61"/>
      <c r="FB16" s="64"/>
      <c r="FC16" s="39"/>
      <c r="FD16" s="39"/>
      <c r="FE16" s="61"/>
      <c r="FF16" s="64"/>
      <c r="FG16" s="39"/>
      <c r="FH16" s="39"/>
      <c r="FI16" s="61"/>
      <c r="FJ16" s="64"/>
      <c r="FK16" s="39"/>
      <c r="FL16" s="39"/>
      <c r="FM16" s="61"/>
      <c r="FN16" s="64"/>
      <c r="FO16" s="39"/>
      <c r="FP16" s="39"/>
      <c r="FQ16" s="61"/>
      <c r="FR16" s="64"/>
      <c r="FS16" s="39"/>
      <c r="FT16" s="39"/>
      <c r="FU16" s="61"/>
      <c r="FV16" s="64"/>
      <c r="FW16" s="39"/>
      <c r="FX16" s="39"/>
      <c r="FY16" s="61"/>
      <c r="FZ16" s="64"/>
    </row>
    <row r="17" spans="1:182" x14ac:dyDescent="0.25">
      <c r="A17" t="s">
        <v>53</v>
      </c>
      <c r="B17" s="46" t="s">
        <v>197</v>
      </c>
      <c r="C17" s="47">
        <v>2026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 t="shared" si="4"/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  <c r="CQ17" s="39"/>
      <c r="CR17" s="39"/>
      <c r="CS17" s="61"/>
      <c r="CT17" s="64"/>
      <c r="CU17" s="39"/>
      <c r="CV17" s="39"/>
      <c r="CW17" s="61"/>
      <c r="CX17" s="64"/>
      <c r="CY17" s="39"/>
      <c r="CZ17" s="39"/>
      <c r="DA17" s="61"/>
      <c r="DB17" s="64"/>
      <c r="DC17" s="39"/>
      <c r="DD17" s="39"/>
      <c r="DE17" s="61"/>
      <c r="DF17" s="64"/>
      <c r="DG17" s="39"/>
      <c r="DH17" s="39"/>
      <c r="DI17" s="61"/>
      <c r="DJ17" s="64"/>
      <c r="DK17" s="39"/>
      <c r="DL17" s="39"/>
      <c r="DM17" s="61"/>
      <c r="DN17" s="64"/>
      <c r="DO17" s="39"/>
      <c r="DP17" s="39"/>
      <c r="DQ17" s="61"/>
      <c r="DR17" s="64"/>
      <c r="DS17" s="39"/>
      <c r="DT17" s="39"/>
      <c r="DU17" s="61"/>
      <c r="DV17" s="64"/>
      <c r="DW17" s="39"/>
      <c r="DX17" s="39"/>
      <c r="DY17" s="61"/>
      <c r="DZ17" s="64"/>
      <c r="EA17" s="39"/>
      <c r="EB17" s="39"/>
      <c r="EC17" s="61"/>
      <c r="ED17" s="64"/>
      <c r="EE17" s="39"/>
      <c r="EF17" s="39"/>
      <c r="EG17" s="61"/>
      <c r="EH17" s="64"/>
      <c r="EI17" s="39"/>
      <c r="EJ17" s="39"/>
      <c r="EK17" s="61"/>
      <c r="EL17" s="64"/>
      <c r="EM17" s="39"/>
      <c r="EN17" s="39"/>
      <c r="EO17" s="61"/>
      <c r="EP17" s="64"/>
      <c r="EQ17" s="39"/>
      <c r="ER17" s="39"/>
      <c r="ES17" s="61"/>
      <c r="ET17" s="64"/>
      <c r="EU17" s="39"/>
      <c r="EV17" s="39"/>
      <c r="EW17" s="61"/>
      <c r="EX17" s="64"/>
      <c r="EY17" s="39"/>
      <c r="EZ17" s="39"/>
      <c r="FA17" s="61"/>
      <c r="FB17" s="64"/>
      <c r="FC17" s="39"/>
      <c r="FD17" s="39"/>
      <c r="FE17" s="61"/>
      <c r="FF17" s="64"/>
      <c r="FG17" s="39"/>
      <c r="FH17" s="39"/>
      <c r="FI17" s="61"/>
      <c r="FJ17" s="64"/>
      <c r="FK17" s="39"/>
      <c r="FL17" s="39"/>
      <c r="FM17" s="61"/>
      <c r="FN17" s="64"/>
      <c r="FO17" s="39"/>
      <c r="FP17" s="39"/>
      <c r="FQ17" s="61"/>
      <c r="FR17" s="64"/>
      <c r="FS17" s="39"/>
      <c r="FT17" s="39"/>
      <c r="FU17" s="61"/>
      <c r="FV17" s="64"/>
      <c r="FW17" s="39"/>
      <c r="FX17" s="39"/>
      <c r="FY17" s="61"/>
      <c r="FZ17" s="64"/>
    </row>
    <row r="18" spans="1:182" x14ac:dyDescent="0.25">
      <c r="A18" t="s">
        <v>55</v>
      </c>
      <c r="B18" s="46" t="s">
        <v>197</v>
      </c>
      <c r="C18" s="47">
        <v>2027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 t="shared" si="4"/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/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  <c r="CQ18" s="39"/>
      <c r="CR18" s="39"/>
      <c r="CS18" s="61"/>
      <c r="CT18" s="64"/>
      <c r="CU18" s="39"/>
      <c r="CV18" s="39"/>
      <c r="CW18" s="61"/>
      <c r="CX18" s="64"/>
      <c r="CY18" s="39"/>
      <c r="CZ18" s="39"/>
      <c r="DA18" s="61"/>
      <c r="DB18" s="64"/>
      <c r="DC18" s="39"/>
      <c r="DD18" s="39"/>
      <c r="DE18" s="61"/>
      <c r="DF18" s="64"/>
      <c r="DG18" s="39"/>
      <c r="DH18" s="39"/>
      <c r="DI18" s="61"/>
      <c r="DJ18" s="64"/>
      <c r="DK18" s="39"/>
      <c r="DL18" s="39"/>
      <c r="DM18" s="61"/>
      <c r="DN18" s="64"/>
      <c r="DO18" s="39"/>
      <c r="DP18" s="39"/>
      <c r="DQ18" s="61"/>
      <c r="DR18" s="64"/>
      <c r="DS18" s="39"/>
      <c r="DT18" s="39"/>
      <c r="DU18" s="61"/>
      <c r="DV18" s="64"/>
      <c r="DW18" s="39"/>
      <c r="DX18" s="39"/>
      <c r="DY18" s="61"/>
      <c r="DZ18" s="64"/>
      <c r="EA18" s="39"/>
      <c r="EB18" s="39"/>
      <c r="EC18" s="61"/>
      <c r="ED18" s="64"/>
      <c r="EE18" s="39"/>
      <c r="EF18" s="39"/>
      <c r="EG18" s="61"/>
      <c r="EH18" s="64"/>
      <c r="EI18" s="39"/>
      <c r="EJ18" s="39"/>
      <c r="EK18" s="61"/>
      <c r="EL18" s="64"/>
      <c r="EM18" s="39"/>
      <c r="EN18" s="39"/>
      <c r="EO18" s="61"/>
      <c r="EP18" s="64"/>
      <c r="EQ18" s="39"/>
      <c r="ER18" s="39"/>
      <c r="ES18" s="61"/>
      <c r="ET18" s="64"/>
      <c r="EU18" s="39"/>
      <c r="EV18" s="39"/>
      <c r="EW18" s="61"/>
      <c r="EX18" s="64"/>
      <c r="EY18" s="39"/>
      <c r="EZ18" s="39"/>
      <c r="FA18" s="61"/>
      <c r="FB18" s="64"/>
      <c r="FC18" s="39"/>
      <c r="FD18" s="39"/>
      <c r="FE18" s="61"/>
      <c r="FF18" s="64"/>
      <c r="FG18" s="39"/>
      <c r="FH18" s="39"/>
      <c r="FI18" s="61"/>
      <c r="FJ18" s="64"/>
      <c r="FK18" s="39"/>
      <c r="FL18" s="39"/>
      <c r="FM18" s="61"/>
      <c r="FN18" s="64"/>
      <c r="FO18" s="39"/>
      <c r="FP18" s="39"/>
      <c r="FQ18" s="61"/>
      <c r="FR18" s="64"/>
      <c r="FS18" s="39"/>
      <c r="FT18" s="39"/>
      <c r="FU18" s="61"/>
      <c r="FV18" s="64"/>
      <c r="FW18" s="39"/>
      <c r="FX18" s="39"/>
      <c r="FY18" s="61"/>
      <c r="FZ18" s="64"/>
    </row>
    <row r="19" spans="1:182" x14ac:dyDescent="0.25">
      <c r="A19" t="s">
        <v>57</v>
      </c>
      <c r="B19" s="46" t="s">
        <v>197</v>
      </c>
      <c r="C19" s="47">
        <v>2028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 t="shared" si="4"/>
        <v>0</v>
      </c>
      <c r="I19" s="39"/>
      <c r="J19" s="63"/>
      <c r="K19" s="39"/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S19" s="39"/>
      <c r="BT19" s="39"/>
      <c r="BU19" s="61"/>
      <c r="BV19" s="64"/>
      <c r="BW19" s="39"/>
      <c r="BX19" s="39"/>
      <c r="BY19" s="61"/>
      <c r="BZ19" s="64"/>
      <c r="CA19" s="39"/>
      <c r="CB19" s="39"/>
      <c r="CC19" s="61"/>
      <c r="CD19" s="64"/>
      <c r="CE19" s="39"/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  <c r="CQ19" s="39"/>
      <c r="CR19" s="39"/>
      <c r="CS19" s="61"/>
      <c r="CT19" s="64"/>
      <c r="CU19" s="39"/>
      <c r="CV19" s="39"/>
      <c r="CW19" s="61"/>
      <c r="CX19" s="64"/>
      <c r="CY19" s="39"/>
      <c r="CZ19" s="39"/>
      <c r="DA19" s="61"/>
      <c r="DB19" s="64"/>
      <c r="DC19" s="39"/>
      <c r="DD19" s="39"/>
      <c r="DE19" s="61"/>
      <c r="DF19" s="64"/>
      <c r="DG19" s="39"/>
      <c r="DH19" s="39"/>
      <c r="DI19" s="61"/>
      <c r="DJ19" s="64"/>
      <c r="DK19" s="39"/>
      <c r="DL19" s="39"/>
      <c r="DM19" s="61"/>
      <c r="DN19" s="64"/>
      <c r="DO19" s="39"/>
      <c r="DP19" s="39"/>
      <c r="DQ19" s="61"/>
      <c r="DR19" s="64"/>
      <c r="DS19" s="39"/>
      <c r="DT19" s="39"/>
      <c r="DU19" s="61"/>
      <c r="DV19" s="64"/>
      <c r="DW19" s="39"/>
      <c r="DX19" s="39"/>
      <c r="DY19" s="61"/>
      <c r="DZ19" s="64"/>
      <c r="EA19" s="39"/>
      <c r="EB19" s="39"/>
      <c r="EC19" s="61"/>
      <c r="ED19" s="64"/>
      <c r="EE19" s="39"/>
      <c r="EF19" s="39"/>
      <c r="EG19" s="61"/>
      <c r="EH19" s="64"/>
      <c r="EI19" s="39"/>
      <c r="EJ19" s="39"/>
      <c r="EK19" s="61"/>
      <c r="EL19" s="64"/>
      <c r="EM19" s="39"/>
      <c r="EN19" s="39"/>
      <c r="EO19" s="61"/>
      <c r="EP19" s="64"/>
      <c r="EQ19" s="39"/>
      <c r="ER19" s="39"/>
      <c r="ES19" s="61"/>
      <c r="ET19" s="64"/>
      <c r="EU19" s="39"/>
      <c r="EV19" s="39"/>
      <c r="EW19" s="61"/>
      <c r="EX19" s="64"/>
      <c r="EY19" s="39"/>
      <c r="EZ19" s="39"/>
      <c r="FA19" s="61"/>
      <c r="FB19" s="64"/>
      <c r="FC19" s="39"/>
      <c r="FD19" s="39"/>
      <c r="FE19" s="61"/>
      <c r="FF19" s="64"/>
      <c r="FG19" s="39"/>
      <c r="FH19" s="39"/>
      <c r="FI19" s="61"/>
      <c r="FJ19" s="64"/>
      <c r="FK19" s="39"/>
      <c r="FL19" s="39"/>
      <c r="FM19" s="61"/>
      <c r="FN19" s="64"/>
      <c r="FO19" s="39"/>
      <c r="FP19" s="39"/>
      <c r="FQ19" s="61"/>
      <c r="FR19" s="64"/>
      <c r="FS19" s="39"/>
      <c r="FT19" s="39"/>
      <c r="FU19" s="61"/>
      <c r="FV19" s="64"/>
      <c r="FW19" s="39"/>
      <c r="FX19" s="39"/>
      <c r="FY19" s="61"/>
      <c r="FZ19" s="64"/>
    </row>
    <row r="20" spans="1:182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  <c r="CQ20" s="41"/>
      <c r="CR20" s="41"/>
      <c r="CS20" s="52"/>
      <c r="CT20" s="57"/>
      <c r="CU20" s="41"/>
      <c r="CV20" s="41"/>
      <c r="CW20" s="52"/>
      <c r="CX20" s="57"/>
      <c r="CY20" s="41"/>
      <c r="CZ20" s="41"/>
      <c r="DA20" s="52"/>
      <c r="DB20" s="57"/>
      <c r="DC20" s="41"/>
      <c r="DD20" s="41"/>
      <c r="DE20" s="52"/>
      <c r="DF20" s="57"/>
      <c r="DG20" s="41"/>
      <c r="DH20" s="41"/>
      <c r="DI20" s="52"/>
      <c r="DJ20" s="57"/>
      <c r="DK20" s="41"/>
      <c r="DL20" s="41"/>
      <c r="DM20" s="52"/>
      <c r="DN20" s="57"/>
      <c r="DO20" s="41"/>
      <c r="DP20" s="41"/>
      <c r="DQ20" s="52"/>
      <c r="DR20" s="57"/>
      <c r="DS20" s="41"/>
      <c r="DT20" s="41"/>
      <c r="DU20" s="52"/>
      <c r="DV20" s="57"/>
      <c r="DW20" s="41"/>
      <c r="DX20" s="41"/>
      <c r="DY20" s="52"/>
      <c r="DZ20" s="57"/>
      <c r="EA20" s="41"/>
      <c r="EB20" s="41"/>
      <c r="EC20" s="52"/>
      <c r="ED20" s="57"/>
      <c r="EE20" s="41"/>
      <c r="EF20" s="41"/>
      <c r="EG20" s="52"/>
      <c r="EH20" s="57"/>
      <c r="EI20" s="41"/>
      <c r="EJ20" s="41"/>
      <c r="EK20" s="52"/>
      <c r="EL20" s="57"/>
      <c r="EM20" s="41"/>
      <c r="EN20" s="41"/>
      <c r="EO20" s="52"/>
      <c r="EP20" s="57"/>
      <c r="EQ20" s="41"/>
      <c r="ER20" s="41"/>
      <c r="ES20" s="52"/>
      <c r="ET20" s="57"/>
      <c r="EU20" s="41"/>
      <c r="EV20" s="41"/>
      <c r="EW20" s="52"/>
      <c r="EX20" s="57"/>
      <c r="EY20" s="41"/>
      <c r="EZ20" s="41"/>
      <c r="FA20" s="52"/>
      <c r="FB20" s="57"/>
      <c r="FC20" s="41"/>
      <c r="FD20" s="41"/>
      <c r="FE20" s="52"/>
      <c r="FF20" s="57"/>
      <c r="FG20" s="41"/>
      <c r="FH20" s="41"/>
      <c r="FI20" s="52"/>
      <c r="FJ20" s="57"/>
      <c r="FK20" s="41"/>
      <c r="FL20" s="41"/>
      <c r="FM20" s="52"/>
      <c r="FN20" s="57"/>
      <c r="FO20" s="41"/>
      <c r="FP20" s="41"/>
      <c r="FQ20" s="52"/>
      <c r="FR20" s="57"/>
      <c r="FS20" s="41"/>
      <c r="FT20" s="41"/>
      <c r="FU20" s="52"/>
      <c r="FV20" s="57"/>
      <c r="FW20" s="41"/>
      <c r="FX20" s="41"/>
      <c r="FY20" s="52"/>
      <c r="FZ20" s="57"/>
    </row>
  </sheetData>
  <mergeCells count="48">
    <mergeCell ref="FK1:FN1"/>
    <mergeCell ref="FO1:FR1"/>
    <mergeCell ref="FS1:FV1"/>
    <mergeCell ref="FW1:FZ1"/>
    <mergeCell ref="EQ1:ET1"/>
    <mergeCell ref="EU1:EX1"/>
    <mergeCell ref="EY1:FB1"/>
    <mergeCell ref="FC1:FF1"/>
    <mergeCell ref="FG1:FJ1"/>
    <mergeCell ref="EM1:EP1"/>
    <mergeCell ref="CU1:CX1"/>
    <mergeCell ref="CY1:DB1"/>
    <mergeCell ref="DC1:DF1"/>
    <mergeCell ref="DG1:DJ1"/>
    <mergeCell ref="DK1:DN1"/>
    <mergeCell ref="DO1:DR1"/>
    <mergeCell ref="DS1:DV1"/>
    <mergeCell ref="DW1:DZ1"/>
    <mergeCell ref="EA1:ED1"/>
    <mergeCell ref="EE1:EH1"/>
    <mergeCell ref="EI1:EL1"/>
    <mergeCell ref="CQ1:CT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D1:J1"/>
    <mergeCell ref="K1:N1"/>
    <mergeCell ref="O1:R1"/>
    <mergeCell ref="S1:V1"/>
    <mergeCell ref="W1:Z1"/>
    <mergeCell ref="K2:N2"/>
    <mergeCell ref="O2:R2"/>
    <mergeCell ref="S2:V2"/>
    <mergeCell ref="W2:Z2"/>
    <mergeCell ref="AU1:AX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FZ20"/>
  <sheetViews>
    <sheetView workbookViewId="0">
      <selection activeCell="L24" sqref="L24"/>
    </sheetView>
  </sheetViews>
  <sheetFormatPr defaultRowHeight="15" x14ac:dyDescent="0.25"/>
  <sheetData>
    <row r="1" spans="1:182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258</v>
      </c>
      <c r="L1" s="121"/>
      <c r="M1" s="121"/>
      <c r="N1" s="122"/>
      <c r="O1" s="114" t="s">
        <v>304</v>
      </c>
      <c r="P1" s="115"/>
      <c r="Q1" s="115"/>
      <c r="R1" s="116"/>
      <c r="S1" s="120" t="s">
        <v>263</v>
      </c>
      <c r="T1" s="121"/>
      <c r="U1" s="121"/>
      <c r="V1" s="122"/>
      <c r="W1" s="114" t="s">
        <v>264</v>
      </c>
      <c r="X1" s="115"/>
      <c r="Y1" s="115"/>
      <c r="Z1" s="116"/>
      <c r="AA1" s="120" t="s">
        <v>265</v>
      </c>
      <c r="AB1" s="121"/>
      <c r="AC1" s="121"/>
      <c r="AD1" s="122"/>
      <c r="AE1" s="115" t="s">
        <v>266</v>
      </c>
      <c r="AF1" s="115"/>
      <c r="AG1" s="115"/>
      <c r="AH1" s="116"/>
      <c r="AI1" s="120" t="s">
        <v>267</v>
      </c>
      <c r="AJ1" s="121"/>
      <c r="AK1" s="121"/>
      <c r="AL1" s="122"/>
      <c r="AM1" s="115" t="s">
        <v>268</v>
      </c>
      <c r="AN1" s="115"/>
      <c r="AO1" s="115"/>
      <c r="AP1" s="116"/>
      <c r="AQ1" s="120" t="s">
        <v>269</v>
      </c>
      <c r="AR1" s="121"/>
      <c r="AS1" s="121"/>
      <c r="AT1" s="122"/>
      <c r="AU1" s="115" t="s">
        <v>270</v>
      </c>
      <c r="AV1" s="115"/>
      <c r="AW1" s="115"/>
      <c r="AX1" s="116"/>
      <c r="AY1" s="120" t="s">
        <v>271</v>
      </c>
      <c r="AZ1" s="121"/>
      <c r="BA1" s="121"/>
      <c r="BB1" s="122"/>
      <c r="BC1" s="115" t="s">
        <v>272</v>
      </c>
      <c r="BD1" s="115"/>
      <c r="BE1" s="115"/>
      <c r="BF1" s="116"/>
      <c r="BG1" s="120" t="s">
        <v>273</v>
      </c>
      <c r="BH1" s="121"/>
      <c r="BI1" s="121"/>
      <c r="BJ1" s="122"/>
      <c r="BK1" s="115" t="s">
        <v>274</v>
      </c>
      <c r="BL1" s="115"/>
      <c r="BM1" s="115"/>
      <c r="BN1" s="116"/>
      <c r="BO1" s="120" t="s">
        <v>275</v>
      </c>
      <c r="BP1" s="121"/>
      <c r="BQ1" s="121"/>
      <c r="BR1" s="122"/>
      <c r="BS1" s="115" t="s">
        <v>276</v>
      </c>
      <c r="BT1" s="115"/>
      <c r="BU1" s="115"/>
      <c r="BV1" s="116"/>
      <c r="BW1" s="120" t="s">
        <v>277</v>
      </c>
      <c r="BX1" s="121"/>
      <c r="BY1" s="121"/>
      <c r="BZ1" s="122"/>
      <c r="CA1" s="115" t="s">
        <v>278</v>
      </c>
      <c r="CB1" s="115"/>
      <c r="CC1" s="115"/>
      <c r="CD1" s="116"/>
      <c r="CE1" s="120" t="s">
        <v>279</v>
      </c>
      <c r="CF1" s="121"/>
      <c r="CG1" s="121"/>
      <c r="CH1" s="122"/>
      <c r="CI1" s="115" t="s">
        <v>280</v>
      </c>
      <c r="CJ1" s="115"/>
      <c r="CK1" s="115"/>
      <c r="CL1" s="116"/>
      <c r="CM1" s="120" t="s">
        <v>281</v>
      </c>
      <c r="CN1" s="121"/>
      <c r="CO1" s="121"/>
      <c r="CP1" s="122"/>
      <c r="CQ1" s="115" t="s">
        <v>282</v>
      </c>
      <c r="CR1" s="115"/>
      <c r="CS1" s="115"/>
      <c r="CT1" s="116"/>
      <c r="CU1" s="120" t="s">
        <v>283</v>
      </c>
      <c r="CV1" s="121"/>
      <c r="CW1" s="121"/>
      <c r="CX1" s="122"/>
      <c r="CY1" s="115" t="s">
        <v>284</v>
      </c>
      <c r="CZ1" s="115"/>
      <c r="DA1" s="115"/>
      <c r="DB1" s="116"/>
      <c r="DC1" s="120" t="s">
        <v>285</v>
      </c>
      <c r="DD1" s="121"/>
      <c r="DE1" s="121"/>
      <c r="DF1" s="122"/>
      <c r="DG1" s="115" t="s">
        <v>286</v>
      </c>
      <c r="DH1" s="115"/>
      <c r="DI1" s="115"/>
      <c r="DJ1" s="116"/>
      <c r="DK1" s="120" t="s">
        <v>287</v>
      </c>
      <c r="DL1" s="121"/>
      <c r="DM1" s="121"/>
      <c r="DN1" s="122"/>
      <c r="DO1" s="115" t="s">
        <v>288</v>
      </c>
      <c r="DP1" s="115"/>
      <c r="DQ1" s="115"/>
      <c r="DR1" s="116"/>
      <c r="DS1" s="120" t="s">
        <v>289</v>
      </c>
      <c r="DT1" s="121"/>
      <c r="DU1" s="121"/>
      <c r="DV1" s="122"/>
      <c r="DW1" s="115" t="s">
        <v>290</v>
      </c>
      <c r="DX1" s="115"/>
      <c r="DY1" s="115"/>
      <c r="DZ1" s="116"/>
      <c r="EA1" s="120" t="s">
        <v>291</v>
      </c>
      <c r="EB1" s="121"/>
      <c r="EC1" s="121"/>
      <c r="ED1" s="122"/>
      <c r="EE1" s="115" t="s">
        <v>292</v>
      </c>
      <c r="EF1" s="115"/>
      <c r="EG1" s="115"/>
      <c r="EH1" s="116"/>
      <c r="EI1" s="120" t="s">
        <v>293</v>
      </c>
      <c r="EJ1" s="121"/>
      <c r="EK1" s="121"/>
      <c r="EL1" s="122"/>
      <c r="EM1" s="115" t="s">
        <v>294</v>
      </c>
      <c r="EN1" s="115"/>
      <c r="EO1" s="115"/>
      <c r="EP1" s="116"/>
      <c r="EQ1" s="120" t="s">
        <v>295</v>
      </c>
      <c r="ER1" s="121"/>
      <c r="ES1" s="121"/>
      <c r="ET1" s="122"/>
      <c r="EU1" s="115" t="s">
        <v>296</v>
      </c>
      <c r="EV1" s="115"/>
      <c r="EW1" s="115"/>
      <c r="EX1" s="116"/>
      <c r="EY1" s="120" t="s">
        <v>297</v>
      </c>
      <c r="EZ1" s="121"/>
      <c r="FA1" s="121"/>
      <c r="FB1" s="122"/>
      <c r="FC1" s="115" t="s">
        <v>298</v>
      </c>
      <c r="FD1" s="115"/>
      <c r="FE1" s="115"/>
      <c r="FF1" s="116"/>
      <c r="FG1" s="120" t="s">
        <v>299</v>
      </c>
      <c r="FH1" s="121"/>
      <c r="FI1" s="121"/>
      <c r="FJ1" s="122"/>
      <c r="FK1" s="115" t="s">
        <v>300</v>
      </c>
      <c r="FL1" s="115"/>
      <c r="FM1" s="115"/>
      <c r="FN1" s="116"/>
      <c r="FO1" s="120" t="s">
        <v>301</v>
      </c>
      <c r="FP1" s="121"/>
      <c r="FQ1" s="121"/>
      <c r="FR1" s="122"/>
      <c r="FS1" s="115"/>
      <c r="FT1" s="115"/>
      <c r="FU1" s="115"/>
      <c r="FV1" s="116"/>
      <c r="FW1" s="120"/>
      <c r="FX1" s="121"/>
      <c r="FY1" s="121"/>
      <c r="FZ1" s="122"/>
    </row>
    <row r="2" spans="1:18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262</v>
      </c>
      <c r="L2" s="130"/>
      <c r="M2" s="130"/>
      <c r="N2" s="131"/>
      <c r="O2" s="123"/>
      <c r="P2" s="124"/>
      <c r="Q2" s="124"/>
      <c r="R2" s="125"/>
      <c r="S2" s="129"/>
      <c r="T2" s="130"/>
      <c r="U2" s="130"/>
      <c r="V2" s="131"/>
      <c r="W2" s="123"/>
      <c r="X2" s="124"/>
      <c r="Y2" s="124"/>
      <c r="Z2" s="12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  <c r="AU2" s="94"/>
      <c r="AV2" s="94"/>
      <c r="AW2" s="94"/>
      <c r="AX2" s="95"/>
      <c r="AY2" s="92"/>
      <c r="AZ2" s="92"/>
      <c r="BA2" s="92"/>
      <c r="BB2" s="93"/>
      <c r="BC2" s="94"/>
      <c r="BD2" s="94"/>
      <c r="BE2" s="94"/>
      <c r="BF2" s="95"/>
      <c r="BG2" s="92"/>
      <c r="BH2" s="92"/>
      <c r="BI2" s="92"/>
      <c r="BJ2" s="93"/>
      <c r="BK2" s="94"/>
      <c r="BL2" s="94"/>
      <c r="BM2" s="94"/>
      <c r="BN2" s="95"/>
      <c r="BO2" s="92"/>
      <c r="BP2" s="92"/>
      <c r="BQ2" s="92"/>
      <c r="BR2" s="93"/>
      <c r="BS2" s="94"/>
      <c r="BT2" s="94"/>
      <c r="BU2" s="94"/>
      <c r="BV2" s="95"/>
      <c r="BW2" s="92"/>
      <c r="BX2" s="92"/>
      <c r="BY2" s="92"/>
      <c r="BZ2" s="93"/>
      <c r="CA2" s="94"/>
      <c r="CB2" s="94"/>
      <c r="CC2" s="94"/>
      <c r="CD2" s="95"/>
      <c r="CE2" s="92"/>
      <c r="CF2" s="92"/>
      <c r="CG2" s="92"/>
      <c r="CH2" s="93"/>
      <c r="CI2" s="94"/>
      <c r="CJ2" s="94"/>
      <c r="CK2" s="94"/>
      <c r="CL2" s="95"/>
      <c r="CM2" s="92"/>
      <c r="CN2" s="92"/>
      <c r="CO2" s="92"/>
      <c r="CP2" s="93"/>
      <c r="CQ2" s="94"/>
      <c r="CR2" s="94"/>
      <c r="CS2" s="94"/>
      <c r="CT2" s="95"/>
      <c r="CU2" s="92"/>
      <c r="CV2" s="92"/>
      <c r="CW2" s="92"/>
      <c r="CX2" s="93"/>
      <c r="CY2" s="94"/>
      <c r="CZ2" s="94"/>
      <c r="DA2" s="94"/>
      <c r="DB2" s="95"/>
      <c r="DC2" s="92"/>
      <c r="DD2" s="92"/>
      <c r="DE2" s="92"/>
      <c r="DF2" s="93"/>
      <c r="DG2" s="94"/>
      <c r="DH2" s="94"/>
      <c r="DI2" s="94"/>
      <c r="DJ2" s="95"/>
      <c r="DK2" s="92"/>
      <c r="DL2" s="92"/>
      <c r="DM2" s="92"/>
      <c r="DN2" s="93"/>
      <c r="DO2" s="94"/>
      <c r="DP2" s="94"/>
      <c r="DQ2" s="94"/>
      <c r="DR2" s="95"/>
      <c r="DS2" s="92"/>
      <c r="DT2" s="92"/>
      <c r="DU2" s="92"/>
      <c r="DV2" s="93"/>
      <c r="DW2" s="94"/>
      <c r="DX2" s="94"/>
      <c r="DY2" s="94"/>
      <c r="DZ2" s="95"/>
      <c r="EA2" s="92"/>
      <c r="EB2" s="92"/>
      <c r="EC2" s="92"/>
      <c r="ED2" s="93"/>
      <c r="EE2" s="94"/>
      <c r="EF2" s="94"/>
      <c r="EG2" s="94"/>
      <c r="EH2" s="95"/>
      <c r="EI2" s="92"/>
      <c r="EJ2" s="92"/>
      <c r="EK2" s="92"/>
      <c r="EL2" s="93"/>
      <c r="EM2" s="94"/>
      <c r="EN2" s="94"/>
      <c r="EO2" s="94"/>
      <c r="EP2" s="95"/>
      <c r="EQ2" s="92"/>
      <c r="ER2" s="92"/>
      <c r="ES2" s="92"/>
      <c r="ET2" s="93"/>
      <c r="EU2" s="94"/>
      <c r="EV2" s="94"/>
      <c r="EW2" s="94"/>
      <c r="EX2" s="95"/>
      <c r="EY2" s="92"/>
      <c r="EZ2" s="92"/>
      <c r="FA2" s="92"/>
      <c r="FB2" s="93"/>
      <c r="FC2" s="94"/>
      <c r="FD2" s="94"/>
      <c r="FE2" s="94"/>
      <c r="FF2" s="95"/>
      <c r="FG2" s="92"/>
      <c r="FH2" s="92"/>
      <c r="FI2" s="92"/>
      <c r="FJ2" s="93"/>
      <c r="FK2" s="94"/>
      <c r="FL2" s="94"/>
      <c r="FM2" s="94"/>
      <c r="FN2" s="95"/>
      <c r="FO2" s="92"/>
      <c r="FP2" s="92"/>
      <c r="FQ2" s="92"/>
      <c r="FR2" s="93"/>
      <c r="FS2" s="94"/>
      <c r="FT2" s="94"/>
      <c r="FU2" s="94"/>
      <c r="FV2" s="95"/>
      <c r="FW2" s="92"/>
      <c r="FX2" s="92"/>
      <c r="FY2" s="92"/>
      <c r="FZ2" s="93"/>
    </row>
    <row r="3" spans="1:182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58" t="s">
        <v>123</v>
      </c>
      <c r="DD3" s="58" t="s">
        <v>124</v>
      </c>
      <c r="DE3" s="58" t="s">
        <v>125</v>
      </c>
      <c r="DF3" s="62" t="s">
        <v>126</v>
      </c>
      <c r="DG3" s="65" t="s">
        <v>123</v>
      </c>
      <c r="DH3" s="65" t="s">
        <v>124</v>
      </c>
      <c r="DI3" s="65" t="s">
        <v>125</v>
      </c>
      <c r="DJ3" s="66" t="s">
        <v>126</v>
      </c>
      <c r="DK3" s="58" t="s">
        <v>123</v>
      </c>
      <c r="DL3" s="58" t="s">
        <v>124</v>
      </c>
      <c r="DM3" s="58" t="s">
        <v>125</v>
      </c>
      <c r="DN3" s="62" t="s">
        <v>126</v>
      </c>
      <c r="DO3" s="65" t="s">
        <v>123</v>
      </c>
      <c r="DP3" s="65" t="s">
        <v>124</v>
      </c>
      <c r="DQ3" s="65" t="s">
        <v>125</v>
      </c>
      <c r="DR3" s="66" t="s">
        <v>126</v>
      </c>
      <c r="DS3" s="58" t="s">
        <v>123</v>
      </c>
      <c r="DT3" s="58" t="s">
        <v>124</v>
      </c>
      <c r="DU3" s="58" t="s">
        <v>125</v>
      </c>
      <c r="DV3" s="62" t="s">
        <v>126</v>
      </c>
      <c r="DW3" s="65" t="s">
        <v>123</v>
      </c>
      <c r="DX3" s="65" t="s">
        <v>124</v>
      </c>
      <c r="DY3" s="65" t="s">
        <v>125</v>
      </c>
      <c r="DZ3" s="66" t="s">
        <v>126</v>
      </c>
      <c r="EA3" s="58" t="s">
        <v>123</v>
      </c>
      <c r="EB3" s="58" t="s">
        <v>124</v>
      </c>
      <c r="EC3" s="58" t="s">
        <v>125</v>
      </c>
      <c r="ED3" s="62" t="s">
        <v>126</v>
      </c>
      <c r="EE3" s="65" t="s">
        <v>123</v>
      </c>
      <c r="EF3" s="65" t="s">
        <v>124</v>
      </c>
      <c r="EG3" s="65" t="s">
        <v>125</v>
      </c>
      <c r="EH3" s="66" t="s">
        <v>126</v>
      </c>
      <c r="EI3" s="58" t="s">
        <v>123</v>
      </c>
      <c r="EJ3" s="58" t="s">
        <v>124</v>
      </c>
      <c r="EK3" s="58" t="s">
        <v>125</v>
      </c>
      <c r="EL3" s="62" t="s">
        <v>126</v>
      </c>
      <c r="EM3" s="65" t="s">
        <v>123</v>
      </c>
      <c r="EN3" s="65" t="s">
        <v>124</v>
      </c>
      <c r="EO3" s="65" t="s">
        <v>125</v>
      </c>
      <c r="EP3" s="66" t="s">
        <v>126</v>
      </c>
      <c r="EQ3" s="58" t="s">
        <v>123</v>
      </c>
      <c r="ER3" s="58" t="s">
        <v>124</v>
      </c>
      <c r="ES3" s="58" t="s">
        <v>125</v>
      </c>
      <c r="ET3" s="62" t="s">
        <v>126</v>
      </c>
      <c r="EU3" s="65" t="s">
        <v>123</v>
      </c>
      <c r="EV3" s="65" t="s">
        <v>124</v>
      </c>
      <c r="EW3" s="65" t="s">
        <v>125</v>
      </c>
      <c r="EX3" s="66" t="s">
        <v>126</v>
      </c>
      <c r="EY3" s="58" t="s">
        <v>123</v>
      </c>
      <c r="EZ3" s="58" t="s">
        <v>124</v>
      </c>
      <c r="FA3" s="58" t="s">
        <v>125</v>
      </c>
      <c r="FB3" s="62" t="s">
        <v>126</v>
      </c>
      <c r="FC3" s="65" t="s">
        <v>123</v>
      </c>
      <c r="FD3" s="65" t="s">
        <v>124</v>
      </c>
      <c r="FE3" s="65" t="s">
        <v>125</v>
      </c>
      <c r="FF3" s="66" t="s">
        <v>126</v>
      </c>
      <c r="FG3" s="58" t="s">
        <v>123</v>
      </c>
      <c r="FH3" s="58" t="s">
        <v>124</v>
      </c>
      <c r="FI3" s="58" t="s">
        <v>125</v>
      </c>
      <c r="FJ3" s="62" t="s">
        <v>126</v>
      </c>
      <c r="FK3" s="65" t="s">
        <v>123</v>
      </c>
      <c r="FL3" s="65" t="s">
        <v>124</v>
      </c>
      <c r="FM3" s="65" t="s">
        <v>125</v>
      </c>
      <c r="FN3" s="66" t="s">
        <v>126</v>
      </c>
      <c r="FO3" s="58" t="s">
        <v>123</v>
      </c>
      <c r="FP3" s="58" t="s">
        <v>124</v>
      </c>
      <c r="FQ3" s="58" t="s">
        <v>125</v>
      </c>
      <c r="FR3" s="62" t="s">
        <v>126</v>
      </c>
      <c r="FS3" s="65" t="s">
        <v>123</v>
      </c>
      <c r="FT3" s="65" t="s">
        <v>124</v>
      </c>
      <c r="FU3" s="65" t="s">
        <v>125</v>
      </c>
      <c r="FV3" s="66" t="s">
        <v>126</v>
      </c>
      <c r="FW3" s="58" t="s">
        <v>123</v>
      </c>
      <c r="FX3" s="58" t="s">
        <v>124</v>
      </c>
      <c r="FY3" s="58" t="s">
        <v>125</v>
      </c>
      <c r="FZ3" s="62" t="s">
        <v>126</v>
      </c>
    </row>
    <row r="4" spans="1:18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  <c r="DG4" s="39"/>
      <c r="DH4" s="39"/>
      <c r="DI4" s="39"/>
      <c r="DJ4" s="63"/>
      <c r="DK4" s="39"/>
      <c r="DL4" s="39"/>
      <c r="DM4" s="39"/>
      <c r="DN4" s="63"/>
      <c r="DO4" s="39"/>
      <c r="DP4" s="39"/>
      <c r="DQ4" s="39"/>
      <c r="DR4" s="63"/>
      <c r="DS4" s="39"/>
      <c r="DT4" s="39"/>
      <c r="DU4" s="39"/>
      <c r="DV4" s="63"/>
      <c r="DW4" s="39"/>
      <c r="DX4" s="39"/>
      <c r="DY4" s="39"/>
      <c r="DZ4" s="63"/>
      <c r="EA4" s="39"/>
      <c r="EB4" s="39"/>
      <c r="EC4" s="39"/>
      <c r="ED4" s="63"/>
      <c r="EE4" s="39"/>
      <c r="EF4" s="39"/>
      <c r="EG4" s="39"/>
      <c r="EH4" s="63"/>
      <c r="EI4" s="39"/>
      <c r="EJ4" s="39"/>
      <c r="EK4" s="39"/>
      <c r="EL4" s="63"/>
      <c r="EM4" s="39"/>
      <c r="EN4" s="39"/>
      <c r="EO4" s="39"/>
      <c r="EP4" s="63"/>
      <c r="EQ4" s="39"/>
      <c r="ER4" s="39"/>
      <c r="ES4" s="39"/>
      <c r="ET4" s="63"/>
      <c r="EU4" s="39"/>
      <c r="EV4" s="39"/>
      <c r="EW4" s="39"/>
      <c r="EX4" s="63"/>
      <c r="EY4" s="39"/>
      <c r="EZ4" s="39"/>
      <c r="FA4" s="39"/>
      <c r="FB4" s="63"/>
      <c r="FC4" s="39"/>
      <c r="FD4" s="39"/>
      <c r="FE4" s="39"/>
      <c r="FF4" s="63"/>
      <c r="FG4" s="39"/>
      <c r="FH4" s="39"/>
      <c r="FI4" s="39"/>
      <c r="FJ4" s="63"/>
      <c r="FK4" s="39"/>
      <c r="FL4" s="39"/>
      <c r="FM4" s="39"/>
      <c r="FN4" s="63"/>
      <c r="FO4" s="39"/>
      <c r="FP4" s="39"/>
      <c r="FQ4" s="39"/>
      <c r="FR4" s="63"/>
      <c r="FS4" s="39"/>
      <c r="FT4" s="39"/>
      <c r="FU4" s="39"/>
      <c r="FV4" s="63"/>
      <c r="FW4" s="39"/>
      <c r="FX4" s="39"/>
      <c r="FY4" s="39"/>
      <c r="FZ4" s="63"/>
    </row>
    <row r="5" spans="1:182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AVERAGE(K5,O5,S5,W5,AA5,AE5,AI5,AM5,AQ5,AU5,AY5,BC5,BG5,BK5,BO5,BS5,BW5,CA5,CE5,CI5,CM5,CQ5,CU5,CY5,DC5,DG5,DK5,DO5,DS5,DW5,EA5,EE5,EI5,EM5,EQ5,EU5,EY5,FC5,FG5,FK5,FO5,FS5,FW5)</f>
        <v>740</v>
      </c>
      <c r="E5" s="73">
        <f>MEDIAN(K5,O5,S5,W5,AA5,AE5,AI5,AM5,AQ5,AU5,AY5,BC5,BG5,BK5,BO5,BS5,BW5,CA5,CE5,CI5,CM5,CQ5,CU5,CY5,DC5,DG5,DK5,DO5,DS5,DW5,EA5,EE5,EI5,EM5,EQ5,EU5,EY5,FC5,FG5,FK5,FO5,FS5,FW5)</f>
        <v>740</v>
      </c>
      <c r="F5" s="73">
        <f>MIN(K5,O5,S5,W5,AA5,AE5,AI5,AM5,AQ5,AU5,AY5,BC5,BG5,BK5,BO5,BS5,BW5,CA5,CE5,CI5,CM5,CQ5,CU5,CY5,DC5,DG5,DK5,DO5,DS5,DW5,EA5,EE5,EI5,EM5,EQ5,EU5,EY5,FC5,FG5,FK5,FO5,FS5,FW5)</f>
        <v>740</v>
      </c>
      <c r="G5" s="73">
        <f>MAX(K5,O5,S5,W5,AA5,AE5,AI5,AM5,AQ5,AU5,AY5,BC5,BG5,BK5,BO5,BS5,BW5,CA5,CE5,CI5,CM5,CQ5,CU5,CY5,DC5,DG5,DK5,DO5,DS5,DW5,EA5,EE5,EI5,EM5,EQ5,EU5,EY5,FC5,FG5,FK5,FO5,FS5,FW5)</f>
        <v>740</v>
      </c>
      <c r="H5" s="39">
        <f>COUNT(K5,O5,S5,W5,AA5,AE5,AI5,AM5,AQ5,AU5,AY5,BC5,BG5,BK5,BO5,BS5,BW5,CA5,CE5,CE5,CI5,CM5,CQ5,CU5,CY5,DC5,DG5,DK5,DO5,DS5,DW5,EA5,EE5,EI5,EM5,EQ5,EU5,EY5,FC5,FG5,FK5,FO5,FS5,FW5)</f>
        <v>1</v>
      </c>
      <c r="I5" s="39"/>
      <c r="J5" s="63"/>
      <c r="K5" s="39">
        <v>740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  <c r="CQ5" s="39"/>
      <c r="CR5" s="39"/>
      <c r="CS5" s="61"/>
      <c r="CT5" s="64"/>
      <c r="CU5" s="39"/>
      <c r="CV5" s="39"/>
      <c r="CW5" s="61"/>
      <c r="CX5" s="64"/>
      <c r="CY5" s="39"/>
      <c r="CZ5" s="39"/>
      <c r="DA5" s="61"/>
      <c r="DB5" s="64"/>
      <c r="DC5" s="39"/>
      <c r="DD5" s="39"/>
      <c r="DE5" s="61"/>
      <c r="DF5" s="64"/>
      <c r="DG5" s="39"/>
      <c r="DH5" s="39"/>
      <c r="DI5" s="61"/>
      <c r="DJ5" s="64"/>
      <c r="DK5" s="39"/>
      <c r="DL5" s="39"/>
      <c r="DM5" s="61"/>
      <c r="DN5" s="64"/>
      <c r="DO5" s="39"/>
      <c r="DP5" s="39"/>
      <c r="DQ5" s="61"/>
      <c r="DR5" s="64"/>
      <c r="DS5" s="39"/>
      <c r="DT5" s="39"/>
      <c r="DU5" s="61"/>
      <c r="DV5" s="64"/>
      <c r="DW5" s="39"/>
      <c r="DX5" s="39"/>
      <c r="DY5" s="61"/>
      <c r="DZ5" s="64"/>
      <c r="EA5" s="39"/>
      <c r="EB5" s="39"/>
      <c r="EC5" s="61"/>
      <c r="ED5" s="64"/>
      <c r="EE5" s="39"/>
      <c r="EF5" s="39"/>
      <c r="EG5" s="61"/>
      <c r="EH5" s="64"/>
      <c r="EI5" s="39"/>
      <c r="EJ5" s="39"/>
      <c r="EK5" s="61"/>
      <c r="EL5" s="64"/>
      <c r="EM5" s="39"/>
      <c r="EN5" s="39"/>
      <c r="EO5" s="61"/>
      <c r="EP5" s="64"/>
      <c r="EQ5" s="39"/>
      <c r="ER5" s="39"/>
      <c r="ES5" s="61"/>
      <c r="ET5" s="64"/>
      <c r="EU5" s="39"/>
      <c r="EV5" s="39"/>
      <c r="EW5" s="61"/>
      <c r="EX5" s="64"/>
      <c r="EY5" s="39"/>
      <c r="EZ5" s="39"/>
      <c r="FA5" s="61"/>
      <c r="FB5" s="64"/>
      <c r="FC5" s="39"/>
      <c r="FD5" s="39"/>
      <c r="FE5" s="61"/>
      <c r="FF5" s="64"/>
      <c r="FG5" s="39"/>
      <c r="FH5" s="39"/>
      <c r="FI5" s="61"/>
      <c r="FJ5" s="64"/>
      <c r="FK5" s="39"/>
      <c r="FL5" s="39"/>
      <c r="FM5" s="61"/>
      <c r="FN5" s="64"/>
      <c r="FO5" s="39"/>
      <c r="FP5" s="39"/>
      <c r="FQ5" s="61"/>
      <c r="FR5" s="64"/>
      <c r="FS5" s="39"/>
      <c r="FT5" s="39"/>
      <c r="FU5" s="61"/>
      <c r="FV5" s="64"/>
      <c r="FW5" s="39"/>
      <c r="FX5" s="39"/>
      <c r="FY5" s="61"/>
      <c r="FZ5" s="64"/>
    </row>
    <row r="6" spans="1:182" x14ac:dyDescent="0.25">
      <c r="A6" t="s">
        <v>12</v>
      </c>
      <c r="B6" s="46" t="s">
        <v>197</v>
      </c>
      <c r="C6" s="47">
        <v>2020</v>
      </c>
      <c r="D6" s="73">
        <f t="shared" ref="D6:D19" si="0">AVERAGE(K6,O6,S6,W6,AA6,AE6,AI6,AM6,AQ6,AU6,AY6,BC6,BG6,BK6,BO6,BS6,BW6,CA6,CE6,CI6,CM6,CQ6,CU6,CY6,DC6,DG6,DK6,DO6,DS6,DW6,EA6,EE6,EI6,EM6,EQ6,EU6,EY6,FC6,FG6,FK6,FO6,FS6,FW6)</f>
        <v>2200</v>
      </c>
      <c r="E6" s="73">
        <f t="shared" ref="E6:E19" si="1">MEDIAN(K6,O6,S6,W6,AA6,AE6,AI6,AM6,AQ6,AU6,AY6,BC6,BG6,BK6,BO6,BS6,BW6,CA6,CE6,CI6,CM6,CQ6,CU6,CY6,DC6,DG6,DK6,DO6,DS6,DW6,EA6,EE6,EI6,EM6,EQ6,EU6,EY6,FC6,FG6,FK6,FO6,FS6,FW6)</f>
        <v>2200</v>
      </c>
      <c r="F6" s="73">
        <f t="shared" ref="F6:F19" si="2">MIN(K6,O6,S6,W6,AA6,AE6,AI6,AM6,AQ6,AU6,AY6,BC6,BG6,BK6,BO6,BS6,BW6,CA6,CE6,CI6,CM6,CQ6,CU6,CY6,DC6,DG6,DK6,DO6,DS6,DW6,EA6,EE6,EI6,EM6,EQ6,EU6,EY6,FC6,FG6,FK6,FO6,FS6,FW6)</f>
        <v>2200</v>
      </c>
      <c r="G6" s="73">
        <f t="shared" ref="G6:G19" si="3">MAX(K6,O6,S6,W6,AA6,AE6,AI6,AM6,AQ6,AU6,AY6,BC6,BG6,BK6,BO6,BS6,BW6,CA6,CE6,CI6,CM6,CQ6,CU6,CY6,DC6,DG6,DK6,DO6,DS6,DW6,EA6,EE6,EI6,EM6,EQ6,EU6,EY6,FC6,FG6,FK6,FO6,FS6,FW6)</f>
        <v>2200</v>
      </c>
      <c r="H6" s="39">
        <f t="shared" ref="H6:H19" si="4">COUNT(K6,O6,S6,W6,AA6,AE6,AI6,AM6,AQ6,AU6,AY6,BC6,BG6,BK6,BO6,BS6,BW6,CA6,CE6,CE6,CI6,CM6,CQ6,CU6,CY6,DC6,DG6,DK6,DO6,DS6,DW6,EA6,EE6,EI6,EM6,EQ6,EU6,EY6,FC6,FG6,FK6,FO6,FS6,FW6)</f>
        <v>1</v>
      </c>
      <c r="I6" s="39"/>
      <c r="J6" s="63"/>
      <c r="K6" s="39">
        <v>2200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  <c r="CQ6" s="39"/>
      <c r="CR6" s="39"/>
      <c r="CS6" s="61"/>
      <c r="CT6" s="64"/>
      <c r="CU6" s="39"/>
      <c r="CV6" s="39"/>
      <c r="CW6" s="61"/>
      <c r="CX6" s="64"/>
      <c r="CY6" s="39"/>
      <c r="CZ6" s="39"/>
      <c r="DA6" s="61"/>
      <c r="DB6" s="64"/>
      <c r="DC6" s="39"/>
      <c r="DD6" s="39"/>
      <c r="DE6" s="61"/>
      <c r="DF6" s="64"/>
      <c r="DG6" s="39"/>
      <c r="DH6" s="39"/>
      <c r="DI6" s="61"/>
      <c r="DJ6" s="64"/>
      <c r="DK6" s="39"/>
      <c r="DL6" s="39"/>
      <c r="DM6" s="61"/>
      <c r="DN6" s="64"/>
      <c r="DO6" s="39"/>
      <c r="DP6" s="39"/>
      <c r="DQ6" s="61"/>
      <c r="DR6" s="64"/>
      <c r="DS6" s="39"/>
      <c r="DT6" s="39"/>
      <c r="DU6" s="61"/>
      <c r="DV6" s="64"/>
      <c r="DW6" s="39"/>
      <c r="DX6" s="39"/>
      <c r="DY6" s="61"/>
      <c r="DZ6" s="64"/>
      <c r="EA6" s="39"/>
      <c r="EB6" s="39"/>
      <c r="EC6" s="61"/>
      <c r="ED6" s="64"/>
      <c r="EE6" s="39"/>
      <c r="EF6" s="39"/>
      <c r="EG6" s="61"/>
      <c r="EH6" s="64"/>
      <c r="EI6" s="39"/>
      <c r="EJ6" s="39"/>
      <c r="EK6" s="61"/>
      <c r="EL6" s="64"/>
      <c r="EM6" s="39"/>
      <c r="EN6" s="39"/>
      <c r="EO6" s="61"/>
      <c r="EP6" s="64"/>
      <c r="EQ6" s="39"/>
      <c r="ER6" s="39"/>
      <c r="ES6" s="61"/>
      <c r="ET6" s="64"/>
      <c r="EU6" s="39"/>
      <c r="EV6" s="39"/>
      <c r="EW6" s="61"/>
      <c r="EX6" s="64"/>
      <c r="EY6" s="39"/>
      <c r="EZ6" s="39"/>
      <c r="FA6" s="61"/>
      <c r="FB6" s="64"/>
      <c r="FC6" s="39"/>
      <c r="FD6" s="39"/>
      <c r="FE6" s="61"/>
      <c r="FF6" s="64"/>
      <c r="FG6" s="39"/>
      <c r="FH6" s="39"/>
      <c r="FI6" s="61"/>
      <c r="FJ6" s="64"/>
      <c r="FK6" s="39"/>
      <c r="FL6" s="39"/>
      <c r="FM6" s="61"/>
      <c r="FN6" s="64"/>
      <c r="FO6" s="39"/>
      <c r="FP6" s="39"/>
      <c r="FQ6" s="61"/>
      <c r="FR6" s="64"/>
      <c r="FS6" s="39"/>
      <c r="FT6" s="39"/>
      <c r="FU6" s="61"/>
      <c r="FV6" s="64"/>
      <c r="FW6" s="39"/>
      <c r="FX6" s="39"/>
      <c r="FY6" s="61"/>
      <c r="FZ6" s="64"/>
    </row>
    <row r="7" spans="1:182" x14ac:dyDescent="0.25">
      <c r="A7" t="s">
        <v>15</v>
      </c>
      <c r="B7" s="46" t="s">
        <v>197</v>
      </c>
      <c r="C7" s="47">
        <v>2020</v>
      </c>
      <c r="D7" s="73">
        <f t="shared" si="0"/>
        <v>3200</v>
      </c>
      <c r="E7" s="73">
        <f t="shared" si="1"/>
        <v>3200</v>
      </c>
      <c r="F7" s="73">
        <f t="shared" si="2"/>
        <v>3200</v>
      </c>
      <c r="G7" s="73">
        <f t="shared" si="3"/>
        <v>3200</v>
      </c>
      <c r="H7" s="39">
        <f t="shared" si="4"/>
        <v>1</v>
      </c>
      <c r="I7" s="39"/>
      <c r="J7" s="63"/>
      <c r="K7" s="39">
        <v>3200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  <c r="CQ7" s="39"/>
      <c r="CR7" s="39"/>
      <c r="CS7" s="61"/>
      <c r="CT7" s="64"/>
      <c r="CU7" s="39"/>
      <c r="CV7" s="39"/>
      <c r="CW7" s="61"/>
      <c r="CX7" s="64"/>
      <c r="CY7" s="39"/>
      <c r="CZ7" s="39"/>
      <c r="DA7" s="61"/>
      <c r="DB7" s="64"/>
      <c r="DC7" s="39"/>
      <c r="DD7" s="39"/>
      <c r="DE7" s="61"/>
      <c r="DF7" s="64"/>
      <c r="DG7" s="39"/>
      <c r="DH7" s="39"/>
      <c r="DI7" s="61"/>
      <c r="DJ7" s="64"/>
      <c r="DK7" s="39"/>
      <c r="DL7" s="39"/>
      <c r="DM7" s="61"/>
      <c r="DN7" s="64"/>
      <c r="DO7" s="39"/>
      <c r="DP7" s="39"/>
      <c r="DQ7" s="61"/>
      <c r="DR7" s="64"/>
      <c r="DS7" s="39"/>
      <c r="DT7" s="39"/>
      <c r="DU7" s="61"/>
      <c r="DV7" s="64"/>
      <c r="DW7" s="39"/>
      <c r="DX7" s="39"/>
      <c r="DY7" s="61"/>
      <c r="DZ7" s="64"/>
      <c r="EA7" s="39"/>
      <c r="EB7" s="39"/>
      <c r="EC7" s="61"/>
      <c r="ED7" s="64"/>
      <c r="EE7" s="39"/>
      <c r="EF7" s="39"/>
      <c r="EG7" s="61"/>
      <c r="EH7" s="64"/>
      <c r="EI7" s="39"/>
      <c r="EJ7" s="39"/>
      <c r="EK7" s="61"/>
      <c r="EL7" s="64"/>
      <c r="EM7" s="39"/>
      <c r="EN7" s="39"/>
      <c r="EO7" s="61"/>
      <c r="EP7" s="64"/>
      <c r="EQ7" s="39"/>
      <c r="ER7" s="39"/>
      <c r="ES7" s="61"/>
      <c r="ET7" s="64"/>
      <c r="EU7" s="39"/>
      <c r="EV7" s="39"/>
      <c r="EW7" s="61"/>
      <c r="EX7" s="64"/>
      <c r="EY7" s="39"/>
      <c r="EZ7" s="39"/>
      <c r="FA7" s="61"/>
      <c r="FB7" s="64"/>
      <c r="FC7" s="39"/>
      <c r="FD7" s="39"/>
      <c r="FE7" s="61"/>
      <c r="FF7" s="64"/>
      <c r="FG7" s="39"/>
      <c r="FH7" s="39"/>
      <c r="FI7" s="61"/>
      <c r="FJ7" s="64"/>
      <c r="FK7" s="39"/>
      <c r="FL7" s="39"/>
      <c r="FM7" s="61"/>
      <c r="FN7" s="64"/>
      <c r="FO7" s="39"/>
      <c r="FP7" s="39"/>
      <c r="FQ7" s="61"/>
      <c r="FR7" s="64"/>
      <c r="FS7" s="39"/>
      <c r="FT7" s="39"/>
      <c r="FU7" s="61"/>
      <c r="FV7" s="64"/>
      <c r="FW7" s="39"/>
      <c r="FX7" s="39"/>
      <c r="FY7" s="61"/>
      <c r="FZ7" s="64"/>
    </row>
    <row r="8" spans="1:182" x14ac:dyDescent="0.25">
      <c r="A8" t="s">
        <v>27</v>
      </c>
      <c r="B8" s="46" t="s">
        <v>197</v>
      </c>
      <c r="C8" s="47">
        <v>2021</v>
      </c>
      <c r="D8" s="73">
        <f t="shared" si="0"/>
        <v>650000</v>
      </c>
      <c r="E8" s="73">
        <f t="shared" si="1"/>
        <v>650000</v>
      </c>
      <c r="F8" s="73">
        <f t="shared" si="2"/>
        <v>650000</v>
      </c>
      <c r="G8" s="73">
        <f t="shared" si="3"/>
        <v>650000</v>
      </c>
      <c r="H8" s="39">
        <f t="shared" si="4"/>
        <v>1</v>
      </c>
      <c r="I8" s="39"/>
      <c r="J8" s="63"/>
      <c r="K8" s="39">
        <v>650000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  <c r="CQ8" s="39"/>
      <c r="CR8" s="39"/>
      <c r="CS8" s="61"/>
      <c r="CT8" s="64"/>
      <c r="CU8" s="39"/>
      <c r="CV8" s="39"/>
      <c r="CW8" s="61"/>
      <c r="CX8" s="64"/>
      <c r="CY8" s="39"/>
      <c r="CZ8" s="39"/>
      <c r="DA8" s="61"/>
      <c r="DB8" s="64"/>
      <c r="DC8" s="39"/>
      <c r="DD8" s="39"/>
      <c r="DE8" s="61"/>
      <c r="DF8" s="64"/>
      <c r="DG8" s="39"/>
      <c r="DH8" s="39"/>
      <c r="DI8" s="61"/>
      <c r="DJ8" s="64"/>
      <c r="DK8" s="39"/>
      <c r="DL8" s="39"/>
      <c r="DM8" s="61"/>
      <c r="DN8" s="64"/>
      <c r="DO8" s="39"/>
      <c r="DP8" s="39"/>
      <c r="DQ8" s="61"/>
      <c r="DR8" s="64"/>
      <c r="DS8" s="39"/>
      <c r="DT8" s="39"/>
      <c r="DU8" s="61"/>
      <c r="DV8" s="64"/>
      <c r="DW8" s="39"/>
      <c r="DX8" s="39"/>
      <c r="DY8" s="61"/>
      <c r="DZ8" s="64"/>
      <c r="EA8" s="39"/>
      <c r="EB8" s="39"/>
      <c r="EC8" s="61"/>
      <c r="ED8" s="64"/>
      <c r="EE8" s="39"/>
      <c r="EF8" s="39"/>
      <c r="EG8" s="61"/>
      <c r="EH8" s="64"/>
      <c r="EI8" s="39"/>
      <c r="EJ8" s="39"/>
      <c r="EK8" s="61"/>
      <c r="EL8" s="64"/>
      <c r="EM8" s="39"/>
      <c r="EN8" s="39"/>
      <c r="EO8" s="61"/>
      <c r="EP8" s="64"/>
      <c r="EQ8" s="39"/>
      <c r="ER8" s="39"/>
      <c r="ES8" s="61"/>
      <c r="ET8" s="64"/>
      <c r="EU8" s="39"/>
      <c r="EV8" s="39"/>
      <c r="EW8" s="61"/>
      <c r="EX8" s="64"/>
      <c r="EY8" s="39"/>
      <c r="EZ8" s="39"/>
      <c r="FA8" s="61"/>
      <c r="FB8" s="64"/>
      <c r="FC8" s="39"/>
      <c r="FD8" s="39"/>
      <c r="FE8" s="61"/>
      <c r="FF8" s="64"/>
      <c r="FG8" s="39"/>
      <c r="FH8" s="39"/>
      <c r="FI8" s="61"/>
      <c r="FJ8" s="64"/>
      <c r="FK8" s="39"/>
      <c r="FL8" s="39"/>
      <c r="FM8" s="61"/>
      <c r="FN8" s="64"/>
      <c r="FO8" s="39"/>
      <c r="FP8" s="39"/>
      <c r="FQ8" s="61"/>
      <c r="FR8" s="64"/>
      <c r="FS8" s="39"/>
      <c r="FT8" s="39"/>
      <c r="FU8" s="61"/>
      <c r="FV8" s="64"/>
      <c r="FW8" s="39"/>
      <c r="FX8" s="39"/>
      <c r="FY8" s="61"/>
      <c r="FZ8" s="64"/>
    </row>
    <row r="9" spans="1:182" x14ac:dyDescent="0.25">
      <c r="A9" t="s">
        <v>32</v>
      </c>
      <c r="B9" s="46" t="s">
        <v>197</v>
      </c>
      <c r="C9" s="47">
        <v>2020</v>
      </c>
      <c r="D9" s="73">
        <f t="shared" si="0"/>
        <v>3000</v>
      </c>
      <c r="E9" s="73">
        <f t="shared" si="1"/>
        <v>3000</v>
      </c>
      <c r="F9" s="73">
        <f t="shared" si="2"/>
        <v>3000</v>
      </c>
      <c r="G9" s="73">
        <f t="shared" si="3"/>
        <v>3000</v>
      </c>
      <c r="H9" s="39">
        <f t="shared" si="4"/>
        <v>1</v>
      </c>
      <c r="I9" s="39"/>
      <c r="J9" s="63"/>
      <c r="K9" s="39">
        <v>3000</v>
      </c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  <c r="CQ9" s="39"/>
      <c r="CR9" s="39"/>
      <c r="CS9" s="61"/>
      <c r="CT9" s="64"/>
      <c r="CU9" s="39"/>
      <c r="CV9" s="39"/>
      <c r="CW9" s="61"/>
      <c r="CX9" s="64"/>
      <c r="CY9" s="39"/>
      <c r="CZ9" s="39"/>
      <c r="DA9" s="61"/>
      <c r="DB9" s="64"/>
      <c r="DC9" s="39"/>
      <c r="DD9" s="39"/>
      <c r="DE9" s="61"/>
      <c r="DF9" s="64"/>
      <c r="DG9" s="39"/>
      <c r="DH9" s="39"/>
      <c r="DI9" s="61"/>
      <c r="DJ9" s="64"/>
      <c r="DK9" s="39"/>
      <c r="DL9" s="39"/>
      <c r="DM9" s="61"/>
      <c r="DN9" s="64"/>
      <c r="DO9" s="39"/>
      <c r="DP9" s="39"/>
      <c r="DQ9" s="61"/>
      <c r="DR9" s="64"/>
      <c r="DS9" s="39"/>
      <c r="DT9" s="39"/>
      <c r="DU9" s="61"/>
      <c r="DV9" s="64"/>
      <c r="DW9" s="39"/>
      <c r="DX9" s="39"/>
      <c r="DY9" s="61"/>
      <c r="DZ9" s="64"/>
      <c r="EA9" s="39"/>
      <c r="EB9" s="39"/>
      <c r="EC9" s="61"/>
      <c r="ED9" s="64"/>
      <c r="EE9" s="39"/>
      <c r="EF9" s="39"/>
      <c r="EG9" s="61"/>
      <c r="EH9" s="64"/>
      <c r="EI9" s="39"/>
      <c r="EJ9" s="39"/>
      <c r="EK9" s="61"/>
      <c r="EL9" s="64"/>
      <c r="EM9" s="39"/>
      <c r="EN9" s="39"/>
      <c r="EO9" s="61"/>
      <c r="EP9" s="64"/>
      <c r="EQ9" s="39"/>
      <c r="ER9" s="39"/>
      <c r="ES9" s="61"/>
      <c r="ET9" s="64"/>
      <c r="EU9" s="39"/>
      <c r="EV9" s="39"/>
      <c r="EW9" s="61"/>
      <c r="EX9" s="64"/>
      <c r="EY9" s="39"/>
      <c r="EZ9" s="39"/>
      <c r="FA9" s="61"/>
      <c r="FB9" s="64"/>
      <c r="FC9" s="39"/>
      <c r="FD9" s="39"/>
      <c r="FE9" s="61"/>
      <c r="FF9" s="64"/>
      <c r="FG9" s="39"/>
      <c r="FH9" s="39"/>
      <c r="FI9" s="61"/>
      <c r="FJ9" s="64"/>
      <c r="FK9" s="39"/>
      <c r="FL9" s="39"/>
      <c r="FM9" s="61"/>
      <c r="FN9" s="64"/>
      <c r="FO9" s="39"/>
      <c r="FP9" s="39"/>
      <c r="FQ9" s="61"/>
      <c r="FR9" s="64"/>
      <c r="FS9" s="39"/>
      <c r="FT9" s="39"/>
      <c r="FU9" s="61"/>
      <c r="FV9" s="64"/>
      <c r="FW9" s="39"/>
      <c r="FX9" s="39"/>
      <c r="FY9" s="61"/>
      <c r="FZ9" s="64"/>
    </row>
    <row r="10" spans="1:182" x14ac:dyDescent="0.25">
      <c r="A10" t="s">
        <v>33</v>
      </c>
      <c r="B10" s="46" t="s">
        <v>197</v>
      </c>
      <c r="C10" s="47">
        <v>2020</v>
      </c>
      <c r="D10" s="73">
        <f t="shared" si="0"/>
        <v>2000</v>
      </c>
      <c r="E10" s="73">
        <f t="shared" si="1"/>
        <v>2000</v>
      </c>
      <c r="F10" s="73">
        <f t="shared" si="2"/>
        <v>2000</v>
      </c>
      <c r="G10" s="73">
        <f t="shared" si="3"/>
        <v>2000</v>
      </c>
      <c r="H10" s="39">
        <f t="shared" si="4"/>
        <v>1</v>
      </c>
      <c r="I10" s="39"/>
      <c r="J10" s="63"/>
      <c r="K10" s="39">
        <v>2000</v>
      </c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  <c r="CQ10" s="39"/>
      <c r="CR10" s="39"/>
      <c r="CS10" s="61"/>
      <c r="CT10" s="64"/>
      <c r="CU10" s="39"/>
      <c r="CV10" s="39"/>
      <c r="CW10" s="61"/>
      <c r="CX10" s="64"/>
      <c r="CY10" s="39"/>
      <c r="CZ10" s="39"/>
      <c r="DA10" s="61"/>
      <c r="DB10" s="64"/>
      <c r="DC10" s="39"/>
      <c r="DD10" s="39"/>
      <c r="DE10" s="61"/>
      <c r="DF10" s="64"/>
      <c r="DG10" s="39"/>
      <c r="DH10" s="39"/>
      <c r="DI10" s="61"/>
      <c r="DJ10" s="64"/>
      <c r="DK10" s="39"/>
      <c r="DL10" s="39"/>
      <c r="DM10" s="61"/>
      <c r="DN10" s="64"/>
      <c r="DO10" s="39"/>
      <c r="DP10" s="39"/>
      <c r="DQ10" s="61"/>
      <c r="DR10" s="64"/>
      <c r="DS10" s="39"/>
      <c r="DT10" s="39"/>
      <c r="DU10" s="61"/>
      <c r="DV10" s="64"/>
      <c r="DW10" s="39"/>
      <c r="DX10" s="39"/>
      <c r="DY10" s="61"/>
      <c r="DZ10" s="64"/>
      <c r="EA10" s="39"/>
      <c r="EB10" s="39"/>
      <c r="EC10" s="61"/>
      <c r="ED10" s="64"/>
      <c r="EE10" s="39"/>
      <c r="EF10" s="39"/>
      <c r="EG10" s="61"/>
      <c r="EH10" s="64"/>
      <c r="EI10" s="39"/>
      <c r="EJ10" s="39"/>
      <c r="EK10" s="61"/>
      <c r="EL10" s="64"/>
      <c r="EM10" s="39"/>
      <c r="EN10" s="39"/>
      <c r="EO10" s="61"/>
      <c r="EP10" s="64"/>
      <c r="EQ10" s="39"/>
      <c r="ER10" s="39"/>
      <c r="ES10" s="61"/>
      <c r="ET10" s="64"/>
      <c r="EU10" s="39"/>
      <c r="EV10" s="39"/>
      <c r="EW10" s="61"/>
      <c r="EX10" s="64"/>
      <c r="EY10" s="39"/>
      <c r="EZ10" s="39"/>
      <c r="FA10" s="61"/>
      <c r="FB10" s="64"/>
      <c r="FC10" s="39"/>
      <c r="FD10" s="39"/>
      <c r="FE10" s="61"/>
      <c r="FF10" s="64"/>
      <c r="FG10" s="39"/>
      <c r="FH10" s="39"/>
      <c r="FI10" s="61"/>
      <c r="FJ10" s="64"/>
      <c r="FK10" s="39"/>
      <c r="FL10" s="39"/>
      <c r="FM10" s="61"/>
      <c r="FN10" s="64"/>
      <c r="FO10" s="39"/>
      <c r="FP10" s="39"/>
      <c r="FQ10" s="61"/>
      <c r="FR10" s="64"/>
      <c r="FS10" s="39"/>
      <c r="FT10" s="39"/>
      <c r="FU10" s="61"/>
      <c r="FV10" s="64"/>
      <c r="FW10" s="39"/>
      <c r="FX10" s="39"/>
      <c r="FY10" s="61"/>
      <c r="FZ10" s="64"/>
    </row>
    <row r="11" spans="1:182" x14ac:dyDescent="0.25">
      <c r="A11" t="s">
        <v>34</v>
      </c>
      <c r="B11" s="46" t="s">
        <v>197</v>
      </c>
      <c r="C11" s="47">
        <v>2020</v>
      </c>
      <c r="D11" s="73">
        <f t="shared" si="0"/>
        <v>200</v>
      </c>
      <c r="E11" s="73">
        <f t="shared" si="1"/>
        <v>200</v>
      </c>
      <c r="F11" s="73">
        <f t="shared" si="2"/>
        <v>200</v>
      </c>
      <c r="G11" s="73">
        <f t="shared" si="3"/>
        <v>200</v>
      </c>
      <c r="H11" s="39">
        <f t="shared" si="4"/>
        <v>1</v>
      </c>
      <c r="I11" s="39"/>
      <c r="J11" s="63"/>
      <c r="K11" s="39">
        <v>200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  <c r="CQ11" s="39"/>
      <c r="CR11" s="39"/>
      <c r="CS11" s="61"/>
      <c r="CT11" s="64"/>
      <c r="CU11" s="39"/>
      <c r="CV11" s="39"/>
      <c r="CW11" s="61"/>
      <c r="CX11" s="64"/>
      <c r="CY11" s="39"/>
      <c r="CZ11" s="39"/>
      <c r="DA11" s="61"/>
      <c r="DB11" s="64"/>
      <c r="DC11" s="39"/>
      <c r="DD11" s="39"/>
      <c r="DE11" s="61"/>
      <c r="DF11" s="64"/>
      <c r="DG11" s="39"/>
      <c r="DH11" s="39"/>
      <c r="DI11" s="61"/>
      <c r="DJ11" s="64"/>
      <c r="DK11" s="39"/>
      <c r="DL11" s="39"/>
      <c r="DM11" s="61"/>
      <c r="DN11" s="64"/>
      <c r="DO11" s="39"/>
      <c r="DP11" s="39"/>
      <c r="DQ11" s="61"/>
      <c r="DR11" s="64"/>
      <c r="DS11" s="39"/>
      <c r="DT11" s="39"/>
      <c r="DU11" s="61"/>
      <c r="DV11" s="64"/>
      <c r="DW11" s="39"/>
      <c r="DX11" s="39"/>
      <c r="DY11" s="61"/>
      <c r="DZ11" s="64"/>
      <c r="EA11" s="39"/>
      <c r="EB11" s="39"/>
      <c r="EC11" s="61"/>
      <c r="ED11" s="64"/>
      <c r="EE11" s="39"/>
      <c r="EF11" s="39"/>
      <c r="EG11" s="61"/>
      <c r="EH11" s="64"/>
      <c r="EI11" s="39"/>
      <c r="EJ11" s="39"/>
      <c r="EK11" s="61"/>
      <c r="EL11" s="64"/>
      <c r="EM11" s="39"/>
      <c r="EN11" s="39"/>
      <c r="EO11" s="61"/>
      <c r="EP11" s="64"/>
      <c r="EQ11" s="39"/>
      <c r="ER11" s="39"/>
      <c r="ES11" s="61"/>
      <c r="ET11" s="64"/>
      <c r="EU11" s="39"/>
      <c r="EV11" s="39"/>
      <c r="EW11" s="61"/>
      <c r="EX11" s="64"/>
      <c r="EY11" s="39"/>
      <c r="EZ11" s="39"/>
      <c r="FA11" s="61"/>
      <c r="FB11" s="64"/>
      <c r="FC11" s="39"/>
      <c r="FD11" s="39"/>
      <c r="FE11" s="61"/>
      <c r="FF11" s="64"/>
      <c r="FG11" s="39"/>
      <c r="FH11" s="39"/>
      <c r="FI11" s="61"/>
      <c r="FJ11" s="64"/>
      <c r="FK11" s="39"/>
      <c r="FL11" s="39"/>
      <c r="FM11" s="61"/>
      <c r="FN11" s="64"/>
      <c r="FO11" s="39"/>
      <c r="FP11" s="39"/>
      <c r="FQ11" s="61"/>
      <c r="FR11" s="64"/>
      <c r="FS11" s="39"/>
      <c r="FT11" s="39"/>
      <c r="FU11" s="61"/>
      <c r="FV11" s="64"/>
      <c r="FW11" s="39"/>
      <c r="FX11" s="39"/>
      <c r="FY11" s="61"/>
      <c r="FZ11" s="64"/>
    </row>
    <row r="12" spans="1:182" x14ac:dyDescent="0.25">
      <c r="A12" t="s">
        <v>38</v>
      </c>
      <c r="B12" s="46" t="s">
        <v>197</v>
      </c>
      <c r="C12" s="47">
        <v>2021</v>
      </c>
      <c r="D12" s="73">
        <f t="shared" si="0"/>
        <v>940</v>
      </c>
      <c r="E12" s="73">
        <f t="shared" si="1"/>
        <v>940</v>
      </c>
      <c r="F12" s="73">
        <f t="shared" si="2"/>
        <v>940</v>
      </c>
      <c r="G12" s="73">
        <f t="shared" si="3"/>
        <v>940</v>
      </c>
      <c r="H12" s="39">
        <f t="shared" si="4"/>
        <v>1</v>
      </c>
      <c r="I12" s="39"/>
      <c r="J12" s="63"/>
      <c r="K12" s="39">
        <v>940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  <c r="CQ12" s="39"/>
      <c r="CR12" s="39"/>
      <c r="CS12" s="61"/>
      <c r="CT12" s="64"/>
      <c r="CU12" s="39"/>
      <c r="CV12" s="39"/>
      <c r="CW12" s="61"/>
      <c r="CX12" s="64"/>
      <c r="CY12" s="39"/>
      <c r="CZ12" s="39"/>
      <c r="DA12" s="61"/>
      <c r="DB12" s="64"/>
      <c r="DC12" s="39"/>
      <c r="DD12" s="39"/>
      <c r="DE12" s="61"/>
      <c r="DF12" s="64"/>
      <c r="DG12" s="39"/>
      <c r="DH12" s="39"/>
      <c r="DI12" s="61"/>
      <c r="DJ12" s="64"/>
      <c r="DK12" s="39"/>
      <c r="DL12" s="39"/>
      <c r="DM12" s="61"/>
      <c r="DN12" s="64"/>
      <c r="DO12" s="39"/>
      <c r="DP12" s="39"/>
      <c r="DQ12" s="61"/>
      <c r="DR12" s="64"/>
      <c r="DS12" s="39"/>
      <c r="DT12" s="39"/>
      <c r="DU12" s="61"/>
      <c r="DV12" s="64"/>
      <c r="DW12" s="39"/>
      <c r="DX12" s="39"/>
      <c r="DY12" s="61"/>
      <c r="DZ12" s="64"/>
      <c r="EA12" s="39"/>
      <c r="EB12" s="39"/>
      <c r="EC12" s="61"/>
      <c r="ED12" s="64"/>
      <c r="EE12" s="39"/>
      <c r="EF12" s="39"/>
      <c r="EG12" s="61"/>
      <c r="EH12" s="64"/>
      <c r="EI12" s="39"/>
      <c r="EJ12" s="39"/>
      <c r="EK12" s="61"/>
      <c r="EL12" s="64"/>
      <c r="EM12" s="39"/>
      <c r="EN12" s="39"/>
      <c r="EO12" s="61"/>
      <c r="EP12" s="64"/>
      <c r="EQ12" s="39"/>
      <c r="ER12" s="39"/>
      <c r="ES12" s="61"/>
      <c r="ET12" s="64"/>
      <c r="EU12" s="39"/>
      <c r="EV12" s="39"/>
      <c r="EW12" s="61"/>
      <c r="EX12" s="64"/>
      <c r="EY12" s="39"/>
      <c r="EZ12" s="39"/>
      <c r="FA12" s="61"/>
      <c r="FB12" s="64"/>
      <c r="FC12" s="39"/>
      <c r="FD12" s="39"/>
      <c r="FE12" s="61"/>
      <c r="FF12" s="64"/>
      <c r="FG12" s="39"/>
      <c r="FH12" s="39"/>
      <c r="FI12" s="61"/>
      <c r="FJ12" s="64"/>
      <c r="FK12" s="39"/>
      <c r="FL12" s="39"/>
      <c r="FM12" s="61"/>
      <c r="FN12" s="64"/>
      <c r="FO12" s="39"/>
      <c r="FP12" s="39"/>
      <c r="FQ12" s="61"/>
      <c r="FR12" s="64"/>
      <c r="FS12" s="39"/>
      <c r="FT12" s="39"/>
      <c r="FU12" s="61"/>
      <c r="FV12" s="64"/>
      <c r="FW12" s="39"/>
      <c r="FX12" s="39"/>
      <c r="FY12" s="61"/>
      <c r="FZ12" s="64"/>
    </row>
    <row r="13" spans="1:182" x14ac:dyDescent="0.25">
      <c r="A13" t="s">
        <v>39</v>
      </c>
      <c r="B13" s="46" t="s">
        <v>197</v>
      </c>
      <c r="C13" s="47">
        <v>2022</v>
      </c>
      <c r="D13" s="73">
        <f t="shared" si="0"/>
        <v>0</v>
      </c>
      <c r="E13" s="73">
        <f t="shared" si="1"/>
        <v>0</v>
      </c>
      <c r="F13" s="73">
        <f t="shared" si="2"/>
        <v>0</v>
      </c>
      <c r="G13" s="73">
        <f t="shared" si="3"/>
        <v>0</v>
      </c>
      <c r="H13" s="39">
        <f t="shared" si="4"/>
        <v>1</v>
      </c>
      <c r="I13" s="39"/>
      <c r="J13" s="63"/>
      <c r="K13" s="39">
        <v>0</v>
      </c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  <c r="CQ13" s="39"/>
      <c r="CR13" s="39"/>
      <c r="CS13" s="61"/>
      <c r="CT13" s="64"/>
      <c r="CU13" s="39"/>
      <c r="CV13" s="39"/>
      <c r="CW13" s="61"/>
      <c r="CX13" s="64"/>
      <c r="CY13" s="39"/>
      <c r="CZ13" s="39"/>
      <c r="DA13" s="61"/>
      <c r="DB13" s="64"/>
      <c r="DC13" s="39"/>
      <c r="DD13" s="39"/>
      <c r="DE13" s="61"/>
      <c r="DF13" s="64"/>
      <c r="DG13" s="39"/>
      <c r="DH13" s="39"/>
      <c r="DI13" s="61"/>
      <c r="DJ13" s="64"/>
      <c r="DK13" s="39"/>
      <c r="DL13" s="39"/>
      <c r="DM13" s="61"/>
      <c r="DN13" s="64"/>
      <c r="DO13" s="39"/>
      <c r="DP13" s="39"/>
      <c r="DQ13" s="61"/>
      <c r="DR13" s="64"/>
      <c r="DS13" s="39"/>
      <c r="DT13" s="39"/>
      <c r="DU13" s="61"/>
      <c r="DV13" s="64"/>
      <c r="DW13" s="39"/>
      <c r="DX13" s="39"/>
      <c r="DY13" s="61"/>
      <c r="DZ13" s="64"/>
      <c r="EA13" s="39"/>
      <c r="EB13" s="39"/>
      <c r="EC13" s="61"/>
      <c r="ED13" s="64"/>
      <c r="EE13" s="39"/>
      <c r="EF13" s="39"/>
      <c r="EG13" s="61"/>
      <c r="EH13" s="64"/>
      <c r="EI13" s="39"/>
      <c r="EJ13" s="39"/>
      <c r="EK13" s="61"/>
      <c r="EL13" s="64"/>
      <c r="EM13" s="39"/>
      <c r="EN13" s="39"/>
      <c r="EO13" s="61"/>
      <c r="EP13" s="64"/>
      <c r="EQ13" s="39"/>
      <c r="ER13" s="39"/>
      <c r="ES13" s="61"/>
      <c r="ET13" s="64"/>
      <c r="EU13" s="39"/>
      <c r="EV13" s="39"/>
      <c r="EW13" s="61"/>
      <c r="EX13" s="64"/>
      <c r="EY13" s="39"/>
      <c r="EZ13" s="39"/>
      <c r="FA13" s="61"/>
      <c r="FB13" s="64"/>
      <c r="FC13" s="39"/>
      <c r="FD13" s="39"/>
      <c r="FE13" s="61"/>
      <c r="FF13" s="64"/>
      <c r="FG13" s="39"/>
      <c r="FH13" s="39"/>
      <c r="FI13" s="61"/>
      <c r="FJ13" s="64"/>
      <c r="FK13" s="39"/>
      <c r="FL13" s="39"/>
      <c r="FM13" s="61"/>
      <c r="FN13" s="64"/>
      <c r="FO13" s="39"/>
      <c r="FP13" s="39"/>
      <c r="FQ13" s="61"/>
      <c r="FR13" s="64"/>
      <c r="FS13" s="39"/>
      <c r="FT13" s="39"/>
      <c r="FU13" s="61"/>
      <c r="FV13" s="64"/>
      <c r="FW13" s="39"/>
      <c r="FX13" s="39"/>
      <c r="FY13" s="61"/>
      <c r="FZ13" s="64"/>
    </row>
    <row r="14" spans="1:182" x14ac:dyDescent="0.25">
      <c r="A14" t="s">
        <v>257</v>
      </c>
      <c r="B14" s="46" t="s">
        <v>197</v>
      </c>
      <c r="C14" s="47">
        <v>2023</v>
      </c>
      <c r="D14" s="73">
        <f t="shared" si="0"/>
        <v>92000</v>
      </c>
      <c r="E14" s="73">
        <f t="shared" si="1"/>
        <v>92000</v>
      </c>
      <c r="F14" s="73">
        <f t="shared" si="2"/>
        <v>92000</v>
      </c>
      <c r="G14" s="73">
        <f t="shared" si="3"/>
        <v>92000</v>
      </c>
      <c r="H14" s="39">
        <f t="shared" si="4"/>
        <v>1</v>
      </c>
      <c r="I14" s="39"/>
      <c r="J14" s="63"/>
      <c r="K14" s="39">
        <v>92000</v>
      </c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  <c r="CQ14" s="39"/>
      <c r="CR14" s="39"/>
      <c r="CS14" s="61"/>
      <c r="CT14" s="64"/>
      <c r="CU14" s="39"/>
      <c r="CV14" s="39"/>
      <c r="CW14" s="61"/>
      <c r="CX14" s="64"/>
      <c r="CY14" s="39"/>
      <c r="CZ14" s="39"/>
      <c r="DA14" s="61"/>
      <c r="DB14" s="64"/>
      <c r="DC14" s="39"/>
      <c r="DD14" s="39"/>
      <c r="DE14" s="61"/>
      <c r="DF14" s="64"/>
      <c r="DG14" s="39"/>
      <c r="DH14" s="39"/>
      <c r="DI14" s="61"/>
      <c r="DJ14" s="64"/>
      <c r="DK14" s="39"/>
      <c r="DL14" s="39"/>
      <c r="DM14" s="61"/>
      <c r="DN14" s="64"/>
      <c r="DO14" s="39"/>
      <c r="DP14" s="39"/>
      <c r="DQ14" s="61"/>
      <c r="DR14" s="64"/>
      <c r="DS14" s="39"/>
      <c r="DT14" s="39"/>
      <c r="DU14" s="61"/>
      <c r="DV14" s="64"/>
      <c r="DW14" s="39"/>
      <c r="DX14" s="39"/>
      <c r="DY14" s="61"/>
      <c r="DZ14" s="64"/>
      <c r="EA14" s="39"/>
      <c r="EB14" s="39"/>
      <c r="EC14" s="61"/>
      <c r="ED14" s="64"/>
      <c r="EE14" s="39"/>
      <c r="EF14" s="39"/>
      <c r="EG14" s="61"/>
      <c r="EH14" s="64"/>
      <c r="EI14" s="39"/>
      <c r="EJ14" s="39"/>
      <c r="EK14" s="61"/>
      <c r="EL14" s="64"/>
      <c r="EM14" s="39"/>
      <c r="EN14" s="39"/>
      <c r="EO14" s="61"/>
      <c r="EP14" s="64"/>
      <c r="EQ14" s="39"/>
      <c r="ER14" s="39"/>
      <c r="ES14" s="61"/>
      <c r="ET14" s="64"/>
      <c r="EU14" s="39"/>
      <c r="EV14" s="39"/>
      <c r="EW14" s="61"/>
      <c r="EX14" s="64"/>
      <c r="EY14" s="39"/>
      <c r="EZ14" s="39"/>
      <c r="FA14" s="61"/>
      <c r="FB14" s="64"/>
      <c r="FC14" s="39"/>
      <c r="FD14" s="39"/>
      <c r="FE14" s="61"/>
      <c r="FF14" s="64"/>
      <c r="FG14" s="39"/>
      <c r="FH14" s="39"/>
      <c r="FI14" s="61"/>
      <c r="FJ14" s="64"/>
      <c r="FK14" s="39"/>
      <c r="FL14" s="39"/>
      <c r="FM14" s="61"/>
      <c r="FN14" s="64"/>
      <c r="FO14" s="39"/>
      <c r="FP14" s="39"/>
      <c r="FQ14" s="61"/>
      <c r="FR14" s="64"/>
      <c r="FS14" s="39"/>
      <c r="FT14" s="39"/>
      <c r="FU14" s="61"/>
      <c r="FV14" s="64"/>
      <c r="FW14" s="39"/>
      <c r="FX14" s="39"/>
      <c r="FY14" s="61"/>
      <c r="FZ14" s="64"/>
    </row>
    <row r="15" spans="1:182" x14ac:dyDescent="0.25">
      <c r="A15" t="s">
        <v>48</v>
      </c>
      <c r="B15" s="46" t="s">
        <v>197</v>
      </c>
      <c r="C15" s="47">
        <v>2024</v>
      </c>
      <c r="D15" s="73">
        <f t="shared" si="0"/>
        <v>25.491341463414635</v>
      </c>
      <c r="E15" s="73">
        <f t="shared" si="1"/>
        <v>24.849999999999998</v>
      </c>
      <c r="F15" s="73">
        <f t="shared" si="2"/>
        <v>6.4050000000000002</v>
      </c>
      <c r="G15" s="73">
        <f t="shared" si="3"/>
        <v>40.354999999999997</v>
      </c>
      <c r="H15" s="39">
        <f t="shared" si="4"/>
        <v>42</v>
      </c>
      <c r="I15" s="39"/>
      <c r="J15" s="63"/>
      <c r="K15" s="39">
        <v>22.75</v>
      </c>
      <c r="L15" s="39"/>
      <c r="M15" s="61"/>
      <c r="N15" s="64"/>
      <c r="O15" s="39">
        <v>18</v>
      </c>
      <c r="P15" s="39"/>
      <c r="Q15" s="61"/>
      <c r="R15" s="64"/>
      <c r="S15" s="39">
        <v>23.45</v>
      </c>
      <c r="T15" s="39" t="s">
        <v>302</v>
      </c>
      <c r="U15" s="61">
        <v>2002</v>
      </c>
      <c r="V15" s="64"/>
      <c r="W15" s="39">
        <v>22.05</v>
      </c>
      <c r="X15" s="39" t="s">
        <v>302</v>
      </c>
      <c r="Y15" s="61">
        <v>2010</v>
      </c>
      <c r="Z15" s="64"/>
      <c r="AA15" s="39">
        <v>13.125</v>
      </c>
      <c r="AB15" s="39" t="s">
        <v>302</v>
      </c>
      <c r="AC15" s="61">
        <v>2017</v>
      </c>
      <c r="AD15" s="64"/>
      <c r="AE15" s="39">
        <v>14</v>
      </c>
      <c r="AF15" s="39" t="s">
        <v>302</v>
      </c>
      <c r="AG15" s="61">
        <v>2016</v>
      </c>
      <c r="AH15" s="64"/>
      <c r="AI15" s="39">
        <v>6.4050000000000002</v>
      </c>
      <c r="AJ15" s="39" t="s">
        <v>302</v>
      </c>
      <c r="AK15" s="61">
        <v>2017</v>
      </c>
      <c r="AL15" s="64"/>
      <c r="AM15" s="39">
        <v>24.01</v>
      </c>
      <c r="AN15" s="39" t="s">
        <v>302</v>
      </c>
      <c r="AO15" s="61">
        <v>2013</v>
      </c>
      <c r="AP15" s="64"/>
      <c r="AQ15" s="39">
        <v>40.354999999999997</v>
      </c>
      <c r="AR15" s="39" t="s">
        <v>302</v>
      </c>
      <c r="AS15" s="61">
        <v>2017</v>
      </c>
      <c r="AT15" s="64"/>
      <c r="AU15" s="39">
        <v>25.2</v>
      </c>
      <c r="AV15" s="39" t="s">
        <v>302</v>
      </c>
      <c r="AW15" s="61">
        <v>2012</v>
      </c>
      <c r="AX15" s="64"/>
      <c r="AY15" s="39">
        <v>29.050000000000004</v>
      </c>
      <c r="AZ15" s="39" t="s">
        <v>302</v>
      </c>
      <c r="BA15" s="61">
        <v>2013</v>
      </c>
      <c r="BB15" s="64"/>
      <c r="BC15" s="39">
        <v>18.900000000000002</v>
      </c>
      <c r="BD15" s="39" t="s">
        <v>302</v>
      </c>
      <c r="BE15" s="61">
        <v>2015</v>
      </c>
      <c r="BF15" s="64"/>
      <c r="BG15" s="39">
        <v>12.950000000000001</v>
      </c>
      <c r="BH15" s="39" t="s">
        <v>302</v>
      </c>
      <c r="BI15" s="61">
        <v>2013</v>
      </c>
      <c r="BJ15" s="64"/>
      <c r="BK15" s="39">
        <v>26.95</v>
      </c>
      <c r="BL15" s="39" t="s">
        <v>302</v>
      </c>
      <c r="BM15" s="61">
        <v>2017</v>
      </c>
      <c r="BN15" s="64"/>
      <c r="BO15" s="39">
        <v>30.800000000000004</v>
      </c>
      <c r="BP15" s="39" t="s">
        <v>302</v>
      </c>
      <c r="BQ15" s="61">
        <v>2014</v>
      </c>
      <c r="BR15" s="64"/>
      <c r="BS15" s="39">
        <v>24.5</v>
      </c>
      <c r="BT15" s="39" t="s">
        <v>302</v>
      </c>
      <c r="BU15" s="61">
        <v>2017</v>
      </c>
      <c r="BV15" s="64"/>
      <c r="BW15" s="39">
        <v>23.8</v>
      </c>
      <c r="BX15" s="39" t="s">
        <v>302</v>
      </c>
      <c r="BY15" s="61">
        <v>2017</v>
      </c>
      <c r="BZ15" s="64"/>
      <c r="CA15" s="39">
        <v>22.75</v>
      </c>
      <c r="CB15" s="39" t="s">
        <v>302</v>
      </c>
      <c r="CC15" s="61">
        <v>2017</v>
      </c>
      <c r="CD15" s="64"/>
      <c r="CE15" s="39">
        <v>36.050000000000004</v>
      </c>
      <c r="CF15" s="39" t="s">
        <v>302</v>
      </c>
      <c r="CG15" s="61">
        <v>2013</v>
      </c>
      <c r="CH15" s="64"/>
      <c r="CI15" s="39">
        <v>25.900000000000002</v>
      </c>
      <c r="CJ15" s="39" t="s">
        <v>302</v>
      </c>
      <c r="CK15" s="61">
        <v>2013</v>
      </c>
      <c r="CL15" s="64"/>
      <c r="CM15" s="39">
        <v>28</v>
      </c>
      <c r="CN15" s="39" t="s">
        <v>302</v>
      </c>
      <c r="CO15" s="61">
        <v>2017</v>
      </c>
      <c r="CP15" s="64"/>
      <c r="CQ15" s="39">
        <v>32.550000000000004</v>
      </c>
      <c r="CR15" s="39" t="s">
        <v>302</v>
      </c>
      <c r="CS15" s="61">
        <v>2017</v>
      </c>
      <c r="CT15" s="64"/>
      <c r="CU15" s="39">
        <v>29.400000000000002</v>
      </c>
      <c r="CV15" s="39" t="s">
        <v>302</v>
      </c>
      <c r="CW15" s="61">
        <v>2017</v>
      </c>
      <c r="CX15" s="64"/>
      <c r="CY15" s="39">
        <v>24.5</v>
      </c>
      <c r="CZ15" s="39" t="s">
        <v>302</v>
      </c>
      <c r="DA15" s="61">
        <v>2013</v>
      </c>
      <c r="DB15" s="64"/>
      <c r="DC15" s="39">
        <v>29.050000000000004</v>
      </c>
      <c r="DD15" s="39" t="s">
        <v>302</v>
      </c>
      <c r="DE15" s="61">
        <v>2014</v>
      </c>
      <c r="DF15" s="64"/>
      <c r="DG15" s="39">
        <v>30.099999999999998</v>
      </c>
      <c r="DH15" s="39" t="s">
        <v>302</v>
      </c>
      <c r="DI15" s="61">
        <v>2017</v>
      </c>
      <c r="DJ15" s="64"/>
      <c r="DK15" s="39">
        <v>31.5</v>
      </c>
      <c r="DL15" s="39" t="s">
        <v>302</v>
      </c>
      <c r="DM15" s="61">
        <v>2014</v>
      </c>
      <c r="DN15" s="64"/>
      <c r="DO15" s="39">
        <v>31.849999999999998</v>
      </c>
      <c r="DP15" s="39" t="s">
        <v>302</v>
      </c>
      <c r="DQ15" s="61">
        <v>2017</v>
      </c>
      <c r="DR15" s="64"/>
      <c r="DS15" s="39">
        <v>32.199999999999996</v>
      </c>
      <c r="DT15" s="39" t="s">
        <v>302</v>
      </c>
      <c r="DU15" s="61">
        <v>2017</v>
      </c>
      <c r="DV15" s="64"/>
      <c r="DW15" s="39">
        <v>29.400000000000002</v>
      </c>
      <c r="DX15" s="39" t="s">
        <v>302</v>
      </c>
      <c r="DY15" s="61">
        <v>2013</v>
      </c>
      <c r="DZ15" s="64"/>
      <c r="EA15" s="39">
        <v>35.35</v>
      </c>
      <c r="EB15" s="39" t="s">
        <v>302</v>
      </c>
      <c r="EC15" s="61">
        <v>2017</v>
      </c>
      <c r="ED15" s="64"/>
      <c r="EE15" s="39">
        <v>24.849999999999998</v>
      </c>
      <c r="EF15" s="39" t="s">
        <v>302</v>
      </c>
      <c r="EG15" s="61">
        <v>2016</v>
      </c>
      <c r="EH15" s="64"/>
      <c r="EI15" s="39">
        <v>23.8</v>
      </c>
      <c r="EJ15" s="39" t="s">
        <v>302</v>
      </c>
      <c r="EK15" s="61">
        <v>2017</v>
      </c>
      <c r="EL15" s="64"/>
      <c r="EM15" s="39">
        <v>22.75</v>
      </c>
      <c r="EN15" s="39" t="s">
        <v>302</v>
      </c>
      <c r="EO15" s="61">
        <v>2017</v>
      </c>
      <c r="EP15" s="64"/>
      <c r="EQ15" s="39">
        <v>27.650000000000002</v>
      </c>
      <c r="ER15" s="39" t="s">
        <v>302</v>
      </c>
      <c r="ES15" s="61">
        <v>2015</v>
      </c>
      <c r="ET15" s="64"/>
      <c r="EU15" s="39">
        <v>30.099999999999998</v>
      </c>
      <c r="EV15" s="39" t="s">
        <v>302</v>
      </c>
      <c r="EW15" s="61">
        <v>2015</v>
      </c>
      <c r="EX15" s="64"/>
      <c r="EY15" s="39">
        <v>21.349999999999998</v>
      </c>
      <c r="EZ15" s="39" t="s">
        <v>302</v>
      </c>
      <c r="FA15" s="61">
        <v>2015</v>
      </c>
      <c r="FB15" s="64"/>
      <c r="FC15" s="39">
        <v>22.05</v>
      </c>
      <c r="FD15" s="39" t="s">
        <v>302</v>
      </c>
      <c r="FE15" s="61">
        <v>2015</v>
      </c>
      <c r="FF15" s="64"/>
      <c r="FG15" s="39">
        <v>20.650000000000002</v>
      </c>
      <c r="FH15" s="39" t="s">
        <v>302</v>
      </c>
      <c r="FI15" s="61">
        <v>2015</v>
      </c>
      <c r="FJ15" s="64"/>
      <c r="FK15" s="39">
        <v>21.349999999999998</v>
      </c>
      <c r="FL15" s="39" t="s">
        <v>302</v>
      </c>
      <c r="FM15" s="61">
        <v>2015</v>
      </c>
      <c r="FN15" s="64"/>
      <c r="FO15" s="39">
        <v>35.699999999999996</v>
      </c>
      <c r="FP15" s="39" t="s">
        <v>302</v>
      </c>
      <c r="FQ15" s="61">
        <v>2015</v>
      </c>
      <c r="FR15" s="64"/>
      <c r="FS15" s="39"/>
      <c r="FT15" s="39"/>
      <c r="FU15" s="61"/>
      <c r="FV15" s="64"/>
      <c r="FW15" s="39"/>
      <c r="FX15" s="39"/>
      <c r="FY15" s="61"/>
      <c r="FZ15" s="64"/>
    </row>
    <row r="16" spans="1:182" x14ac:dyDescent="0.25">
      <c r="A16" t="s">
        <v>196</v>
      </c>
      <c r="B16" s="46" t="s">
        <v>197</v>
      </c>
      <c r="C16" s="47">
        <v>2025</v>
      </c>
      <c r="D16" s="73">
        <f t="shared" si="0"/>
        <v>240000</v>
      </c>
      <c r="E16" s="73">
        <f t="shared" si="1"/>
        <v>240000</v>
      </c>
      <c r="F16" s="73">
        <f t="shared" si="2"/>
        <v>240000</v>
      </c>
      <c r="G16" s="73">
        <f t="shared" si="3"/>
        <v>240000</v>
      </c>
      <c r="H16" s="39">
        <f t="shared" si="4"/>
        <v>1</v>
      </c>
      <c r="I16" s="39"/>
      <c r="J16" s="63"/>
      <c r="K16" s="39">
        <v>240000</v>
      </c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  <c r="CQ16" s="39"/>
      <c r="CR16" s="39"/>
      <c r="CS16" s="61"/>
      <c r="CT16" s="64"/>
      <c r="CU16" s="39"/>
      <c r="CV16" s="39"/>
      <c r="CW16" s="61"/>
      <c r="CX16" s="64"/>
      <c r="CY16" s="39"/>
      <c r="CZ16" s="39"/>
      <c r="DA16" s="61"/>
      <c r="DB16" s="64"/>
      <c r="DC16" s="39"/>
      <c r="DD16" s="39"/>
      <c r="DE16" s="61"/>
      <c r="DF16" s="64"/>
      <c r="DG16" s="39"/>
      <c r="DH16" s="39"/>
      <c r="DI16" s="61"/>
      <c r="DJ16" s="64"/>
      <c r="DK16" s="39"/>
      <c r="DL16" s="39"/>
      <c r="DM16" s="61"/>
      <c r="DN16" s="64"/>
      <c r="DO16" s="39"/>
      <c r="DP16" s="39"/>
      <c r="DQ16" s="61"/>
      <c r="DR16" s="64"/>
      <c r="DS16" s="39"/>
      <c r="DT16" s="39"/>
      <c r="DU16" s="61"/>
      <c r="DV16" s="64"/>
      <c r="DW16" s="39"/>
      <c r="DX16" s="39"/>
      <c r="DY16" s="61"/>
      <c r="DZ16" s="64"/>
      <c r="EA16" s="39"/>
      <c r="EB16" s="39"/>
      <c r="EC16" s="61"/>
      <c r="ED16" s="64"/>
      <c r="EE16" s="39"/>
      <c r="EF16" s="39"/>
      <c r="EG16" s="61"/>
      <c r="EH16" s="64"/>
      <c r="EI16" s="39"/>
      <c r="EJ16" s="39"/>
      <c r="EK16" s="61"/>
      <c r="EL16" s="64"/>
      <c r="EM16" s="39"/>
      <c r="EN16" s="39"/>
      <c r="EO16" s="61"/>
      <c r="EP16" s="64"/>
      <c r="EQ16" s="39"/>
      <c r="ER16" s="39"/>
      <c r="ES16" s="61"/>
      <c r="ET16" s="64"/>
      <c r="EU16" s="39"/>
      <c r="EV16" s="39"/>
      <c r="EW16" s="61"/>
      <c r="EX16" s="64"/>
      <c r="EY16" s="39"/>
      <c r="EZ16" s="39"/>
      <c r="FA16" s="61"/>
      <c r="FB16" s="64"/>
      <c r="FC16" s="39"/>
      <c r="FD16" s="39"/>
      <c r="FE16" s="61"/>
      <c r="FF16" s="64"/>
      <c r="FG16" s="39"/>
      <c r="FH16" s="39"/>
      <c r="FI16" s="61"/>
      <c r="FJ16" s="64"/>
      <c r="FK16" s="39"/>
      <c r="FL16" s="39"/>
      <c r="FM16" s="61"/>
      <c r="FN16" s="64"/>
      <c r="FO16" s="39"/>
      <c r="FP16" s="39"/>
      <c r="FQ16" s="61"/>
      <c r="FR16" s="64"/>
      <c r="FS16" s="39"/>
      <c r="FT16" s="39"/>
      <c r="FU16" s="61"/>
      <c r="FV16" s="64"/>
      <c r="FW16" s="39"/>
      <c r="FX16" s="39"/>
      <c r="FY16" s="61"/>
      <c r="FZ16" s="64"/>
    </row>
    <row r="17" spans="1:182" x14ac:dyDescent="0.25">
      <c r="A17" t="s">
        <v>53</v>
      </c>
      <c r="B17" s="46" t="s">
        <v>197</v>
      </c>
      <c r="C17" s="47">
        <v>2026</v>
      </c>
      <c r="D17" s="73">
        <f t="shared" si="0"/>
        <v>25</v>
      </c>
      <c r="E17" s="73">
        <f t="shared" si="1"/>
        <v>25</v>
      </c>
      <c r="F17" s="73">
        <f t="shared" si="2"/>
        <v>25</v>
      </c>
      <c r="G17" s="73">
        <f t="shared" si="3"/>
        <v>25</v>
      </c>
      <c r="H17" s="39">
        <f t="shared" si="4"/>
        <v>1</v>
      </c>
      <c r="I17" s="39"/>
      <c r="J17" s="63"/>
      <c r="K17" s="39">
        <v>25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  <c r="CQ17" s="39"/>
      <c r="CR17" s="39"/>
      <c r="CS17" s="61"/>
      <c r="CT17" s="64"/>
      <c r="CU17" s="39"/>
      <c r="CV17" s="39"/>
      <c r="CW17" s="61"/>
      <c r="CX17" s="64"/>
      <c r="CY17" s="39"/>
      <c r="CZ17" s="39"/>
      <c r="DA17" s="61"/>
      <c r="DB17" s="64"/>
      <c r="DC17" s="39"/>
      <c r="DD17" s="39"/>
      <c r="DE17" s="61"/>
      <c r="DF17" s="64"/>
      <c r="DG17" s="39"/>
      <c r="DH17" s="39"/>
      <c r="DI17" s="61"/>
      <c r="DJ17" s="64"/>
      <c r="DK17" s="39"/>
      <c r="DL17" s="39"/>
      <c r="DM17" s="61"/>
      <c r="DN17" s="64"/>
      <c r="DO17" s="39"/>
      <c r="DP17" s="39"/>
      <c r="DQ17" s="61"/>
      <c r="DR17" s="64"/>
      <c r="DS17" s="39"/>
      <c r="DT17" s="39"/>
      <c r="DU17" s="61"/>
      <c r="DV17" s="64"/>
      <c r="DW17" s="39"/>
      <c r="DX17" s="39"/>
      <c r="DY17" s="61"/>
      <c r="DZ17" s="64"/>
      <c r="EA17" s="39"/>
      <c r="EB17" s="39"/>
      <c r="EC17" s="61"/>
      <c r="ED17" s="64"/>
      <c r="EE17" s="39"/>
      <c r="EF17" s="39"/>
      <c r="EG17" s="61"/>
      <c r="EH17" s="64"/>
      <c r="EI17" s="39"/>
      <c r="EJ17" s="39"/>
      <c r="EK17" s="61"/>
      <c r="EL17" s="64"/>
      <c r="EM17" s="39"/>
      <c r="EN17" s="39"/>
      <c r="EO17" s="61"/>
      <c r="EP17" s="64"/>
      <c r="EQ17" s="39"/>
      <c r="ER17" s="39"/>
      <c r="ES17" s="61"/>
      <c r="ET17" s="64"/>
      <c r="EU17" s="39"/>
      <c r="EV17" s="39"/>
      <c r="EW17" s="61"/>
      <c r="EX17" s="64"/>
      <c r="EY17" s="39"/>
      <c r="EZ17" s="39"/>
      <c r="FA17" s="61"/>
      <c r="FB17" s="64"/>
      <c r="FC17" s="39"/>
      <c r="FD17" s="39"/>
      <c r="FE17" s="61"/>
      <c r="FF17" s="64"/>
      <c r="FG17" s="39"/>
      <c r="FH17" s="39"/>
      <c r="FI17" s="61"/>
      <c r="FJ17" s="64"/>
      <c r="FK17" s="39"/>
      <c r="FL17" s="39"/>
      <c r="FM17" s="61"/>
      <c r="FN17" s="64"/>
      <c r="FO17" s="39"/>
      <c r="FP17" s="39"/>
      <c r="FQ17" s="61"/>
      <c r="FR17" s="64"/>
      <c r="FS17" s="39"/>
      <c r="FT17" s="39"/>
      <c r="FU17" s="61"/>
      <c r="FV17" s="64"/>
      <c r="FW17" s="39"/>
      <c r="FX17" s="39"/>
      <c r="FY17" s="61"/>
      <c r="FZ17" s="64"/>
    </row>
    <row r="18" spans="1:182" x14ac:dyDescent="0.25">
      <c r="A18" t="s">
        <v>55</v>
      </c>
      <c r="B18" s="46" t="s">
        <v>197</v>
      </c>
      <c r="C18" s="47">
        <v>2027</v>
      </c>
      <c r="D18" s="73">
        <f t="shared" si="0"/>
        <v>1.9</v>
      </c>
      <c r="E18" s="73">
        <f t="shared" si="1"/>
        <v>1.9</v>
      </c>
      <c r="F18" s="73">
        <f t="shared" si="2"/>
        <v>1.9</v>
      </c>
      <c r="G18" s="73">
        <f t="shared" si="3"/>
        <v>1.9</v>
      </c>
      <c r="H18" s="39">
        <f t="shared" si="4"/>
        <v>1</v>
      </c>
      <c r="I18" s="39"/>
      <c r="J18" s="63"/>
      <c r="K18" s="39">
        <v>1.9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/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  <c r="CQ18" s="39"/>
      <c r="CR18" s="39"/>
      <c r="CS18" s="61"/>
      <c r="CT18" s="64"/>
      <c r="CU18" s="39"/>
      <c r="CV18" s="39"/>
      <c r="CW18" s="61"/>
      <c r="CX18" s="64"/>
      <c r="CY18" s="39"/>
      <c r="CZ18" s="39"/>
      <c r="DA18" s="61"/>
      <c r="DB18" s="64"/>
      <c r="DC18" s="39"/>
      <c r="DD18" s="39"/>
      <c r="DE18" s="61"/>
      <c r="DF18" s="64"/>
      <c r="DG18" s="39"/>
      <c r="DH18" s="39"/>
      <c r="DI18" s="61"/>
      <c r="DJ18" s="64"/>
      <c r="DK18" s="39"/>
      <c r="DL18" s="39"/>
      <c r="DM18" s="61"/>
      <c r="DN18" s="64"/>
      <c r="DO18" s="39"/>
      <c r="DP18" s="39"/>
      <c r="DQ18" s="61"/>
      <c r="DR18" s="64"/>
      <c r="DS18" s="39"/>
      <c r="DT18" s="39"/>
      <c r="DU18" s="61"/>
      <c r="DV18" s="64"/>
      <c r="DW18" s="39"/>
      <c r="DX18" s="39"/>
      <c r="DY18" s="61"/>
      <c r="DZ18" s="64"/>
      <c r="EA18" s="39"/>
      <c r="EB18" s="39"/>
      <c r="EC18" s="61"/>
      <c r="ED18" s="64"/>
      <c r="EE18" s="39"/>
      <c r="EF18" s="39"/>
      <c r="EG18" s="61"/>
      <c r="EH18" s="64"/>
      <c r="EI18" s="39"/>
      <c r="EJ18" s="39"/>
      <c r="EK18" s="61"/>
      <c r="EL18" s="64"/>
      <c r="EM18" s="39"/>
      <c r="EN18" s="39"/>
      <c r="EO18" s="61"/>
      <c r="EP18" s="64"/>
      <c r="EQ18" s="39"/>
      <c r="ER18" s="39"/>
      <c r="ES18" s="61"/>
      <c r="ET18" s="64"/>
      <c r="EU18" s="39"/>
      <c r="EV18" s="39"/>
      <c r="EW18" s="61"/>
      <c r="EX18" s="64"/>
      <c r="EY18" s="39"/>
      <c r="EZ18" s="39"/>
      <c r="FA18" s="61"/>
      <c r="FB18" s="64"/>
      <c r="FC18" s="39"/>
      <c r="FD18" s="39"/>
      <c r="FE18" s="61"/>
      <c r="FF18" s="64"/>
      <c r="FG18" s="39"/>
      <c r="FH18" s="39"/>
      <c r="FI18" s="61"/>
      <c r="FJ18" s="64"/>
      <c r="FK18" s="39"/>
      <c r="FL18" s="39"/>
      <c r="FM18" s="61"/>
      <c r="FN18" s="64"/>
      <c r="FO18" s="39"/>
      <c r="FP18" s="39"/>
      <c r="FQ18" s="61"/>
      <c r="FR18" s="64"/>
      <c r="FS18" s="39"/>
      <c r="FT18" s="39"/>
      <c r="FU18" s="61"/>
      <c r="FV18" s="64"/>
      <c r="FW18" s="39"/>
      <c r="FX18" s="39"/>
      <c r="FY18" s="61"/>
      <c r="FZ18" s="64"/>
    </row>
    <row r="19" spans="1:182" x14ac:dyDescent="0.25">
      <c r="A19" t="s">
        <v>57</v>
      </c>
      <c r="B19" s="46" t="s">
        <v>197</v>
      </c>
      <c r="C19" s="47">
        <v>2028</v>
      </c>
      <c r="D19" s="73">
        <f t="shared" si="0"/>
        <v>650</v>
      </c>
      <c r="E19" s="73">
        <f t="shared" si="1"/>
        <v>650</v>
      </c>
      <c r="F19" s="73">
        <f t="shared" si="2"/>
        <v>650</v>
      </c>
      <c r="G19" s="73">
        <f t="shared" si="3"/>
        <v>650</v>
      </c>
      <c r="H19" s="39">
        <f t="shared" si="4"/>
        <v>1</v>
      </c>
      <c r="I19" s="39"/>
      <c r="J19" s="63"/>
      <c r="K19" s="39">
        <v>650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S19" s="39"/>
      <c r="BT19" s="39"/>
      <c r="BU19" s="61"/>
      <c r="BV19" s="64"/>
      <c r="BW19" s="39"/>
      <c r="BX19" s="39"/>
      <c r="BY19" s="61"/>
      <c r="BZ19" s="64"/>
      <c r="CA19" s="39"/>
      <c r="CB19" s="39"/>
      <c r="CC19" s="61"/>
      <c r="CD19" s="64"/>
      <c r="CE19" s="39"/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  <c r="CQ19" s="39"/>
      <c r="CR19" s="39"/>
      <c r="CS19" s="61"/>
      <c r="CT19" s="64"/>
      <c r="CU19" s="39"/>
      <c r="CV19" s="39"/>
      <c r="CW19" s="61"/>
      <c r="CX19" s="64"/>
      <c r="CY19" s="39"/>
      <c r="CZ19" s="39"/>
      <c r="DA19" s="61"/>
      <c r="DB19" s="64"/>
      <c r="DC19" s="39"/>
      <c r="DD19" s="39"/>
      <c r="DE19" s="61"/>
      <c r="DF19" s="64"/>
      <c r="DG19" s="39"/>
      <c r="DH19" s="39"/>
      <c r="DI19" s="61"/>
      <c r="DJ19" s="64"/>
      <c r="DK19" s="39"/>
      <c r="DL19" s="39"/>
      <c r="DM19" s="61"/>
      <c r="DN19" s="64"/>
      <c r="DO19" s="39"/>
      <c r="DP19" s="39"/>
      <c r="DQ19" s="61"/>
      <c r="DR19" s="64"/>
      <c r="DS19" s="39"/>
      <c r="DT19" s="39"/>
      <c r="DU19" s="61"/>
      <c r="DV19" s="64"/>
      <c r="DW19" s="39"/>
      <c r="DX19" s="39"/>
      <c r="DY19" s="61"/>
      <c r="DZ19" s="64"/>
      <c r="EA19" s="39"/>
      <c r="EB19" s="39"/>
      <c r="EC19" s="61"/>
      <c r="ED19" s="64"/>
      <c r="EE19" s="39"/>
      <c r="EF19" s="39"/>
      <c r="EG19" s="61"/>
      <c r="EH19" s="64"/>
      <c r="EI19" s="39"/>
      <c r="EJ19" s="39"/>
      <c r="EK19" s="61"/>
      <c r="EL19" s="64"/>
      <c r="EM19" s="39"/>
      <c r="EN19" s="39"/>
      <c r="EO19" s="61"/>
      <c r="EP19" s="64"/>
      <c r="EQ19" s="39"/>
      <c r="ER19" s="39"/>
      <c r="ES19" s="61"/>
      <c r="ET19" s="64"/>
      <c r="EU19" s="39"/>
      <c r="EV19" s="39"/>
      <c r="EW19" s="61"/>
      <c r="EX19" s="64"/>
      <c r="EY19" s="39"/>
      <c r="EZ19" s="39"/>
      <c r="FA19" s="61"/>
      <c r="FB19" s="64"/>
      <c r="FC19" s="39"/>
      <c r="FD19" s="39"/>
      <c r="FE19" s="61"/>
      <c r="FF19" s="64"/>
      <c r="FG19" s="39"/>
      <c r="FH19" s="39"/>
      <c r="FI19" s="61"/>
      <c r="FJ19" s="64"/>
      <c r="FK19" s="39"/>
      <c r="FL19" s="39"/>
      <c r="FM19" s="61"/>
      <c r="FN19" s="64"/>
      <c r="FO19" s="39"/>
      <c r="FP19" s="39"/>
      <c r="FQ19" s="61"/>
      <c r="FR19" s="64"/>
      <c r="FS19" s="39"/>
      <c r="FT19" s="39"/>
      <c r="FU19" s="61"/>
      <c r="FV19" s="64"/>
      <c r="FW19" s="39"/>
      <c r="FX19" s="39"/>
      <c r="FY19" s="61"/>
      <c r="FZ19" s="64"/>
    </row>
    <row r="20" spans="1:182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  <c r="CQ20" s="41"/>
      <c r="CR20" s="41"/>
      <c r="CS20" s="52"/>
      <c r="CT20" s="57"/>
      <c r="CU20" s="41"/>
      <c r="CV20" s="41"/>
      <c r="CW20" s="52"/>
      <c r="CX20" s="57"/>
      <c r="CY20" s="41"/>
      <c r="CZ20" s="41"/>
      <c r="DA20" s="52"/>
      <c r="DB20" s="57"/>
      <c r="DC20" s="41"/>
      <c r="DD20" s="41"/>
      <c r="DE20" s="52"/>
      <c r="DF20" s="57"/>
      <c r="DG20" s="41"/>
      <c r="DH20" s="41"/>
      <c r="DI20" s="52"/>
      <c r="DJ20" s="57"/>
      <c r="DK20" s="41"/>
      <c r="DL20" s="41"/>
      <c r="DM20" s="52"/>
      <c r="DN20" s="57"/>
      <c r="DO20" s="41"/>
      <c r="DP20" s="41"/>
      <c r="DQ20" s="52"/>
      <c r="DR20" s="57"/>
      <c r="DS20" s="41"/>
      <c r="DT20" s="41"/>
      <c r="DU20" s="52"/>
      <c r="DV20" s="57"/>
      <c r="DW20" s="41"/>
      <c r="DX20" s="41"/>
      <c r="DY20" s="52"/>
      <c r="DZ20" s="57"/>
      <c r="EA20" s="41"/>
      <c r="EB20" s="41"/>
      <c r="EC20" s="52"/>
      <c r="ED20" s="57"/>
      <c r="EE20" s="41"/>
      <c r="EF20" s="41"/>
      <c r="EG20" s="52"/>
      <c r="EH20" s="57"/>
      <c r="EI20" s="41"/>
      <c r="EJ20" s="41"/>
      <c r="EK20" s="52"/>
      <c r="EL20" s="57"/>
      <c r="EM20" s="41"/>
      <c r="EN20" s="41"/>
      <c r="EO20" s="52"/>
      <c r="EP20" s="57"/>
      <c r="EQ20" s="41"/>
      <c r="ER20" s="41"/>
      <c r="ES20" s="52"/>
      <c r="ET20" s="57"/>
      <c r="EU20" s="41"/>
      <c r="EV20" s="41"/>
      <c r="EW20" s="52"/>
      <c r="EX20" s="57"/>
      <c r="EY20" s="41"/>
      <c r="EZ20" s="41"/>
      <c r="FA20" s="52"/>
      <c r="FB20" s="57"/>
      <c r="FC20" s="41"/>
      <c r="FD20" s="41"/>
      <c r="FE20" s="52"/>
      <c r="FF20" s="57"/>
      <c r="FG20" s="41"/>
      <c r="FH20" s="41"/>
      <c r="FI20" s="52"/>
      <c r="FJ20" s="57"/>
      <c r="FK20" s="41"/>
      <c r="FL20" s="41"/>
      <c r="FM20" s="52"/>
      <c r="FN20" s="57"/>
      <c r="FO20" s="41"/>
      <c r="FP20" s="41"/>
      <c r="FQ20" s="52"/>
      <c r="FR20" s="57"/>
      <c r="FS20" s="41"/>
      <c r="FT20" s="41"/>
      <c r="FU20" s="52"/>
      <c r="FV20" s="57"/>
      <c r="FW20" s="41"/>
      <c r="FX20" s="41"/>
      <c r="FY20" s="52"/>
      <c r="FZ20" s="57"/>
    </row>
  </sheetData>
  <mergeCells count="48">
    <mergeCell ref="FO1:FR1"/>
    <mergeCell ref="FS1:FV1"/>
    <mergeCell ref="FW1:FZ1"/>
    <mergeCell ref="O2:R2"/>
    <mergeCell ref="S2:V2"/>
    <mergeCell ref="W2:Z2"/>
    <mergeCell ref="EQ1:ET1"/>
    <mergeCell ref="EU1:EX1"/>
    <mergeCell ref="EY1:FB1"/>
    <mergeCell ref="FC1:FF1"/>
    <mergeCell ref="FG1:FJ1"/>
    <mergeCell ref="FK1:FN1"/>
    <mergeCell ref="DS1:DV1"/>
    <mergeCell ref="DW1:DZ1"/>
    <mergeCell ref="EA1:ED1"/>
    <mergeCell ref="EE1:EH1"/>
    <mergeCell ref="EI1:EL1"/>
    <mergeCell ref="EM1:EP1"/>
    <mergeCell ref="CU1:CX1"/>
    <mergeCell ref="CY1:DB1"/>
    <mergeCell ref="DC1:DF1"/>
    <mergeCell ref="DG1:DJ1"/>
    <mergeCell ref="DK1:DN1"/>
    <mergeCell ref="DO1:DR1"/>
    <mergeCell ref="CQ1:CT1"/>
    <mergeCell ref="AY1:BB1"/>
    <mergeCell ref="BC1:BF1"/>
    <mergeCell ref="BG1:BJ1"/>
    <mergeCell ref="BK1:BN1"/>
    <mergeCell ref="BO1:BR1"/>
    <mergeCell ref="BS1:BV1"/>
    <mergeCell ref="BW1:BZ1"/>
    <mergeCell ref="CA1:CD1"/>
    <mergeCell ref="CE1:CH1"/>
    <mergeCell ref="CI1:CL1"/>
    <mergeCell ref="CM1:CP1"/>
    <mergeCell ref="AU1:AX1"/>
    <mergeCell ref="D1:J1"/>
    <mergeCell ref="K1:N1"/>
    <mergeCell ref="K2:N2"/>
    <mergeCell ref="O1:R1"/>
    <mergeCell ref="S1:V1"/>
    <mergeCell ref="W1:Z1"/>
    <mergeCell ref="AA1:AD1"/>
    <mergeCell ref="AE1:AH1"/>
    <mergeCell ref="AI1:AL1"/>
    <mergeCell ref="AM1:AP1"/>
    <mergeCell ref="AQ1:AT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50"/>
  <sheetViews>
    <sheetView workbookViewId="0">
      <selection activeCell="H15" sqref="H15"/>
    </sheetView>
  </sheetViews>
  <sheetFormatPr defaultRowHeight="15" x14ac:dyDescent="0.25"/>
  <sheetData>
    <row r="1" spans="1:46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258</v>
      </c>
      <c r="L1" s="121"/>
      <c r="M1" s="121"/>
      <c r="N1" s="122"/>
      <c r="O1" s="114" t="s">
        <v>260</v>
      </c>
      <c r="P1" s="115"/>
      <c r="Q1" s="115"/>
      <c r="R1" s="116"/>
      <c r="S1" s="120" t="s">
        <v>261</v>
      </c>
      <c r="T1" s="121"/>
      <c r="U1" s="121"/>
      <c r="V1" s="122"/>
      <c r="W1" s="115" t="s">
        <v>305</v>
      </c>
      <c r="X1" s="115"/>
      <c r="Y1" s="115"/>
      <c r="Z1" s="116"/>
      <c r="AA1" s="120" t="s">
        <v>306</v>
      </c>
      <c r="AB1" s="121"/>
      <c r="AC1" s="121"/>
      <c r="AD1" s="122"/>
      <c r="AE1" s="115" t="s">
        <v>307</v>
      </c>
      <c r="AF1" s="115"/>
      <c r="AG1" s="115"/>
      <c r="AH1" s="116"/>
      <c r="AI1" s="120" t="s">
        <v>308</v>
      </c>
      <c r="AJ1" s="121"/>
      <c r="AK1" s="121"/>
      <c r="AL1" s="122"/>
      <c r="AM1" s="115" t="s">
        <v>309</v>
      </c>
      <c r="AN1" s="115"/>
      <c r="AO1" s="115"/>
      <c r="AP1" s="116"/>
      <c r="AQ1" s="120" t="s">
        <v>310</v>
      </c>
      <c r="AR1" s="121"/>
      <c r="AS1" s="121"/>
      <c r="AT1" s="122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259</v>
      </c>
      <c r="L2" s="130"/>
      <c r="M2" s="130"/>
      <c r="N2" s="131"/>
      <c r="O2" s="123" t="s">
        <v>259</v>
      </c>
      <c r="P2" s="124"/>
      <c r="Q2" s="124"/>
      <c r="R2" s="125"/>
      <c r="S2" s="129" t="s">
        <v>259</v>
      </c>
      <c r="T2" s="130"/>
      <c r="U2" s="130"/>
      <c r="V2" s="131"/>
      <c r="W2" s="94"/>
      <c r="X2" s="94"/>
      <c r="Y2" s="94"/>
      <c r="Z2" s="9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</row>
    <row r="3" spans="1:46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t="s">
        <v>3</v>
      </c>
      <c r="B5" s="46" t="s">
        <v>197</v>
      </c>
      <c r="C5" s="47">
        <v>2020</v>
      </c>
      <c r="D5" s="73" t="e">
        <f>AVERAGE(K5,O5,S5,W5,AA5,AE5,AI5,AM5,AQ5)</f>
        <v>#DIV/0!</v>
      </c>
      <c r="E5" s="73" t="e">
        <f>MEDIAN(K5,O5,S5,W5,AA5,AE5,AI5,AM5,AQ5,AU5,AY5,BC5,BG5,BK5,BO5,BS5,BW5)</f>
        <v>#NUM!</v>
      </c>
      <c r="F5" s="73">
        <f>MIN(K5,O5,S5,W5,AA5,AE5,AI5,AM5,AQ5,AU5,AY5,BC5,BG5,BK5,BO5,BS5,BW5)</f>
        <v>0</v>
      </c>
      <c r="G5" s="73">
        <f>MAX(K5,O5,S5,W5,AA5,AE5,AI5,AM5,AQ5,AU5,AY5,BC5,BG5,BK5,BO5,BS5,BW5)</f>
        <v>0</v>
      </c>
      <c r="H5" s="39">
        <f>COUNT(K5,O5,S5,#REF!,W5,AA5,AE5,AI5,AM5,AQ5,AU5,AY5,BC5,BG5,BK5,BO5,BS5,BW5,CA5)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</row>
    <row r="6" spans="1:46" x14ac:dyDescent="0.25">
      <c r="A6" t="s">
        <v>12</v>
      </c>
      <c r="B6" s="46" t="s">
        <v>197</v>
      </c>
      <c r="C6" s="47">
        <v>2020</v>
      </c>
      <c r="D6" s="73" t="e">
        <f t="shared" ref="D6:D19" si="0">AVERAGE(K6,O6,S6,W6,AA6,AE6,AI6,AM6,AQ6)</f>
        <v>#DIV/0!</v>
      </c>
      <c r="E6" s="73" t="e">
        <f t="shared" ref="E6:E19" si="1">MEDIAN(K6,O6,S6,W6,AA6,AE6,AI6,AM6,AQ6,AU6,AY6,BC6,BG6,BK6,BO6,BS6,BW6)</f>
        <v>#NUM!</v>
      </c>
      <c r="F6" s="73">
        <f t="shared" ref="F6:F19" si="2">MIN(K6,O6,S6,W6,AA6,AE6,AI6,AM6,AQ6,AU6,AY6,BC6,BG6,BK6,BO6,BS6,BW6)</f>
        <v>0</v>
      </c>
      <c r="G6" s="73">
        <f t="shared" ref="G6:G19" si="3">MAX(K6,O6,S6,W6,AA6,AE6,AI6,AM6,AQ6,AU6,AY6,BC6,BG6,BK6,BO6,BS6,BW6)</f>
        <v>0</v>
      </c>
      <c r="H6" s="39">
        <f>COUNT(K6,O6,S6,#REF!,W6,AA6,AE6,AI6,AM6,AQ6,AU6,AY6,BC6,BG6,BK6,BO6,BS6,BW6,CA6)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</row>
    <row r="7" spans="1:46" x14ac:dyDescent="0.25">
      <c r="A7" t="s">
        <v>15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>COUNT(K7,O7,S7,#REF!,W7,AA7,AE7,AI7,AM7,AQ7,AU7,AY7,BC7,BG7,BK7,BO7,BS7,BW7,CA7)</f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</row>
    <row r="8" spans="1:46" x14ac:dyDescent="0.25">
      <c r="A8" t="s">
        <v>27</v>
      </c>
      <c r="B8" s="46" t="s">
        <v>197</v>
      </c>
      <c r="C8" s="47">
        <v>2021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>COUNT(K8,O8,S8,#REF!,W8,AA8,AE8,AI8,AM8,AQ8,AU8,AY8,BC8,BG8,BK8,BO8,BS8,BW8,CA8)</f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</row>
    <row r="9" spans="1:46" x14ac:dyDescent="0.25">
      <c r="A9" t="s">
        <v>32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>COUNT(K9,O9,S9,#REF!,W9,AA9,AE9,AI9,AM9,AQ9,AU9,AY9,BC9,BG9,BK9,BO9,BS9,BW9,CA9)</f>
        <v>0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</row>
    <row r="10" spans="1:46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>COUNT(K10,O10,S10,#REF!,W10,AA10,AE10,AI10,AM10,AQ10,AU10,AY10,BC10,BG10,BK10,BO10,BS10,BW10,CA10)</f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</row>
    <row r="11" spans="1:46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>COUNT(K11,O11,S11,#REF!,W11,AA11,AE11,AI11,AM11,AQ11,AU11,AY11,BC11,BG11,BK11,BO11,BS11,BW11,CA11)</f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</row>
    <row r="12" spans="1:46" x14ac:dyDescent="0.25">
      <c r="A12" t="s">
        <v>38</v>
      </c>
      <c r="B12" s="46" t="s">
        <v>197</v>
      </c>
      <c r="C12" s="47">
        <v>2021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>COUNT(K12,O12,S12,#REF!,W12,AA12,AE12,AI12,AM12,AQ12,AU12,AY12,BC12,BG12,BK12,BO12,BS12,BW12,CA12)</f>
        <v>0</v>
      </c>
      <c r="I12" s="39"/>
      <c r="J12" s="63"/>
      <c r="K12" s="3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</row>
    <row r="13" spans="1:46" x14ac:dyDescent="0.25">
      <c r="A13" t="s">
        <v>39</v>
      </c>
      <c r="B13" s="46" t="s">
        <v>197</v>
      </c>
      <c r="C13" s="47">
        <v>2022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>COUNT(K13,O13,S13,#REF!,W13,AA13,AE13,AI13,AM13,AQ13,AU13,AY13,BC13,BG13,BK13,BO13,BS13,BW13,CA13)</f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</row>
    <row r="14" spans="1:46" x14ac:dyDescent="0.25">
      <c r="A14" t="s">
        <v>257</v>
      </c>
      <c r="B14" s="46" t="s">
        <v>197</v>
      </c>
      <c r="C14" s="47">
        <v>2023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>COUNT(K14,O14,S14,#REF!,W14,AA14,AE14,AI14,AM14,AQ14,AU14,AY14,BC14,BG14,BK14,BO14,BS14,BW14,CA14)</f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</row>
    <row r="15" spans="1:46" x14ac:dyDescent="0.25">
      <c r="A15" t="s">
        <v>48</v>
      </c>
      <c r="B15" s="46" t="s">
        <v>197</v>
      </c>
      <c r="C15" s="47">
        <v>2024</v>
      </c>
      <c r="D15" s="73">
        <f t="shared" si="0"/>
        <v>11.877777777777778</v>
      </c>
      <c r="E15" s="73">
        <f t="shared" si="1"/>
        <v>8</v>
      </c>
      <c r="F15" s="73">
        <f t="shared" si="2"/>
        <v>5.53</v>
      </c>
      <c r="G15" s="73">
        <f t="shared" si="3"/>
        <v>34.340000000000003</v>
      </c>
      <c r="H15" s="39">
        <f>COUNT(K15,O15,S15,#REF!,W15,AA15,AE15,AI15,AM15,AQ15,AU15,AY15,BC15,BG15,BK15,BO15,BS15,BW15,CA15)</f>
        <v>9</v>
      </c>
      <c r="I15" s="39"/>
      <c r="J15" s="63"/>
      <c r="K15" s="39">
        <v>16</v>
      </c>
      <c r="L15" s="39"/>
      <c r="M15" s="61"/>
      <c r="N15" s="64"/>
      <c r="O15" s="39">
        <v>7.57</v>
      </c>
      <c r="P15" s="39"/>
      <c r="Q15" s="61"/>
      <c r="R15" s="64"/>
      <c r="S15" s="39">
        <v>8</v>
      </c>
      <c r="T15" s="39"/>
      <c r="U15" s="61"/>
      <c r="V15" s="64"/>
      <c r="W15" s="89">
        <v>6.49</v>
      </c>
      <c r="X15" s="39" t="s">
        <v>302</v>
      </c>
      <c r="Y15" s="61">
        <v>2014</v>
      </c>
      <c r="Z15" s="64"/>
      <c r="AA15" s="89">
        <v>8.6999999999999993</v>
      </c>
      <c r="AB15" s="39" t="s">
        <v>302</v>
      </c>
      <c r="AC15" s="61">
        <v>2019</v>
      </c>
      <c r="AD15" s="64"/>
      <c r="AE15" s="39">
        <v>6.63</v>
      </c>
      <c r="AF15" s="39" t="s">
        <v>302</v>
      </c>
      <c r="AG15" s="61">
        <v>2014</v>
      </c>
      <c r="AH15" s="64"/>
      <c r="AI15" s="39">
        <v>13.64</v>
      </c>
      <c r="AJ15" s="39" t="s">
        <v>302</v>
      </c>
      <c r="AK15" s="61">
        <v>2017</v>
      </c>
      <c r="AL15" s="64"/>
      <c r="AM15" s="39">
        <v>5.53</v>
      </c>
      <c r="AN15" s="39" t="s">
        <v>302</v>
      </c>
      <c r="AO15" s="61">
        <v>2014</v>
      </c>
      <c r="AP15" s="64"/>
      <c r="AQ15" s="39">
        <v>34.340000000000003</v>
      </c>
      <c r="AR15" s="39" t="s">
        <v>302</v>
      </c>
      <c r="AS15" s="61">
        <v>2016</v>
      </c>
      <c r="AT15" s="64"/>
    </row>
    <row r="16" spans="1:46" x14ac:dyDescent="0.25">
      <c r="A16" t="s">
        <v>196</v>
      </c>
      <c r="B16" s="46" t="s">
        <v>197</v>
      </c>
      <c r="C16" s="47">
        <v>2025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>COUNT(K16,O16,S16,#REF!,W16,AA16,AE16,AI16,AM16,AQ16,AU16,AY16,BC16,BG16,BK16,BO16,BS16,BW16,CA16)</f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</row>
    <row r="17" spans="1:46" x14ac:dyDescent="0.25">
      <c r="A17" t="s">
        <v>53</v>
      </c>
      <c r="B17" s="46" t="s">
        <v>197</v>
      </c>
      <c r="C17" s="47">
        <v>2026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>COUNT(K17,O17,S17,#REF!,W17,AA17,AE17,AI17,AM17,AQ17,AU17,AY17,BC17,BG17,BK17,BO17,BS17,BW17,CA17)</f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</row>
    <row r="18" spans="1:46" x14ac:dyDescent="0.25">
      <c r="A18" t="s">
        <v>55</v>
      </c>
      <c r="B18" s="46" t="s">
        <v>197</v>
      </c>
      <c r="C18" s="47">
        <v>2027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>COUNT(K18,O18,S18,#REF!,W18,AA18,AE18,AI18,AM18,AQ18,AU18,AY18,BC18,BG18,BK18,BO18,BS18,BW18,CA18)</f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</row>
    <row r="19" spans="1:46" x14ac:dyDescent="0.25">
      <c r="A19" t="s">
        <v>57</v>
      </c>
      <c r="B19" s="46" t="s">
        <v>197</v>
      </c>
      <c r="C19" s="47">
        <v>2028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>COUNT(K19,O19,S19,#REF!,W19,AA19,AE19,AI19,AM19,AQ19,AU19,AY19,BC19,BG19,BK19,BO19,BS19,BW19,CA19)</f>
        <v>0</v>
      </c>
      <c r="I19" s="39"/>
      <c r="J19" s="63"/>
      <c r="K19" s="39"/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</row>
    <row r="20" spans="1:46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</row>
    <row r="25" spans="1:46" x14ac:dyDescent="0.25">
      <c r="D25" s="77"/>
    </row>
    <row r="26" spans="1:46" x14ac:dyDescent="0.25">
      <c r="D26" s="77"/>
    </row>
    <row r="27" spans="1:46" x14ac:dyDescent="0.25">
      <c r="D27" s="77"/>
    </row>
    <row r="28" spans="1:46" x14ac:dyDescent="0.25">
      <c r="D28" s="77"/>
    </row>
    <row r="29" spans="1:46" x14ac:dyDescent="0.25">
      <c r="D29" s="77"/>
    </row>
    <row r="30" spans="1:46" x14ac:dyDescent="0.25">
      <c r="D30" s="77"/>
    </row>
    <row r="31" spans="1:46" x14ac:dyDescent="0.25">
      <c r="D31" s="77"/>
    </row>
    <row r="32" spans="1:46" x14ac:dyDescent="0.25">
      <c r="D32" s="77"/>
    </row>
    <row r="33" spans="4:4" x14ac:dyDescent="0.25">
      <c r="D33" s="77"/>
    </row>
    <row r="34" spans="4:4" x14ac:dyDescent="0.25">
      <c r="D34" s="77"/>
    </row>
    <row r="35" spans="4:4" x14ac:dyDescent="0.25">
      <c r="D35" s="77"/>
    </row>
    <row r="36" spans="4:4" x14ac:dyDescent="0.25">
      <c r="D36" s="77"/>
    </row>
    <row r="37" spans="4:4" x14ac:dyDescent="0.25">
      <c r="D37" s="77"/>
    </row>
    <row r="38" spans="4:4" x14ac:dyDescent="0.25">
      <c r="D38" s="77"/>
    </row>
    <row r="39" spans="4:4" x14ac:dyDescent="0.25">
      <c r="D39" s="77"/>
    </row>
    <row r="43" spans="4:4" x14ac:dyDescent="0.25">
      <c r="D43" s="77"/>
    </row>
    <row r="44" spans="4:4" x14ac:dyDescent="0.25">
      <c r="D44" s="77"/>
    </row>
    <row r="45" spans="4:4" x14ac:dyDescent="0.25">
      <c r="D45" s="77"/>
    </row>
    <row r="46" spans="4:4" x14ac:dyDescent="0.25">
      <c r="D46" s="77"/>
    </row>
    <row r="47" spans="4:4" x14ac:dyDescent="0.25">
      <c r="D47" s="77"/>
    </row>
    <row r="50" spans="4:4" x14ac:dyDescent="0.25">
      <c r="D50" s="77"/>
    </row>
  </sheetData>
  <mergeCells count="13">
    <mergeCell ref="AQ1:AT1"/>
    <mergeCell ref="S1:V1"/>
    <mergeCell ref="S2:V2"/>
    <mergeCell ref="D1:J1"/>
    <mergeCell ref="K1:N1"/>
    <mergeCell ref="O1:R1"/>
    <mergeCell ref="K2:N2"/>
    <mergeCell ref="O2:R2"/>
    <mergeCell ref="W1:Z1"/>
    <mergeCell ref="AA1:AD1"/>
    <mergeCell ref="AE1:AH1"/>
    <mergeCell ref="AI1:AL1"/>
    <mergeCell ref="AM1:AP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20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2.85546875" bestFit="1" customWidth="1"/>
  </cols>
  <sheetData>
    <row r="1" spans="1:46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258</v>
      </c>
      <c r="L1" s="121"/>
      <c r="M1" s="121"/>
      <c r="N1" s="122"/>
      <c r="O1" s="114" t="s">
        <v>260</v>
      </c>
      <c r="P1" s="115"/>
      <c r="Q1" s="115"/>
      <c r="R1" s="116"/>
      <c r="S1" s="120" t="s">
        <v>266</v>
      </c>
      <c r="T1" s="121"/>
      <c r="U1" s="121"/>
      <c r="V1" s="122"/>
      <c r="W1" s="115" t="s">
        <v>305</v>
      </c>
      <c r="X1" s="115"/>
      <c r="Y1" s="115"/>
      <c r="Z1" s="116"/>
      <c r="AA1" s="120" t="s">
        <v>306</v>
      </c>
      <c r="AB1" s="121"/>
      <c r="AC1" s="121"/>
      <c r="AD1" s="122"/>
      <c r="AE1" s="115" t="s">
        <v>307</v>
      </c>
      <c r="AF1" s="115"/>
      <c r="AG1" s="115"/>
      <c r="AH1" s="116"/>
      <c r="AI1" s="120" t="s">
        <v>308</v>
      </c>
      <c r="AJ1" s="121"/>
      <c r="AK1" s="121"/>
      <c r="AL1" s="122"/>
      <c r="AM1" s="115" t="s">
        <v>309</v>
      </c>
      <c r="AN1" s="115"/>
      <c r="AO1" s="115"/>
      <c r="AP1" s="116"/>
      <c r="AQ1" s="120" t="s">
        <v>310</v>
      </c>
      <c r="AR1" s="121"/>
      <c r="AS1" s="121"/>
      <c r="AT1" s="122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259</v>
      </c>
      <c r="L2" s="130"/>
      <c r="M2" s="130"/>
      <c r="N2" s="131"/>
      <c r="O2" s="123" t="s">
        <v>259</v>
      </c>
      <c r="P2" s="124"/>
      <c r="Q2" s="124"/>
      <c r="R2" s="125"/>
      <c r="S2" s="92"/>
      <c r="T2" s="92"/>
      <c r="U2" s="92"/>
      <c r="V2" s="93"/>
      <c r="W2" s="94"/>
      <c r="X2" s="94"/>
      <c r="Y2" s="94"/>
      <c r="Z2" s="95"/>
      <c r="AA2" s="92"/>
      <c r="AB2" s="92"/>
      <c r="AC2" s="92"/>
      <c r="AD2" s="93"/>
      <c r="AE2" s="94"/>
      <c r="AF2" s="94"/>
      <c r="AG2" s="94"/>
      <c r="AH2" s="95"/>
      <c r="AI2" s="92"/>
      <c r="AJ2" s="92"/>
      <c r="AK2" s="92"/>
      <c r="AL2" s="93"/>
      <c r="AM2" s="94"/>
      <c r="AN2" s="94"/>
      <c r="AO2" s="94"/>
      <c r="AP2" s="95"/>
      <c r="AQ2" s="92"/>
      <c r="AR2" s="92"/>
      <c r="AS2" s="92"/>
      <c r="AT2" s="93"/>
    </row>
    <row r="3" spans="1:46" ht="87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33000</v>
      </c>
      <c r="E5" s="73">
        <f>MEDIAN(K5,O5,S5,W5,AA5,AE5,AI5,AM5,AQ5,AU5,AY5,BC5,BG5,BK5,BO5,BS5,BW5,CA5)</f>
        <v>33000</v>
      </c>
      <c r="F5" s="73">
        <f>MIN(K5,O5,S5,W5,AA5,AE5,AI5,AM5,AQ5,AU5,AY5,BC5,BG5,BK5,BO5,BS5,BW5,CA5)</f>
        <v>33000</v>
      </c>
      <c r="G5" s="73">
        <f>MAX(K5,O5,S5,W5,AA5,AE5,AI5,AM5,AQ5,AU5,AY5,BC5,BG5,BK5,BO5,BS5,BW5,CA5)</f>
        <v>33000</v>
      </c>
      <c r="H5" s="39">
        <f>COUNT(K5,O5,S5,W5,AA5,AE5,AI5,AM5,AQ5,AU5,AY5,BC5,BG5,BK5,BO5,BS5,BW5,CA5,CE5)</f>
        <v>1</v>
      </c>
      <c r="I5" s="39"/>
      <c r="J5" s="63"/>
      <c r="K5" s="39">
        <v>33000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</row>
    <row r="6" spans="1:46" x14ac:dyDescent="0.25">
      <c r="A6" t="s">
        <v>12</v>
      </c>
      <c r="B6" s="46" t="s">
        <v>197</v>
      </c>
      <c r="C6" s="47">
        <v>2020</v>
      </c>
      <c r="D6" s="73">
        <f t="shared" ref="D6:D19" si="0">AVERAGE(K6,O6,S6,W6,AA6,AE6,AI6,AM6,AQ6,AU6,AY6,BC6,BG6,BK6,BO6,BS6,BW6,CA6)</f>
        <v>3700</v>
      </c>
      <c r="E6" s="73">
        <f t="shared" ref="E6:E19" si="1">MEDIAN(K6,O6,S6,W6,AA6,AE6,AI6,AM6,AQ6,AU6,AY6,BC6,BG6,BK6,BO6,BS6,BW6,CA6)</f>
        <v>3700</v>
      </c>
      <c r="F6" s="73">
        <f t="shared" ref="F6:F19" si="2">MIN(K6,O6,S6,W6,AA6,AE6,AI6,AM6,AQ6,AU6,AY6,BC6,BG6,BK6,BO6,BS6,BW6,CA6)</f>
        <v>3700</v>
      </c>
      <c r="G6" s="73">
        <f t="shared" ref="G6:G19" si="3">MAX(K6,O6,S6,W6,AA6,AE6,AI6,AM6,AQ6,AU6,AY6,BC6,BG6,BK6,BO6,BS6,BW6,CA6)</f>
        <v>3700</v>
      </c>
      <c r="H6" s="39">
        <f t="shared" ref="H6:H19" si="4">COUNT(K6,O6,S6,W6,AA6,AE6,AI6,AM6,AQ6,AU6,AY6,BC6,BG6,BK6,BO6,BS6,BW6,CA6,CE6)</f>
        <v>1</v>
      </c>
      <c r="I6" s="39"/>
      <c r="J6" s="63"/>
      <c r="K6" s="39">
        <v>3700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</row>
    <row r="7" spans="1:46" x14ac:dyDescent="0.25">
      <c r="A7" t="s">
        <v>15</v>
      </c>
      <c r="B7" s="46" t="s">
        <v>197</v>
      </c>
      <c r="C7" s="47">
        <v>2020</v>
      </c>
      <c r="D7" s="73">
        <f t="shared" si="0"/>
        <v>1400</v>
      </c>
      <c r="E7" s="73">
        <f t="shared" si="1"/>
        <v>1400</v>
      </c>
      <c r="F7" s="73">
        <f t="shared" si="2"/>
        <v>1400</v>
      </c>
      <c r="G7" s="73">
        <f t="shared" si="3"/>
        <v>1400</v>
      </c>
      <c r="H7" s="39">
        <f t="shared" si="4"/>
        <v>1</v>
      </c>
      <c r="I7" s="39"/>
      <c r="J7" s="63"/>
      <c r="K7" s="39">
        <v>1400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</row>
    <row r="8" spans="1:46" x14ac:dyDescent="0.25">
      <c r="A8" t="s">
        <v>27</v>
      </c>
      <c r="B8" s="46" t="s">
        <v>197</v>
      </c>
      <c r="C8" s="47">
        <v>2021</v>
      </c>
      <c r="D8" s="73">
        <f t="shared" si="0"/>
        <v>393000</v>
      </c>
      <c r="E8" s="73">
        <f t="shared" si="1"/>
        <v>393000</v>
      </c>
      <c r="F8" s="73">
        <f t="shared" si="2"/>
        <v>393000</v>
      </c>
      <c r="G8" s="73">
        <f t="shared" si="3"/>
        <v>393000</v>
      </c>
      <c r="H8" s="39">
        <f t="shared" si="4"/>
        <v>1</v>
      </c>
      <c r="I8" s="39"/>
      <c r="J8" s="63"/>
      <c r="K8" s="39">
        <v>393000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</row>
    <row r="9" spans="1:46" x14ac:dyDescent="0.25">
      <c r="A9" t="s">
        <v>32</v>
      </c>
      <c r="B9" s="46" t="s">
        <v>197</v>
      </c>
      <c r="C9" s="47">
        <v>2020</v>
      </c>
      <c r="D9" s="73">
        <f t="shared" si="0"/>
        <v>2600</v>
      </c>
      <c r="E9" s="73">
        <f t="shared" si="1"/>
        <v>2600</v>
      </c>
      <c r="F9" s="73">
        <f t="shared" si="2"/>
        <v>2600</v>
      </c>
      <c r="G9" s="73">
        <f t="shared" si="3"/>
        <v>2600</v>
      </c>
      <c r="H9" s="39">
        <f t="shared" si="4"/>
        <v>1</v>
      </c>
      <c r="I9" s="39"/>
      <c r="J9" s="63"/>
      <c r="K9" s="39">
        <v>2600</v>
      </c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</row>
    <row r="10" spans="1:46" x14ac:dyDescent="0.25">
      <c r="A10" t="s">
        <v>33</v>
      </c>
      <c r="B10" s="46" t="s">
        <v>197</v>
      </c>
      <c r="C10" s="47">
        <v>2020</v>
      </c>
      <c r="D10" s="73">
        <f t="shared" si="0"/>
        <v>5700</v>
      </c>
      <c r="E10" s="73">
        <f t="shared" si="1"/>
        <v>5700</v>
      </c>
      <c r="F10" s="73">
        <f t="shared" si="2"/>
        <v>5700</v>
      </c>
      <c r="G10" s="73">
        <f t="shared" si="3"/>
        <v>5700</v>
      </c>
      <c r="H10" s="39">
        <f t="shared" si="4"/>
        <v>1</v>
      </c>
      <c r="I10" s="39"/>
      <c r="J10" s="63"/>
      <c r="K10" s="39">
        <v>5700</v>
      </c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</row>
    <row r="11" spans="1:46" x14ac:dyDescent="0.25">
      <c r="A11" t="s">
        <v>34</v>
      </c>
      <c r="B11" s="46" t="s">
        <v>197</v>
      </c>
      <c r="C11" s="47">
        <v>2020</v>
      </c>
      <c r="D11" s="73">
        <f t="shared" si="0"/>
        <v>56</v>
      </c>
      <c r="E11" s="73">
        <f t="shared" si="1"/>
        <v>56</v>
      </c>
      <c r="F11" s="73">
        <f t="shared" si="2"/>
        <v>56</v>
      </c>
      <c r="G11" s="73">
        <f t="shared" si="3"/>
        <v>56</v>
      </c>
      <c r="H11" s="39">
        <f t="shared" si="4"/>
        <v>1</v>
      </c>
      <c r="I11" s="39"/>
      <c r="J11" s="63"/>
      <c r="K11" s="39">
        <v>56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</row>
    <row r="12" spans="1:46" x14ac:dyDescent="0.25">
      <c r="A12" t="s">
        <v>38</v>
      </c>
      <c r="B12" s="46" t="s">
        <v>197</v>
      </c>
      <c r="C12" s="47">
        <v>2021</v>
      </c>
      <c r="D12" s="73">
        <f t="shared" si="0"/>
        <v>1800</v>
      </c>
      <c r="E12" s="73">
        <f t="shared" si="1"/>
        <v>1800</v>
      </c>
      <c r="F12" s="73">
        <f t="shared" si="2"/>
        <v>1800</v>
      </c>
      <c r="G12" s="73">
        <f t="shared" si="3"/>
        <v>1800</v>
      </c>
      <c r="H12" s="39">
        <f t="shared" si="4"/>
        <v>1</v>
      </c>
      <c r="I12" s="39"/>
      <c r="J12" s="63"/>
      <c r="K12" s="39">
        <v>1800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</row>
    <row r="13" spans="1:46" x14ac:dyDescent="0.25">
      <c r="A13" t="s">
        <v>39</v>
      </c>
      <c r="B13" s="46" t="s">
        <v>197</v>
      </c>
      <c r="C13" s="47">
        <v>2022</v>
      </c>
      <c r="D13" s="73">
        <f t="shared" si="0"/>
        <v>140</v>
      </c>
      <c r="E13" s="73">
        <f t="shared" si="1"/>
        <v>140</v>
      </c>
      <c r="F13" s="73">
        <f t="shared" si="2"/>
        <v>140</v>
      </c>
      <c r="G13" s="73">
        <f t="shared" si="3"/>
        <v>140</v>
      </c>
      <c r="H13" s="39">
        <f t="shared" si="4"/>
        <v>1</v>
      </c>
      <c r="I13" s="39"/>
      <c r="J13" s="63"/>
      <c r="K13" s="39">
        <v>140</v>
      </c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</row>
    <row r="14" spans="1:46" x14ac:dyDescent="0.25">
      <c r="A14" t="s">
        <v>257</v>
      </c>
      <c r="B14" s="46" t="s">
        <v>197</v>
      </c>
      <c r="C14" s="47">
        <v>2023</v>
      </c>
      <c r="D14" s="73">
        <f t="shared" si="0"/>
        <v>81000</v>
      </c>
      <c r="E14" s="73">
        <f t="shared" si="1"/>
        <v>81000</v>
      </c>
      <c r="F14" s="73">
        <f t="shared" si="2"/>
        <v>81000</v>
      </c>
      <c r="G14" s="73">
        <f t="shared" si="3"/>
        <v>81000</v>
      </c>
      <c r="H14" s="39">
        <f t="shared" si="4"/>
        <v>1</v>
      </c>
      <c r="I14" s="39"/>
      <c r="J14" s="63"/>
      <c r="K14" s="39">
        <v>81000</v>
      </c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</row>
    <row r="15" spans="1:46" x14ac:dyDescent="0.25">
      <c r="A15" t="s">
        <v>48</v>
      </c>
      <c r="B15" s="46" t="s">
        <v>197</v>
      </c>
      <c r="C15" s="47">
        <v>2024</v>
      </c>
      <c r="D15" s="73">
        <f t="shared" si="0"/>
        <v>37.128333333333337</v>
      </c>
      <c r="E15" s="73">
        <f t="shared" si="1"/>
        <v>26.5</v>
      </c>
      <c r="F15" s="73">
        <f t="shared" si="2"/>
        <v>16</v>
      </c>
      <c r="G15" s="73">
        <f t="shared" si="3"/>
        <v>120.19000000000001</v>
      </c>
      <c r="H15" s="39">
        <f t="shared" si="4"/>
        <v>9</v>
      </c>
      <c r="I15" s="39"/>
      <c r="J15" s="63"/>
      <c r="K15" s="39">
        <v>16</v>
      </c>
      <c r="L15" s="39"/>
      <c r="M15" s="61"/>
      <c r="N15" s="64"/>
      <c r="O15" s="39">
        <v>26.5</v>
      </c>
      <c r="P15" s="39"/>
      <c r="Q15" s="61"/>
      <c r="R15" s="64"/>
      <c r="S15" s="39">
        <v>28</v>
      </c>
      <c r="T15" s="39" t="s">
        <v>302</v>
      </c>
      <c r="U15" s="61">
        <v>2016</v>
      </c>
      <c r="V15" s="64"/>
      <c r="W15" s="39">
        <v>22.715</v>
      </c>
      <c r="X15" s="39" t="s">
        <v>302</v>
      </c>
      <c r="Y15" s="61">
        <v>2014</v>
      </c>
      <c r="Z15" s="64"/>
      <c r="AA15" s="39">
        <v>30.449999999999996</v>
      </c>
      <c r="AB15" s="39" t="s">
        <v>302</v>
      </c>
      <c r="AC15" s="61">
        <v>2019</v>
      </c>
      <c r="AD15" s="64"/>
      <c r="AE15" s="39">
        <v>23.204999999999998</v>
      </c>
      <c r="AF15" s="39" t="s">
        <v>302</v>
      </c>
      <c r="AG15" s="61">
        <v>2014</v>
      </c>
      <c r="AH15" s="64"/>
      <c r="AI15" s="39">
        <v>47.74</v>
      </c>
      <c r="AJ15" s="39" t="s">
        <v>302</v>
      </c>
      <c r="AK15" s="61">
        <v>2017</v>
      </c>
      <c r="AL15" s="64"/>
      <c r="AM15" s="39">
        <v>19.355</v>
      </c>
      <c r="AN15" s="39" t="s">
        <v>302</v>
      </c>
      <c r="AO15" s="61">
        <v>2014</v>
      </c>
      <c r="AP15" s="64"/>
      <c r="AQ15" s="39">
        <v>120.19000000000001</v>
      </c>
      <c r="AR15" s="39" t="s">
        <v>302</v>
      </c>
      <c r="AS15" s="61">
        <v>2016</v>
      </c>
      <c r="AT15" s="64"/>
    </row>
    <row r="16" spans="1:46" x14ac:dyDescent="0.25">
      <c r="A16" t="s">
        <v>196</v>
      </c>
      <c r="B16" s="46" t="s">
        <v>197</v>
      </c>
      <c r="C16" s="47">
        <v>2025</v>
      </c>
      <c r="D16" s="73">
        <f t="shared" si="0"/>
        <v>400000</v>
      </c>
      <c r="E16" s="73">
        <f t="shared" si="1"/>
        <v>400000</v>
      </c>
      <c r="F16" s="73">
        <f t="shared" si="2"/>
        <v>400000</v>
      </c>
      <c r="G16" s="73">
        <f t="shared" si="3"/>
        <v>400000</v>
      </c>
      <c r="H16" s="39">
        <f t="shared" si="4"/>
        <v>1</v>
      </c>
      <c r="I16" s="39"/>
      <c r="J16" s="63"/>
      <c r="K16" s="39">
        <v>400000</v>
      </c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</row>
    <row r="17" spans="1:46" x14ac:dyDescent="0.25">
      <c r="A17" t="s">
        <v>53</v>
      </c>
      <c r="B17" s="46" t="s">
        <v>197</v>
      </c>
      <c r="C17" s="47">
        <v>2026</v>
      </c>
      <c r="D17" s="73">
        <f t="shared" si="0"/>
        <v>0</v>
      </c>
      <c r="E17" s="73">
        <f t="shared" si="1"/>
        <v>0</v>
      </c>
      <c r="F17" s="73">
        <f t="shared" si="2"/>
        <v>0</v>
      </c>
      <c r="G17" s="73">
        <f t="shared" si="3"/>
        <v>0</v>
      </c>
      <c r="H17" s="39">
        <f t="shared" si="4"/>
        <v>1</v>
      </c>
      <c r="I17" s="39"/>
      <c r="J17" s="63"/>
      <c r="K17" s="39">
        <v>0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</row>
    <row r="18" spans="1:46" x14ac:dyDescent="0.25">
      <c r="A18" t="s">
        <v>55</v>
      </c>
      <c r="B18" s="46" t="s">
        <v>197</v>
      </c>
      <c r="C18" s="47">
        <v>2027</v>
      </c>
      <c r="D18" s="73">
        <f t="shared" si="0"/>
        <v>1.7</v>
      </c>
      <c r="E18" s="73">
        <f t="shared" si="1"/>
        <v>1.7</v>
      </c>
      <c r="F18" s="73">
        <f t="shared" si="2"/>
        <v>1.7</v>
      </c>
      <c r="G18" s="73">
        <f t="shared" si="3"/>
        <v>1.7</v>
      </c>
      <c r="H18" s="39">
        <f t="shared" si="4"/>
        <v>1</v>
      </c>
      <c r="I18" s="39"/>
      <c r="J18" s="63"/>
      <c r="K18" s="39">
        <v>1.7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</row>
    <row r="19" spans="1:46" x14ac:dyDescent="0.25">
      <c r="A19" t="s">
        <v>57</v>
      </c>
      <c r="B19" s="46" t="s">
        <v>197</v>
      </c>
      <c r="C19" s="47">
        <v>2028</v>
      </c>
      <c r="D19" s="73">
        <f t="shared" si="0"/>
        <v>1400</v>
      </c>
      <c r="E19" s="73">
        <f t="shared" si="1"/>
        <v>1400</v>
      </c>
      <c r="F19" s="73">
        <f t="shared" si="2"/>
        <v>1400</v>
      </c>
      <c r="G19" s="73">
        <f t="shared" si="3"/>
        <v>1400</v>
      </c>
      <c r="H19" s="39">
        <f t="shared" si="4"/>
        <v>1</v>
      </c>
      <c r="I19" s="39"/>
      <c r="J19" s="63"/>
      <c r="K19" s="39">
        <v>1400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</row>
    <row r="20" spans="1:46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</row>
  </sheetData>
  <mergeCells count="12">
    <mergeCell ref="AM1:AP1"/>
    <mergeCell ref="AQ1:AT1"/>
    <mergeCell ref="W1:Z1"/>
    <mergeCell ref="AA1:AD1"/>
    <mergeCell ref="AE1:AH1"/>
    <mergeCell ref="AI1:AL1"/>
    <mergeCell ref="S1:V1"/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Z25"/>
  <sheetViews>
    <sheetView workbookViewId="0">
      <pane xSplit="1" topLeftCell="B1" activePane="topRight" state="frozen"/>
      <selection pane="topRight" activeCell="H24" sqref="H24"/>
    </sheetView>
  </sheetViews>
  <sheetFormatPr defaultRowHeight="15" x14ac:dyDescent="0.25"/>
  <cols>
    <col min="1" max="1" width="12.85546875" bestFit="1" customWidth="1"/>
    <col min="2" max="2" width="7.42578125" bestFit="1" customWidth="1"/>
  </cols>
  <sheetData>
    <row r="1" spans="1:26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208</v>
      </c>
      <c r="L1" s="121"/>
      <c r="M1" s="121"/>
      <c r="N1" s="122"/>
      <c r="O1" s="114" t="s">
        <v>229</v>
      </c>
      <c r="P1" s="115"/>
      <c r="Q1" s="115"/>
      <c r="R1" s="116"/>
      <c r="S1" s="120" t="s">
        <v>313</v>
      </c>
      <c r="T1" s="121"/>
      <c r="U1" s="121"/>
      <c r="V1" s="122"/>
      <c r="W1" s="115" t="s">
        <v>314</v>
      </c>
      <c r="X1" s="115"/>
      <c r="Y1" s="115"/>
      <c r="Z1" s="116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311</v>
      </c>
      <c r="L2" s="130"/>
      <c r="M2" s="130"/>
      <c r="N2" s="131"/>
      <c r="O2" s="123" t="s">
        <v>104</v>
      </c>
      <c r="P2" s="124"/>
      <c r="Q2" s="124"/>
      <c r="R2" s="125"/>
      <c r="S2" s="92"/>
      <c r="T2" s="92"/>
      <c r="U2" s="92"/>
      <c r="V2" s="93"/>
      <c r="W2" s="123" t="s">
        <v>104</v>
      </c>
      <c r="X2" s="124"/>
      <c r="Y2" s="124"/>
      <c r="Z2" s="125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165</v>
      </c>
      <c r="E5" s="73">
        <f>MEDIAN(K5,O5,S5,W5,AA5,AE5,AI5,AM5,AQ5,AU5,AY5,BC5,BG5,BK5,BO5,BS5,BW5,CA5)</f>
        <v>165</v>
      </c>
      <c r="F5" s="73">
        <f>MIN(K5,O5,S5,W5,AA5,AE5,AI5,AM5,AQ5,AU5,AY5,BC5,BG5,BK5,BO5,BS5,BW5,CA5)</f>
        <v>130</v>
      </c>
      <c r="G5" s="73">
        <f>MAX(K5,O5,S5,W5,AA5,AE5,AI5,AM5,AQ5,AU5,AY5,BC5,BG5,BK5,BO5,BS5,BW5,CA5)</f>
        <v>200</v>
      </c>
      <c r="H5" s="39">
        <f>COUNT(K5,O5,S5,W5,AA5,AE5,AI5,AM5,AQ5,AU5,AY5,BC5,BG5,BK5,BO5,BS5,BW5,CA5,CE5)</f>
        <v>2</v>
      </c>
      <c r="I5" s="39"/>
      <c r="J5" s="63"/>
      <c r="L5" s="39"/>
      <c r="M5" s="61"/>
      <c r="N5" s="64"/>
      <c r="O5" s="39"/>
      <c r="P5" s="39"/>
      <c r="Q5" s="61"/>
      <c r="R5" s="64"/>
      <c r="S5" s="39">
        <v>200</v>
      </c>
      <c r="T5" s="39"/>
      <c r="U5" s="61"/>
      <c r="V5" s="64"/>
      <c r="W5" s="39">
        <v>130</v>
      </c>
      <c r="X5" s="39"/>
      <c r="Y5" s="61"/>
      <c r="Z5" s="64"/>
    </row>
    <row r="6" spans="1:26" x14ac:dyDescent="0.25">
      <c r="A6" t="s">
        <v>181</v>
      </c>
      <c r="B6" s="46" t="s">
        <v>197</v>
      </c>
      <c r="C6" s="47">
        <v>2021</v>
      </c>
      <c r="D6" s="73">
        <f t="shared" ref="D6:D7" si="0">AVERAGE(K6,O6,S6,W6,AA6,AE6,AI6,AM6,AQ6,AU6,AY6,BC6,BG6,BK6,BO6,BS6,BW6,CA6)</f>
        <v>10</v>
      </c>
      <c r="E6" s="73">
        <f t="shared" ref="E6:E7" si="1">MEDIAN(K6,O6,S6,W6,AA6,AE6,AI6,AM6,AQ6,AU6,AY6,BC6,BG6,BK6,BO6,BS6,BW6,CA6)</f>
        <v>10</v>
      </c>
      <c r="F6" s="73">
        <f t="shared" ref="F6:F7" si="2">MIN(K6,O6,S6,W6,AA6,AE6,AI6,AM6,AQ6,AU6,AY6,BC6,BG6,BK6,BO6,BS6,BW6,CA6)</f>
        <v>10</v>
      </c>
      <c r="G6" s="73">
        <f t="shared" ref="G6:G7" si="3">MAX(K6,O6,S6,W6,AA6,AE6,AI6,AM6,AQ6,AU6,AY6,BC6,BG6,BK6,BO6,BS6,BW6,CA6)</f>
        <v>10</v>
      </c>
      <c r="H6" s="39">
        <f t="shared" ref="H6:H7" si="4">COUNT(K6,O6,S6,W6,AA6,AE6,AI6,AM6,AQ6,AU6,AY6,BC6,BG6,BK6,BO6,BS6,BW6,CA6,CE6)</f>
        <v>1</v>
      </c>
      <c r="I6" s="39"/>
      <c r="J6" s="63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>
        <v>10</v>
      </c>
      <c r="X6" s="39"/>
      <c r="Y6" s="61"/>
      <c r="Z6" s="64"/>
    </row>
    <row r="7" spans="1:26" x14ac:dyDescent="0.25">
      <c r="A7" t="s">
        <v>315</v>
      </c>
      <c r="B7" s="46" t="s">
        <v>197</v>
      </c>
      <c r="C7" s="47">
        <v>2022</v>
      </c>
      <c r="D7" s="73">
        <f t="shared" si="0"/>
        <v>40</v>
      </c>
      <c r="E7" s="73">
        <f t="shared" si="1"/>
        <v>40</v>
      </c>
      <c r="F7" s="73">
        <f t="shared" si="2"/>
        <v>40</v>
      </c>
      <c r="G7" s="73">
        <f t="shared" si="3"/>
        <v>40</v>
      </c>
      <c r="H7" s="39">
        <f t="shared" si="4"/>
        <v>1</v>
      </c>
      <c r="I7" s="39"/>
      <c r="J7" s="63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>
        <v>40</v>
      </c>
      <c r="X7" s="39"/>
      <c r="Y7" s="61"/>
      <c r="Z7" s="64"/>
    </row>
    <row r="8" spans="1:26" x14ac:dyDescent="0.25">
      <c r="A8" t="s">
        <v>10</v>
      </c>
      <c r="B8" s="46" t="s">
        <v>197</v>
      </c>
      <c r="C8" s="47">
        <v>2020</v>
      </c>
      <c r="D8" s="73">
        <f t="shared" ref="D8:D24" si="5">AVERAGE(K8,O8,S8,W8,AA8,AE8,AI8,AM8,AQ8,AU8,AY8,BC8,BG8,BK8,BO8,BS8,BW8,CA8)</f>
        <v>5.25</v>
      </c>
      <c r="E8" s="73">
        <f t="shared" ref="E8:E24" si="6">MEDIAN(K8,O8,S8,W8,AA8,AE8,AI8,AM8,AQ8,AU8,AY8,BC8,BG8,BK8,BO8,BS8,BW8,CA8)</f>
        <v>5.25</v>
      </c>
      <c r="F8" s="73">
        <f t="shared" ref="F8:F24" si="7">MIN(K8,O8,S8,W8,AA8,AE8,AI8,AM8,AQ8,AU8,AY8,BC8,BG8,BK8,BO8,BS8,BW8,CA8)</f>
        <v>0.5</v>
      </c>
      <c r="G8" s="73">
        <f t="shared" ref="G8:G24" si="8">MAX(K8,O8,S8,W8,AA8,AE8,AI8,AM8,AQ8,AU8,AY8,BC8,BG8,BK8,BO8,BS8,BW8,CA8)</f>
        <v>10</v>
      </c>
      <c r="H8" s="39">
        <f t="shared" ref="H8:H24" si="9">COUNT(K8,O8,S8,W8,AA8,AE8,AI8,AM8,AQ8,AU8,AY8,BC8,BG8,BK8,BO8,BS8,BW8,CA8,CE8)</f>
        <v>2</v>
      </c>
      <c r="I8" s="39"/>
      <c r="J8" s="63"/>
      <c r="K8" s="39">
        <v>0.5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>
        <v>10</v>
      </c>
      <c r="X8" s="39"/>
      <c r="Y8" s="61"/>
      <c r="Z8" s="64"/>
    </row>
    <row r="9" spans="1:26" x14ac:dyDescent="0.25">
      <c r="A9" t="s">
        <v>12</v>
      </c>
      <c r="B9" s="46" t="s">
        <v>197</v>
      </c>
      <c r="C9" s="47">
        <v>2020</v>
      </c>
      <c r="D9" s="73">
        <f t="shared" si="5"/>
        <v>829.17499999999995</v>
      </c>
      <c r="E9" s="73">
        <f t="shared" si="6"/>
        <v>388.35</v>
      </c>
      <c r="F9" s="73">
        <f t="shared" si="7"/>
        <v>350</v>
      </c>
      <c r="G9" s="73">
        <f t="shared" si="8"/>
        <v>2190</v>
      </c>
      <c r="H9" s="39">
        <f t="shared" si="9"/>
        <v>4</v>
      </c>
      <c r="I9" s="39"/>
      <c r="J9" s="63"/>
      <c r="K9" s="39">
        <v>426.70000000000005</v>
      </c>
      <c r="L9" s="39"/>
      <c r="M9" s="61"/>
      <c r="N9" s="64"/>
      <c r="O9" s="39">
        <v>350</v>
      </c>
      <c r="P9" s="39"/>
      <c r="Q9" s="61"/>
      <c r="R9" s="64"/>
      <c r="S9" s="39">
        <v>2190</v>
      </c>
      <c r="T9" s="39"/>
      <c r="U9" s="61"/>
      <c r="V9" s="64"/>
      <c r="W9" s="39">
        <v>350</v>
      </c>
      <c r="X9" s="39"/>
      <c r="Y9" s="61"/>
      <c r="Z9" s="64"/>
    </row>
    <row r="10" spans="1:26" x14ac:dyDescent="0.25">
      <c r="A10" t="s">
        <v>15</v>
      </c>
      <c r="B10" s="46" t="s">
        <v>197</v>
      </c>
      <c r="C10" s="47">
        <v>2020</v>
      </c>
      <c r="D10" s="73">
        <f t="shared" si="5"/>
        <v>1054.9000000000001</v>
      </c>
      <c r="E10" s="73">
        <f t="shared" si="6"/>
        <v>1345</v>
      </c>
      <c r="F10" s="73">
        <f t="shared" si="7"/>
        <v>59.6</v>
      </c>
      <c r="G10" s="73">
        <f t="shared" si="8"/>
        <v>1470</v>
      </c>
      <c r="H10" s="39">
        <f t="shared" si="9"/>
        <v>4</v>
      </c>
      <c r="I10" s="39"/>
      <c r="J10" s="63"/>
      <c r="K10" s="39">
        <v>59.6</v>
      </c>
      <c r="L10" s="39"/>
      <c r="M10" s="61"/>
      <c r="N10" s="64"/>
      <c r="O10" s="39">
        <v>1345</v>
      </c>
      <c r="P10" s="39"/>
      <c r="Q10" s="61"/>
      <c r="R10" s="64"/>
      <c r="S10" s="39">
        <v>1470</v>
      </c>
      <c r="T10" s="39"/>
      <c r="U10" s="61"/>
      <c r="V10" s="64"/>
      <c r="W10" s="39">
        <v>1345</v>
      </c>
      <c r="X10" s="39"/>
      <c r="Y10" s="61"/>
      <c r="Z10" s="64"/>
    </row>
    <row r="11" spans="1:26" x14ac:dyDescent="0.25">
      <c r="A11" t="s">
        <v>23</v>
      </c>
      <c r="B11" s="46" t="s">
        <v>197</v>
      </c>
      <c r="C11" s="47">
        <v>2020</v>
      </c>
      <c r="D11" s="73">
        <f t="shared" si="5"/>
        <v>0.5</v>
      </c>
      <c r="E11" s="73">
        <f t="shared" si="6"/>
        <v>0.5</v>
      </c>
      <c r="F11" s="73">
        <f t="shared" si="7"/>
        <v>0.5</v>
      </c>
      <c r="G11" s="73">
        <f t="shared" si="8"/>
        <v>0.5</v>
      </c>
      <c r="H11" s="39">
        <f t="shared" si="9"/>
        <v>1</v>
      </c>
      <c r="I11" s="39"/>
      <c r="J11" s="63"/>
      <c r="K11" s="39">
        <v>0.5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</row>
    <row r="12" spans="1:26" x14ac:dyDescent="0.25">
      <c r="A12" t="s">
        <v>25</v>
      </c>
      <c r="B12" s="46" t="s">
        <v>197</v>
      </c>
      <c r="C12" s="47">
        <v>2020</v>
      </c>
      <c r="D12" s="73">
        <f t="shared" si="5"/>
        <v>5.8</v>
      </c>
      <c r="E12" s="73">
        <f t="shared" si="6"/>
        <v>5.8000000000000007</v>
      </c>
      <c r="F12" s="73">
        <f t="shared" si="7"/>
        <v>1.6</v>
      </c>
      <c r="G12" s="73">
        <f t="shared" si="8"/>
        <v>10</v>
      </c>
      <c r="H12" s="39">
        <f t="shared" si="9"/>
        <v>2</v>
      </c>
      <c r="I12" s="39"/>
      <c r="J12" s="63"/>
      <c r="K12" s="39">
        <v>1.6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>
        <v>10</v>
      </c>
      <c r="X12" s="39"/>
      <c r="Y12" s="61"/>
      <c r="Z12" s="64"/>
    </row>
    <row r="13" spans="1:26" x14ac:dyDescent="0.25">
      <c r="A13" t="s">
        <v>29</v>
      </c>
      <c r="B13" s="46" t="s">
        <v>197</v>
      </c>
      <c r="C13" s="47">
        <v>2020</v>
      </c>
      <c r="D13" s="73">
        <f t="shared" si="5"/>
        <v>28.099999999999998</v>
      </c>
      <c r="E13" s="73">
        <f t="shared" si="6"/>
        <v>40</v>
      </c>
      <c r="F13" s="73">
        <f t="shared" si="7"/>
        <v>4.3</v>
      </c>
      <c r="G13" s="73">
        <f t="shared" si="8"/>
        <v>40</v>
      </c>
      <c r="H13" s="39">
        <f t="shared" si="9"/>
        <v>3</v>
      </c>
      <c r="I13" s="39"/>
      <c r="J13" s="63"/>
      <c r="K13" s="77">
        <v>4.3</v>
      </c>
      <c r="L13" s="39"/>
      <c r="M13" s="61"/>
      <c r="N13" s="64"/>
      <c r="O13" s="39">
        <v>40</v>
      </c>
      <c r="P13" s="39"/>
      <c r="Q13" s="61"/>
      <c r="R13" s="64"/>
      <c r="S13" s="39"/>
      <c r="T13" s="39"/>
      <c r="U13" s="61"/>
      <c r="V13" s="64"/>
      <c r="W13" s="39">
        <v>40</v>
      </c>
      <c r="X13" s="39"/>
      <c r="Y13" s="61"/>
      <c r="Z13" s="64"/>
    </row>
    <row r="14" spans="1:26" x14ac:dyDescent="0.25">
      <c r="A14" t="s">
        <v>33</v>
      </c>
      <c r="B14" s="46" t="s">
        <v>197</v>
      </c>
      <c r="C14" s="47">
        <v>2020</v>
      </c>
      <c r="D14" s="73">
        <f t="shared" si="5"/>
        <v>295.09500000000003</v>
      </c>
      <c r="E14" s="73">
        <f t="shared" si="6"/>
        <v>295.09500000000003</v>
      </c>
      <c r="F14" s="73">
        <f t="shared" si="7"/>
        <v>75.19</v>
      </c>
      <c r="G14" s="73">
        <f t="shared" si="8"/>
        <v>515</v>
      </c>
      <c r="H14" s="39">
        <f t="shared" si="9"/>
        <v>2</v>
      </c>
      <c r="I14" s="39"/>
      <c r="J14" s="63"/>
      <c r="K14" s="77"/>
      <c r="L14" s="39"/>
      <c r="M14" s="61"/>
      <c r="N14" s="64"/>
      <c r="O14" s="39"/>
      <c r="P14" s="39"/>
      <c r="Q14" s="61"/>
      <c r="R14" s="64"/>
      <c r="S14" s="39">
        <v>75.19</v>
      </c>
      <c r="T14" s="39"/>
      <c r="U14" s="61"/>
      <c r="V14" s="64"/>
      <c r="W14" s="39">
        <v>515</v>
      </c>
      <c r="X14" s="39"/>
      <c r="Y14" s="61"/>
      <c r="Z14" s="64"/>
    </row>
    <row r="15" spans="1:26" x14ac:dyDescent="0.25">
      <c r="A15" t="s">
        <v>34</v>
      </c>
      <c r="B15" s="46" t="s">
        <v>197</v>
      </c>
      <c r="C15" s="47">
        <v>2020</v>
      </c>
      <c r="D15" s="73">
        <f t="shared" si="5"/>
        <v>70.8</v>
      </c>
      <c r="E15" s="73">
        <f t="shared" si="6"/>
        <v>70.8</v>
      </c>
      <c r="F15" s="73">
        <f t="shared" si="7"/>
        <v>70.8</v>
      </c>
      <c r="G15" s="73">
        <f t="shared" si="8"/>
        <v>70.8</v>
      </c>
      <c r="H15" s="39">
        <f t="shared" si="9"/>
        <v>1</v>
      </c>
      <c r="I15" s="39"/>
      <c r="J15" s="63"/>
      <c r="K15" s="77">
        <v>70.8</v>
      </c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</row>
    <row r="16" spans="1:26" x14ac:dyDescent="0.25">
      <c r="A16" t="s">
        <v>38</v>
      </c>
      <c r="B16" s="46" t="s">
        <v>197</v>
      </c>
      <c r="C16" s="47">
        <v>2020</v>
      </c>
      <c r="D16" s="73">
        <f t="shared" si="5"/>
        <v>285.16666666666669</v>
      </c>
      <c r="E16" s="73">
        <f t="shared" si="6"/>
        <v>300</v>
      </c>
      <c r="F16" s="73">
        <f t="shared" si="7"/>
        <v>255.5</v>
      </c>
      <c r="G16" s="73">
        <f t="shared" si="8"/>
        <v>300</v>
      </c>
      <c r="H16" s="39">
        <f t="shared" si="9"/>
        <v>3</v>
      </c>
      <c r="I16" s="39"/>
      <c r="J16" s="63"/>
      <c r="K16" s="77">
        <v>255.5</v>
      </c>
      <c r="L16" s="39"/>
      <c r="M16" s="61"/>
      <c r="N16" s="64"/>
      <c r="O16" s="39">
        <v>300</v>
      </c>
      <c r="P16" s="39"/>
      <c r="Q16" s="61"/>
      <c r="R16" s="64"/>
      <c r="S16" s="39"/>
      <c r="T16" s="39"/>
      <c r="U16" s="61"/>
      <c r="V16" s="64"/>
      <c r="W16" s="39">
        <v>300</v>
      </c>
      <c r="X16" s="39"/>
      <c r="Y16" s="61"/>
      <c r="Z16" s="64"/>
    </row>
    <row r="17" spans="1:26" x14ac:dyDescent="0.25">
      <c r="A17" t="s">
        <v>39</v>
      </c>
      <c r="B17" s="46" t="s">
        <v>197</v>
      </c>
      <c r="C17" s="47">
        <v>2020</v>
      </c>
      <c r="D17" s="73">
        <f t="shared" si="5"/>
        <v>2</v>
      </c>
      <c r="E17" s="73">
        <f t="shared" si="6"/>
        <v>2</v>
      </c>
      <c r="F17" s="73">
        <f t="shared" si="7"/>
        <v>2</v>
      </c>
      <c r="G17" s="73">
        <f t="shared" si="8"/>
        <v>2</v>
      </c>
      <c r="H17" s="39">
        <f t="shared" si="9"/>
        <v>1</v>
      </c>
      <c r="I17" s="39"/>
      <c r="J17" s="63"/>
      <c r="K17" s="77">
        <v>2</v>
      </c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</row>
    <row r="18" spans="1:26" x14ac:dyDescent="0.25">
      <c r="A18" t="s">
        <v>48</v>
      </c>
      <c r="B18" s="46" t="s">
        <v>197</v>
      </c>
      <c r="C18" s="47">
        <v>2020</v>
      </c>
      <c r="D18" s="73">
        <f t="shared" si="5"/>
        <v>9.15</v>
      </c>
      <c r="E18" s="73">
        <f t="shared" si="6"/>
        <v>9.15</v>
      </c>
      <c r="F18" s="73">
        <f t="shared" si="7"/>
        <v>8.3000000000000007</v>
      </c>
      <c r="G18" s="73">
        <f t="shared" si="8"/>
        <v>10</v>
      </c>
      <c r="H18" s="39">
        <f t="shared" si="9"/>
        <v>2</v>
      </c>
      <c r="I18" s="39"/>
      <c r="J18" s="63"/>
      <c r="K18" s="77">
        <v>8.3000000000000007</v>
      </c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>
        <v>10</v>
      </c>
      <c r="X18" s="39"/>
      <c r="Y18" s="61"/>
      <c r="Z18" s="64"/>
    </row>
    <row r="19" spans="1:26" x14ac:dyDescent="0.25">
      <c r="A19" t="s">
        <v>145</v>
      </c>
      <c r="B19" s="46" t="s">
        <v>197</v>
      </c>
      <c r="C19" s="47">
        <v>2020</v>
      </c>
      <c r="D19" s="73">
        <f t="shared" si="5"/>
        <v>4.5999999999999996</v>
      </c>
      <c r="E19" s="73">
        <f t="shared" si="6"/>
        <v>4.5999999999999996</v>
      </c>
      <c r="F19" s="73">
        <f t="shared" si="7"/>
        <v>4.5999999999999996</v>
      </c>
      <c r="G19" s="73">
        <f t="shared" si="8"/>
        <v>4.5999999999999996</v>
      </c>
      <c r="H19" s="39">
        <f t="shared" si="9"/>
        <v>1</v>
      </c>
      <c r="I19" s="39"/>
      <c r="J19" s="63"/>
      <c r="K19" s="77">
        <v>4.5999999999999996</v>
      </c>
      <c r="L19" s="39"/>
      <c r="M19" s="61"/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</row>
    <row r="20" spans="1:26" x14ac:dyDescent="0.25">
      <c r="A20" t="s">
        <v>54</v>
      </c>
      <c r="B20" s="46" t="s">
        <v>197</v>
      </c>
      <c r="C20" s="47">
        <v>2020</v>
      </c>
      <c r="D20" s="73">
        <f t="shared" si="5"/>
        <v>5</v>
      </c>
      <c r="E20" s="73">
        <f t="shared" si="6"/>
        <v>5</v>
      </c>
      <c r="F20" s="73">
        <f t="shared" si="7"/>
        <v>5</v>
      </c>
      <c r="G20" s="73">
        <f t="shared" si="8"/>
        <v>5</v>
      </c>
      <c r="H20" s="39">
        <f t="shared" si="9"/>
        <v>1</v>
      </c>
      <c r="I20" s="39"/>
      <c r="J20" s="63"/>
      <c r="K20" s="77">
        <v>5</v>
      </c>
      <c r="L20" s="39"/>
      <c r="M20" s="61"/>
      <c r="N20" s="64"/>
      <c r="O20" s="39"/>
      <c r="P20" s="39"/>
      <c r="Q20" s="61"/>
      <c r="R20" s="64"/>
      <c r="S20" s="39"/>
      <c r="T20" s="39"/>
      <c r="U20" s="61"/>
      <c r="V20" s="64"/>
      <c r="W20" s="39"/>
      <c r="X20" s="39"/>
      <c r="Y20" s="61"/>
      <c r="Z20" s="64"/>
    </row>
    <row r="21" spans="1:26" x14ac:dyDescent="0.25">
      <c r="A21" t="s">
        <v>312</v>
      </c>
      <c r="B21" s="46" t="s">
        <v>197</v>
      </c>
      <c r="C21" s="47">
        <v>2020</v>
      </c>
      <c r="D21" s="73">
        <f t="shared" si="5"/>
        <v>174.4</v>
      </c>
      <c r="E21" s="73">
        <f t="shared" si="6"/>
        <v>174.4</v>
      </c>
      <c r="F21" s="73">
        <f t="shared" si="7"/>
        <v>174.4</v>
      </c>
      <c r="G21" s="73">
        <f t="shared" si="8"/>
        <v>174.4</v>
      </c>
      <c r="H21" s="39">
        <f t="shared" si="9"/>
        <v>1</v>
      </c>
      <c r="I21" s="39"/>
      <c r="J21" s="63"/>
      <c r="K21" s="77">
        <v>174.4</v>
      </c>
      <c r="L21" s="39"/>
      <c r="M21" s="61"/>
      <c r="N21" s="64"/>
      <c r="O21" s="39"/>
      <c r="P21" s="39"/>
      <c r="Q21" s="61"/>
      <c r="R21" s="64"/>
      <c r="S21" s="39"/>
      <c r="T21" s="39"/>
      <c r="U21" s="61"/>
      <c r="V21" s="64"/>
      <c r="W21" s="39"/>
      <c r="X21" s="39"/>
      <c r="Y21" s="61"/>
      <c r="Z21" s="64"/>
    </row>
    <row r="22" spans="1:26" x14ac:dyDescent="0.25">
      <c r="A22" t="s">
        <v>55</v>
      </c>
      <c r="B22" s="46" t="s">
        <v>197</v>
      </c>
      <c r="C22" s="47">
        <v>2020</v>
      </c>
      <c r="D22" s="73">
        <f t="shared" si="5"/>
        <v>0.6</v>
      </c>
      <c r="E22" s="73">
        <f t="shared" si="6"/>
        <v>0.6</v>
      </c>
      <c r="F22" s="73">
        <f t="shared" si="7"/>
        <v>0.6</v>
      </c>
      <c r="G22" s="73">
        <f t="shared" si="8"/>
        <v>0.6</v>
      </c>
      <c r="H22" s="39">
        <f t="shared" si="9"/>
        <v>1</v>
      </c>
      <c r="I22" s="39"/>
      <c r="J22" s="63"/>
      <c r="K22" s="77">
        <v>0.6</v>
      </c>
      <c r="L22" s="39"/>
      <c r="M22" s="61"/>
      <c r="N22" s="64"/>
      <c r="O22" s="39"/>
      <c r="P22" s="39"/>
      <c r="Q22" s="61"/>
      <c r="R22" s="64"/>
      <c r="S22" s="39"/>
      <c r="T22" s="39"/>
      <c r="U22" s="61"/>
      <c r="V22" s="64"/>
      <c r="W22" s="39"/>
      <c r="X22" s="39"/>
      <c r="Y22" s="61"/>
      <c r="Z22" s="64"/>
    </row>
    <row r="23" spans="1:26" x14ac:dyDescent="0.25">
      <c r="A23" t="s">
        <v>56</v>
      </c>
      <c r="B23" s="46" t="s">
        <v>197</v>
      </c>
      <c r="C23" s="47">
        <v>2020</v>
      </c>
      <c r="D23" s="73">
        <f t="shared" si="5"/>
        <v>0.5</v>
      </c>
      <c r="E23" s="73">
        <f t="shared" si="6"/>
        <v>0.5</v>
      </c>
      <c r="F23" s="73">
        <f t="shared" si="7"/>
        <v>0.5</v>
      </c>
      <c r="G23" s="73">
        <f t="shared" si="8"/>
        <v>0.5</v>
      </c>
      <c r="H23" s="39">
        <f t="shared" si="9"/>
        <v>1</v>
      </c>
      <c r="I23" s="39"/>
      <c r="J23" s="63"/>
      <c r="K23" s="77">
        <v>0.5</v>
      </c>
      <c r="L23" s="39"/>
      <c r="M23" s="61"/>
      <c r="N23" s="64"/>
      <c r="O23" s="39"/>
      <c r="P23" s="39"/>
      <c r="Q23" s="61"/>
      <c r="R23" s="64"/>
      <c r="S23" s="39"/>
      <c r="T23" s="39"/>
      <c r="U23" s="61"/>
      <c r="V23" s="64"/>
      <c r="W23" s="39"/>
      <c r="X23" s="39"/>
      <c r="Y23" s="61"/>
      <c r="Z23" s="64"/>
    </row>
    <row r="24" spans="1:26" x14ac:dyDescent="0.25">
      <c r="A24" t="s">
        <v>58</v>
      </c>
      <c r="B24" s="46" t="s">
        <v>197</v>
      </c>
      <c r="C24" s="47">
        <v>2020</v>
      </c>
      <c r="D24" s="73">
        <f t="shared" si="5"/>
        <v>165.25</v>
      </c>
      <c r="E24" s="73">
        <f t="shared" si="6"/>
        <v>165.25</v>
      </c>
      <c r="F24" s="73">
        <f t="shared" si="7"/>
        <v>30.5</v>
      </c>
      <c r="G24" s="73">
        <f t="shared" si="8"/>
        <v>300</v>
      </c>
      <c r="H24" s="39">
        <f t="shared" si="9"/>
        <v>2</v>
      </c>
      <c r="I24" s="39"/>
      <c r="J24" s="63"/>
      <c r="K24" s="77">
        <v>30.5</v>
      </c>
      <c r="L24" s="39"/>
      <c r="M24" s="61"/>
      <c r="N24" s="64"/>
      <c r="O24" s="39"/>
      <c r="P24" s="39"/>
      <c r="Q24" s="61"/>
      <c r="R24" s="64"/>
      <c r="S24" s="39"/>
      <c r="T24" s="39"/>
      <c r="U24" s="61"/>
      <c r="V24" s="64"/>
      <c r="W24" s="39">
        <v>300</v>
      </c>
      <c r="X24" s="39"/>
      <c r="Y24" s="61"/>
      <c r="Z24" s="64"/>
    </row>
    <row r="25" spans="1:26" x14ac:dyDescent="0.25">
      <c r="A25" s="41"/>
      <c r="B25" s="48"/>
      <c r="C25" s="48"/>
      <c r="D25" s="41"/>
      <c r="E25" s="41"/>
      <c r="F25" s="41"/>
      <c r="G25" s="41"/>
      <c r="H25" s="52"/>
      <c r="I25" s="41"/>
      <c r="J25" s="57"/>
      <c r="K25" s="41"/>
      <c r="L25" s="41"/>
      <c r="M25" s="52"/>
      <c r="N25" s="57"/>
      <c r="O25" s="41"/>
      <c r="P25" s="41"/>
      <c r="Q25" s="52"/>
      <c r="R25" s="57"/>
      <c r="S25" s="41"/>
      <c r="T25" s="41"/>
      <c r="U25" s="52"/>
      <c r="V25" s="57"/>
      <c r="W25" s="41"/>
      <c r="X25" s="41"/>
      <c r="Y25" s="52"/>
      <c r="Z25" s="57"/>
    </row>
  </sheetData>
  <mergeCells count="8">
    <mergeCell ref="W2:Z2"/>
    <mergeCell ref="K2:N2"/>
    <mergeCell ref="O2:R2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8"/>
  <sheetViews>
    <sheetView workbookViewId="0">
      <pane xSplit="1" topLeftCell="B1" activePane="topRight" state="frozen"/>
      <selection pane="topRight" activeCell="H7" sqref="H7"/>
    </sheetView>
  </sheetViews>
  <sheetFormatPr defaultRowHeight="15" x14ac:dyDescent="0.25"/>
  <sheetData>
    <row r="1" spans="1:3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318</v>
      </c>
      <c r="L1" s="121"/>
      <c r="M1" s="121"/>
      <c r="N1" s="122"/>
      <c r="O1" s="114" t="s">
        <v>324</v>
      </c>
      <c r="P1" s="115"/>
      <c r="Q1" s="115"/>
      <c r="R1" s="116"/>
      <c r="S1" s="120" t="s">
        <v>345</v>
      </c>
      <c r="T1" s="121"/>
      <c r="U1" s="121"/>
      <c r="V1" s="122"/>
      <c r="W1" s="114" t="s">
        <v>355</v>
      </c>
      <c r="X1" s="115"/>
      <c r="Y1" s="115"/>
      <c r="Z1" s="116"/>
      <c r="AA1" s="120" t="s">
        <v>357</v>
      </c>
      <c r="AB1" s="121"/>
      <c r="AC1" s="121"/>
      <c r="AD1" s="122"/>
      <c r="AE1" s="114" t="s">
        <v>358</v>
      </c>
      <c r="AF1" s="115"/>
      <c r="AG1" s="115"/>
      <c r="AH1" s="116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319</v>
      </c>
      <c r="L2" s="130"/>
      <c r="M2" s="130"/>
      <c r="N2" s="131"/>
      <c r="O2" s="123" t="s">
        <v>325</v>
      </c>
      <c r="P2" s="124"/>
      <c r="Q2" s="124"/>
      <c r="R2" s="125"/>
      <c r="S2" s="129" t="s">
        <v>325</v>
      </c>
      <c r="T2" s="130"/>
      <c r="U2" s="130"/>
      <c r="V2" s="131"/>
      <c r="W2" s="123" t="s">
        <v>325</v>
      </c>
      <c r="X2" s="124"/>
      <c r="Y2" s="124"/>
      <c r="Z2" s="125"/>
      <c r="AA2" s="129" t="s">
        <v>325</v>
      </c>
      <c r="AB2" s="130"/>
      <c r="AC2" s="130"/>
      <c r="AD2" s="131"/>
      <c r="AE2" s="123" t="s">
        <v>325</v>
      </c>
      <c r="AF2" s="124"/>
      <c r="AG2" s="124"/>
      <c r="AH2" s="125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t="s">
        <v>13</v>
      </c>
      <c r="B5" s="46" t="s">
        <v>317</v>
      </c>
      <c r="C5" s="47">
        <v>2019</v>
      </c>
      <c r="D5" s="73">
        <f>AVERAGE(K5,O5,S5,W5,AA5,AE5,AI5,AM5,AQ5,AU5,AY5,BC5,BG5,BK5,BO5,BS5,BW5,CA5)</f>
        <v>0.92609568965517253</v>
      </c>
      <c r="E5" s="73">
        <f>MEDIAN(K5,O5,S5,W5,AA5,AE5,AI5,AM5,AQ5,AU5,AY5,BC5,BG5,BK5,BO5,BS5,BW5,CA5)</f>
        <v>0.99674137931034479</v>
      </c>
      <c r="F5" s="73">
        <f>MIN(K5,O5,S5,W5,AA5,AE5,AI5,AM5,AQ5,AU5,AY5,BC5,BG5,BK5,BO5,BS5,BW5,CA5)</f>
        <v>0.63090000000000002</v>
      </c>
      <c r="G5" s="73">
        <f>MAX(K5,O5,S5,W5,AA5,AE5,AI5,AM5,AQ5,AU5,AY5,BC5,BG5,BK5,BO5,BS5,BW5,CA5)</f>
        <v>1.08</v>
      </c>
      <c r="H5" s="39">
        <f>COUNT(K5,O5,S5,W5,AA5,AE5,AI5,AM5,AQ5,AU5,AY5,BC5,BG5,BK5,BO5,BS5,BW5,CA5,CE5)</f>
        <v>4</v>
      </c>
      <c r="I5" s="39"/>
      <c r="J5" s="63"/>
      <c r="K5" s="39">
        <v>1.08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0.95899999999999996</v>
      </c>
      <c r="X5" s="39"/>
      <c r="Y5" s="61"/>
      <c r="Z5" s="64"/>
      <c r="AA5" s="39">
        <v>1.0344827586206897</v>
      </c>
      <c r="AB5" s="39"/>
      <c r="AC5" s="61"/>
      <c r="AD5" s="64"/>
      <c r="AE5" s="39">
        <v>0.63090000000000002</v>
      </c>
      <c r="AF5" s="39"/>
      <c r="AG5" s="61"/>
      <c r="AH5" s="64"/>
    </row>
    <row r="6" spans="1:34" x14ac:dyDescent="0.25">
      <c r="A6" t="s">
        <v>31</v>
      </c>
      <c r="B6" s="46" t="s">
        <v>317</v>
      </c>
      <c r="C6" s="47">
        <v>2020</v>
      </c>
      <c r="D6" s="73">
        <f>AVERAGE(K6,O6,S6,W6,AA6,AE6,AI6,AM6,AQ6,AU6,AY6,BC6,BG6,BK6,BO6,BS6,BW6,CA6)</f>
        <v>0.12051793103448276</v>
      </c>
      <c r="E6" s="73">
        <f>MEDIAN(K6,O6,S6,W6,AA6,AE6,AI6,AM6,AQ6,AU6,AY6,BC6,BG6,BK6,BO6,BS6,BW6,CA6)</f>
        <v>0.12068965517241381</v>
      </c>
      <c r="F6" s="73">
        <f>MIN(K6,O6,S6,W6,AA6,AE6,AI6,AM6,AQ6,AU6,AY6,BC6,BG6,BK6,BO6,BS6,BW6,CA6)</f>
        <v>7.3899999999999993E-2</v>
      </c>
      <c r="G6" s="73">
        <f>MAX(K6,O6,S6,W6,AA6,AE6,AI6,AM6,AQ6,AU6,AY6,BC6,BG6,BK6,BO6,BS6,BW6,CA6)</f>
        <v>0.17</v>
      </c>
      <c r="H6" s="39">
        <f>COUNT(K6,O6,S6,W6,AA6,AE6,AI6,AM6,AQ6,AU6,AY6,BC6,BG6,BK6,BO6,BS6,BW6,CA6,CE6)</f>
        <v>5</v>
      </c>
      <c r="I6" s="39"/>
      <c r="J6" s="63"/>
      <c r="K6" s="39">
        <v>0.125</v>
      </c>
      <c r="L6" s="39"/>
      <c r="M6" s="61"/>
      <c r="N6" s="64"/>
      <c r="O6" s="39"/>
      <c r="P6" s="39"/>
      <c r="Q6" s="61"/>
      <c r="R6" s="64"/>
      <c r="S6" s="39">
        <v>0.17</v>
      </c>
      <c r="T6" s="39"/>
      <c r="U6" s="61"/>
      <c r="V6" s="64"/>
      <c r="W6" s="39">
        <v>0.113</v>
      </c>
      <c r="X6" s="39"/>
      <c r="Y6" s="61"/>
      <c r="Z6" s="64"/>
      <c r="AA6" s="39">
        <v>0.12068965517241381</v>
      </c>
      <c r="AB6" s="39"/>
      <c r="AC6" s="61"/>
      <c r="AD6" s="64"/>
      <c r="AE6" s="39">
        <v>7.3899999999999993E-2</v>
      </c>
      <c r="AF6" s="39"/>
      <c r="AG6" s="61"/>
      <c r="AH6" s="64"/>
    </row>
    <row r="7" spans="1:34" x14ac:dyDescent="0.25">
      <c r="A7" t="s">
        <v>38</v>
      </c>
      <c r="B7" s="46" t="s">
        <v>317</v>
      </c>
      <c r="C7" s="47">
        <v>2021</v>
      </c>
      <c r="D7" s="73">
        <f>AVERAGE(K7,O7,S7,W7,AA7,AE7,AI7,AM7,AQ7,AU7,AY7,BC7,BG7,BK7,BO7,BS7,BW7,CA7)</f>
        <v>0</v>
      </c>
      <c r="E7" s="73">
        <f>MEDIAN(K7,O7,S7,W7,AA7,AE7,AI7,AM7,AQ7,AU7,AY7,BC7,BG7,BK7,BO7,BS7,BW7,CA7)</f>
        <v>0</v>
      </c>
      <c r="F7" s="73">
        <f>MIN(K7,O7,S7,W7,AA7,AE7,AI7,AM7,AQ7,AU7,AY7,BC7,BG7,BK7,BO7,BS7,BW7,CA7)</f>
        <v>0</v>
      </c>
      <c r="G7" s="73">
        <f>MAX(K7,O7,S7,W7,AA7,AE7,AI7,AM7,AQ7,AU7,AY7,BC7,BG7,BK7,BO7,BS7,BW7,CA7)</f>
        <v>0</v>
      </c>
      <c r="H7" s="39">
        <f>COUNT(K7,O7,S7,W7,AA7,AE7,AI7,AM7,AQ7,AU7,AY7,BC7,BG7,BK7,BO7,BS7,BW7,CA7,CE7)</f>
        <v>1</v>
      </c>
      <c r="I7" s="39"/>
      <c r="J7" s="63"/>
      <c r="L7" s="39"/>
      <c r="M7" s="61"/>
      <c r="N7" s="64"/>
      <c r="O7" s="39">
        <v>0</v>
      </c>
      <c r="P7" s="39"/>
      <c r="Q7" s="61"/>
      <c r="R7" s="64"/>
      <c r="T7" s="39"/>
      <c r="U7" s="61"/>
      <c r="V7" s="64"/>
      <c r="W7" s="39"/>
      <c r="X7" s="39"/>
      <c r="Y7" s="61"/>
      <c r="Z7" s="64"/>
      <c r="AB7" s="39"/>
      <c r="AC7" s="61"/>
      <c r="AD7" s="64"/>
      <c r="AE7" s="39"/>
      <c r="AF7" s="39"/>
      <c r="AG7" s="61"/>
      <c r="AH7" s="64"/>
    </row>
    <row r="8" spans="1:34" x14ac:dyDescent="0.25">
      <c r="A8" s="41"/>
      <c r="B8" s="48"/>
      <c r="C8" s="48"/>
      <c r="D8" s="41"/>
      <c r="E8" s="41"/>
      <c r="F8" s="41"/>
      <c r="G8" s="41"/>
      <c r="H8" s="52"/>
      <c r="I8" s="41"/>
      <c r="J8" s="57"/>
      <c r="K8" s="41"/>
      <c r="L8" s="41"/>
      <c r="M8" s="52"/>
      <c r="N8" s="57"/>
      <c r="O8" s="41"/>
      <c r="P8" s="41"/>
      <c r="Q8" s="52"/>
      <c r="R8" s="57"/>
      <c r="S8" s="41"/>
      <c r="T8" s="41"/>
      <c r="U8" s="52"/>
      <c r="V8" s="57"/>
      <c r="W8" s="41"/>
      <c r="X8" s="41"/>
      <c r="Y8" s="52"/>
      <c r="Z8" s="57"/>
      <c r="AA8" s="41"/>
      <c r="AB8" s="41"/>
      <c r="AC8" s="52"/>
      <c r="AD8" s="57"/>
      <c r="AE8" s="41"/>
      <c r="AF8" s="41"/>
      <c r="AG8" s="52"/>
      <c r="AH8" s="57"/>
    </row>
  </sheetData>
  <mergeCells count="13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T12"/>
  <sheetViews>
    <sheetView workbookViewId="0">
      <pane xSplit="1" topLeftCell="B1" activePane="topRight" state="frozen"/>
      <selection pane="topRight" activeCell="H11" sqref="H11"/>
    </sheetView>
  </sheetViews>
  <sheetFormatPr defaultRowHeight="15" x14ac:dyDescent="0.25"/>
  <cols>
    <col min="1" max="1" width="11.140625" bestFit="1" customWidth="1"/>
  </cols>
  <sheetData>
    <row r="1" spans="1:46" x14ac:dyDescent="0.25">
      <c r="A1" s="88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318</v>
      </c>
      <c r="L1" s="121"/>
      <c r="M1" s="121"/>
      <c r="N1" s="122"/>
      <c r="O1" s="114" t="s">
        <v>324</v>
      </c>
      <c r="P1" s="115"/>
      <c r="Q1" s="115"/>
      <c r="R1" s="116"/>
      <c r="S1" s="120" t="s">
        <v>211</v>
      </c>
      <c r="T1" s="121"/>
      <c r="U1" s="121"/>
      <c r="V1" s="122"/>
      <c r="W1" s="114" t="s">
        <v>343</v>
      </c>
      <c r="X1" s="115"/>
      <c r="Y1" s="115"/>
      <c r="Z1" s="116"/>
      <c r="AA1" s="120" t="s">
        <v>348</v>
      </c>
      <c r="AB1" s="121"/>
      <c r="AC1" s="121"/>
      <c r="AD1" s="122"/>
      <c r="AE1" s="114" t="s">
        <v>357</v>
      </c>
      <c r="AF1" s="115"/>
      <c r="AG1" s="115"/>
      <c r="AH1" s="116"/>
      <c r="AI1" s="120" t="s">
        <v>358</v>
      </c>
      <c r="AJ1" s="121"/>
      <c r="AK1" s="121"/>
      <c r="AL1" s="122"/>
      <c r="AM1" s="114" t="s">
        <v>360</v>
      </c>
      <c r="AN1" s="115"/>
      <c r="AO1" s="115"/>
      <c r="AP1" s="116"/>
      <c r="AQ1" s="120" t="s">
        <v>362</v>
      </c>
      <c r="AR1" s="121"/>
      <c r="AS1" s="121"/>
      <c r="AT1" s="122"/>
    </row>
    <row r="2" spans="1:4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320</v>
      </c>
      <c r="L2" s="130"/>
      <c r="M2" s="130"/>
      <c r="N2" s="131"/>
      <c r="O2" s="123" t="s">
        <v>327</v>
      </c>
      <c r="P2" s="124"/>
      <c r="Q2" s="124"/>
      <c r="R2" s="125"/>
      <c r="S2" s="129" t="s">
        <v>331</v>
      </c>
      <c r="T2" s="130"/>
      <c r="U2" s="130"/>
      <c r="V2" s="131"/>
      <c r="W2" s="123" t="s">
        <v>327</v>
      </c>
      <c r="X2" s="124"/>
      <c r="Y2" s="124"/>
      <c r="Z2" s="125"/>
      <c r="AA2" s="129" t="s">
        <v>351</v>
      </c>
      <c r="AB2" s="130"/>
      <c r="AC2" s="130"/>
      <c r="AD2" s="131"/>
      <c r="AE2" s="123" t="s">
        <v>327</v>
      </c>
      <c r="AF2" s="124"/>
      <c r="AG2" s="124"/>
      <c r="AH2" s="125"/>
      <c r="AI2" s="129" t="s">
        <v>331</v>
      </c>
      <c r="AJ2" s="130"/>
      <c r="AK2" s="130"/>
      <c r="AL2" s="131"/>
      <c r="AM2" s="123" t="s">
        <v>327</v>
      </c>
      <c r="AN2" s="124"/>
      <c r="AO2" s="124"/>
      <c r="AP2" s="125"/>
      <c r="AQ2" s="129" t="s">
        <v>327</v>
      </c>
      <c r="AR2" s="130"/>
      <c r="AS2" s="130"/>
      <c r="AT2" s="131"/>
    </row>
    <row r="3" spans="1:4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</row>
    <row r="4" spans="1:4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</row>
    <row r="5" spans="1:46" x14ac:dyDescent="0.25">
      <c r="A5" s="71" t="s">
        <v>3</v>
      </c>
      <c r="B5" s="46" t="s">
        <v>317</v>
      </c>
      <c r="C5" s="47">
        <v>2020</v>
      </c>
      <c r="D5" s="73">
        <f t="shared" ref="D5:D10" si="0">AVERAGE(K5,O5,S5,W5,AA5,AE5,AI5,AM5,AQ5,AU5,AY5,BC5,BG5,BK5,BO5,BS5,BW5,CA5)</f>
        <v>0.94986074847693647</v>
      </c>
      <c r="E5" s="73">
        <f t="shared" ref="E5:E10" si="1">MEDIAN(K5,O5,S5,W5,AA5,AE5,AI5,AM5,AQ5,AU5,AY5,BC5,BG5,BK5,BO5,BS5,BW5,CA5)</f>
        <v>0.94986074847693647</v>
      </c>
      <c r="F5" s="73">
        <f t="shared" ref="F5:F10" si="2">MIN(K5,O5,S5,W5,AA5,AE5,AI5,AM5,AQ5,AU5,AY5,BC5,BG5,BK5,BO5,BS5,BW5,CA5)</f>
        <v>0.22</v>
      </c>
      <c r="G5" s="73">
        <f t="shared" ref="G5:G10" si="3">MAX(K5,O5,S5,W5,AA5,AE5,AI5,AM5,AQ5,AU5,AY5,BC5,BG5,BK5,BO5,BS5,BW5,CA5)</f>
        <v>1.679721496953873</v>
      </c>
      <c r="H5" s="39">
        <f t="shared" ref="H5:H10" si="4"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0.22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1.679721496953873</v>
      </c>
      <c r="AR5" s="39"/>
      <c r="AS5" s="61"/>
      <c r="AT5" s="64"/>
    </row>
    <row r="6" spans="1:46" x14ac:dyDescent="0.25">
      <c r="A6" s="71" t="s">
        <v>15</v>
      </c>
      <c r="B6" s="46" t="s">
        <v>317</v>
      </c>
      <c r="C6" s="47">
        <v>2020</v>
      </c>
      <c r="D6" s="73">
        <f t="shared" si="0"/>
        <v>0.88458659704090503</v>
      </c>
      <c r="E6" s="73">
        <f t="shared" si="1"/>
        <v>0.88458659704090503</v>
      </c>
      <c r="F6" s="73">
        <f t="shared" si="2"/>
        <v>0.22</v>
      </c>
      <c r="G6" s="73">
        <f t="shared" si="3"/>
        <v>1.5491731940818101</v>
      </c>
      <c r="H6" s="39">
        <f t="shared" si="4"/>
        <v>2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>
        <v>0.22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>
        <v>1.5491731940818101</v>
      </c>
      <c r="AR6" s="39"/>
      <c r="AS6" s="61"/>
      <c r="AT6" s="64"/>
    </row>
    <row r="7" spans="1:46" x14ac:dyDescent="0.25">
      <c r="A7" s="71" t="s">
        <v>13</v>
      </c>
      <c r="B7" s="46" t="s">
        <v>317</v>
      </c>
      <c r="C7" s="47">
        <v>2020</v>
      </c>
      <c r="D7" s="73">
        <f t="shared" si="0"/>
        <v>6.2E-2</v>
      </c>
      <c r="E7" s="73">
        <f t="shared" si="1"/>
        <v>6.2E-2</v>
      </c>
      <c r="F7" s="73">
        <f t="shared" si="2"/>
        <v>0</v>
      </c>
      <c r="G7" s="73">
        <f t="shared" si="3"/>
        <v>0.124</v>
      </c>
      <c r="H7" s="39">
        <f t="shared" si="4"/>
        <v>2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>
        <v>0.124</v>
      </c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>
        <v>0</v>
      </c>
      <c r="AR7" s="39"/>
      <c r="AS7" s="61"/>
      <c r="AT7" s="64"/>
    </row>
    <row r="8" spans="1:46" x14ac:dyDescent="0.25">
      <c r="A8" s="71" t="s">
        <v>27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0.6962576153176675</v>
      </c>
      <c r="E8" s="73">
        <f t="shared" ref="E8" si="6">MEDIAN(K8,O8,S8,W8,AA8,AE8,AI8,AM8,AQ8,AU8,AY8,BC8,BG8,BK8,BO8,BS8,BW8,CA8)</f>
        <v>0.6962576153176675</v>
      </c>
      <c r="F8" s="73">
        <f t="shared" ref="F8" si="7">MIN(K8,O8,S8,W8,AA8,AE8,AI8,AM8,AQ8,AU8,AY8,BC8,BG8,BK8,BO8,BS8,BW8,CA8)</f>
        <v>0.6962576153176675</v>
      </c>
      <c r="G8" s="73">
        <f t="shared" ref="G8" si="8">MAX(K8,O8,S8,W8,AA8,AE8,AI8,AM8,AQ8,AU8,AY8,BC8,BG8,BK8,BO8,BS8,BW8,CA8)</f>
        <v>0.6962576153176675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>
        <v>0.6962576153176675</v>
      </c>
      <c r="AR8" s="39"/>
      <c r="AS8" s="61"/>
      <c r="AT8" s="64"/>
    </row>
    <row r="9" spans="1:46" x14ac:dyDescent="0.25">
      <c r="A9" s="71" t="s">
        <v>31</v>
      </c>
      <c r="B9" s="46" t="s">
        <v>317</v>
      </c>
      <c r="C9" s="47">
        <v>2020</v>
      </c>
      <c r="D9" s="73">
        <f>AVERAGE(K9,O9,S9,W9,AA9,AE9,AI9,AM9,AQ9,AU9,AY9,BC9,BG9,BK9,BO9,BS9,BW9,CA9)</f>
        <v>0.1088399939610309</v>
      </c>
      <c r="E9" s="73">
        <f>MEDIAN(K9,O9,S9,W9,AA9,AE9,AI9,AM9,AQ9,AU9,AY9,BC9,BG9,BK9,BO9,BS9,BW9,CA9)</f>
        <v>0.113</v>
      </c>
      <c r="F9" s="73">
        <f>MIN(K9,O9,S9,W9,AA9,AE9,AI9,AM9,AQ9,AU9,AY9,BC9,BG9,BK9,BO9,BS9,BW9,CA9)</f>
        <v>7.5300000000000006E-2</v>
      </c>
      <c r="G9" s="73">
        <f>MAX(K9,O9,S9,W9,AA9,AE9,AI9,AM9,AQ9,AU9,AY9,BC9,BG9,BK9,BO9,BS9,BW9,CA9)</f>
        <v>0.13</v>
      </c>
      <c r="H9" s="39">
        <f>COUNT(K9,O9,S9,W9,AA9,AE9,AI9,AM9,AQ9,AU9,AY9,BC9,BG9,BK9,BO9,BS9,BW9,CA9,CE9)</f>
        <v>7</v>
      </c>
      <c r="I9" s="39"/>
      <c r="J9" s="63"/>
      <c r="K9" s="39">
        <v>0.1125</v>
      </c>
      <c r="L9" s="39"/>
      <c r="M9" s="61"/>
      <c r="N9" s="64"/>
      <c r="O9" s="39"/>
      <c r="P9" s="39"/>
      <c r="Q9" s="61"/>
      <c r="R9" s="64"/>
      <c r="S9" s="39">
        <v>0.113</v>
      </c>
      <c r="T9" s="39"/>
      <c r="U9" s="61"/>
      <c r="V9" s="64"/>
      <c r="W9" s="39">
        <v>0.13</v>
      </c>
      <c r="X9" s="39"/>
      <c r="Y9" s="61"/>
      <c r="Z9" s="64"/>
      <c r="AA9" s="39"/>
      <c r="AB9" s="39"/>
      <c r="AC9" s="61"/>
      <c r="AD9" s="64"/>
      <c r="AE9" s="101">
        <v>9.5238095238095247E-2</v>
      </c>
      <c r="AF9" s="39"/>
      <c r="AG9" s="61"/>
      <c r="AH9" s="64"/>
      <c r="AI9" s="39">
        <v>7.5300000000000006E-2</v>
      </c>
      <c r="AJ9" s="39"/>
      <c r="AK9" s="61"/>
      <c r="AL9" s="64"/>
      <c r="AM9" s="101">
        <v>0.1227</v>
      </c>
      <c r="AN9" s="39"/>
      <c r="AO9" s="61"/>
      <c r="AP9" s="64"/>
      <c r="AQ9" s="39">
        <v>0.11314186248912098</v>
      </c>
      <c r="AR9" s="39"/>
      <c r="AS9" s="61"/>
      <c r="AT9" s="64"/>
    </row>
    <row r="10" spans="1:46" x14ac:dyDescent="0.25">
      <c r="A10" s="71" t="s">
        <v>33</v>
      </c>
      <c r="B10" s="46" t="s">
        <v>317</v>
      </c>
      <c r="C10" s="47">
        <v>2020</v>
      </c>
      <c r="D10" s="73">
        <f t="shared" si="0"/>
        <v>1.0439478117617804</v>
      </c>
      <c r="E10" s="73">
        <f t="shared" si="1"/>
        <v>1.012652959094865</v>
      </c>
      <c r="F10" s="73">
        <f t="shared" si="2"/>
        <v>0.40600000000000003</v>
      </c>
      <c r="G10" s="73">
        <f t="shared" si="3"/>
        <v>1.77</v>
      </c>
      <c r="H10" s="39">
        <f t="shared" si="4"/>
        <v>6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>
        <v>0.40600000000000003</v>
      </c>
      <c r="T10" s="39"/>
      <c r="U10" s="61"/>
      <c r="V10" s="64"/>
      <c r="W10" s="39">
        <v>1.77</v>
      </c>
      <c r="X10" s="39"/>
      <c r="Y10" s="61"/>
      <c r="Z10" s="64"/>
      <c r="AA10" s="39">
        <v>0.61</v>
      </c>
      <c r="AB10" s="39"/>
      <c r="AC10" s="61"/>
      <c r="AD10" s="64"/>
      <c r="AE10" s="89">
        <v>1.4523809523809523</v>
      </c>
      <c r="AF10" s="39"/>
      <c r="AG10" s="61"/>
      <c r="AH10" s="64"/>
      <c r="AI10" s="39">
        <v>1.1984999999999999</v>
      </c>
      <c r="AJ10" s="39"/>
      <c r="AK10" s="61"/>
      <c r="AL10" s="64"/>
      <c r="AM10" s="89"/>
      <c r="AN10" s="39"/>
      <c r="AO10" s="61"/>
      <c r="AP10" s="64"/>
      <c r="AQ10" s="39">
        <v>0.82680591818973015</v>
      </c>
      <c r="AR10" s="39"/>
      <c r="AS10" s="61"/>
      <c r="AT10" s="64"/>
    </row>
    <row r="11" spans="1:46" x14ac:dyDescent="0.25">
      <c r="A11" t="s">
        <v>38</v>
      </c>
      <c r="B11" s="46" t="s">
        <v>317</v>
      </c>
      <c r="C11" s="47">
        <v>2020</v>
      </c>
      <c r="D11" s="73">
        <f>AVERAGE(K11,O11,S11,W11,AA11,AE11,AI11,AM11,AQ11,AU11,AY11,BC11,BG11,BK11,BO11,BS11,BW11,CA11)</f>
        <v>0.14123440673049029</v>
      </c>
      <c r="E11" s="73">
        <f>MEDIAN(K11,O11,S11,W11,AA11,AE11,AI11,AM11,AQ11,AU11,AY11,BC11,BG11,BK11,BO11,BS11,BW11,CA11)</f>
        <v>8.7032201914708437E-3</v>
      </c>
      <c r="F11" s="73">
        <f>MIN(K11,O11,S11,W11,AA11,AE11,AI11,AM11,AQ11,AU11,AY11,BC11,BG11,BK11,BO11,BS11,BW11,CA11)</f>
        <v>0</v>
      </c>
      <c r="G11" s="73">
        <f>MAX(K11,O11,S11,W11,AA11,AE11,AI11,AM11,AQ11,AU11,AY11,BC11,BG11,BK11,BO11,BS11,BW11,CA11)</f>
        <v>0.41499999999999998</v>
      </c>
      <c r="H11" s="39">
        <f>COUNT(K11,O11,S11,W11,AA11,AE11,AI11,AM11,AQ11,AU11,AY11,BC11,BG11,BK11,BO11,BS11,BW11,CA11,CE11)</f>
        <v>3</v>
      </c>
      <c r="I11" s="39"/>
      <c r="J11" s="63"/>
      <c r="K11" s="39"/>
      <c r="L11" s="39"/>
      <c r="M11" s="61"/>
      <c r="N11" s="64"/>
      <c r="O11" s="39">
        <v>0</v>
      </c>
      <c r="P11" s="39"/>
      <c r="Q11" s="61"/>
      <c r="R11" s="64"/>
      <c r="S11" s="39">
        <v>0.41499999999999998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>
        <v>8.7032201914708437E-3</v>
      </c>
      <c r="AR11" s="39"/>
      <c r="AS11" s="61"/>
      <c r="AT11" s="64"/>
    </row>
    <row r="12" spans="1:46" x14ac:dyDescent="0.25">
      <c r="A12" s="41"/>
      <c r="B12" s="48"/>
      <c r="C12" s="48"/>
      <c r="D12" s="41"/>
      <c r="E12" s="41"/>
      <c r="F12" s="41"/>
      <c r="G12" s="41"/>
      <c r="H12" s="52"/>
      <c r="I12" s="41"/>
      <c r="J12" s="57"/>
      <c r="K12" s="41"/>
      <c r="L12" s="41"/>
      <c r="M12" s="52"/>
      <c r="N12" s="57"/>
      <c r="O12" s="41"/>
      <c r="P12" s="41"/>
      <c r="Q12" s="52"/>
      <c r="R12" s="57"/>
      <c r="S12" s="41"/>
      <c r="T12" s="41"/>
      <c r="U12" s="52"/>
      <c r="V12" s="57"/>
      <c r="W12" s="41"/>
      <c r="X12" s="41"/>
      <c r="Y12" s="52"/>
      <c r="Z12" s="57"/>
      <c r="AA12" s="41"/>
      <c r="AB12" s="41"/>
      <c r="AC12" s="52"/>
      <c r="AD12" s="57"/>
      <c r="AE12" s="41"/>
      <c r="AF12" s="41"/>
      <c r="AG12" s="52"/>
      <c r="AH12" s="57"/>
      <c r="AI12" s="41"/>
      <c r="AJ12" s="41"/>
      <c r="AK12" s="52"/>
      <c r="AL12" s="57"/>
      <c r="AM12" s="41"/>
      <c r="AN12" s="41"/>
      <c r="AO12" s="52"/>
      <c r="AP12" s="57"/>
      <c r="AQ12" s="41"/>
      <c r="AR12" s="41"/>
      <c r="AS12" s="52"/>
      <c r="AT12" s="57"/>
    </row>
  </sheetData>
  <mergeCells count="19">
    <mergeCell ref="D1:J1"/>
    <mergeCell ref="K1:N1"/>
    <mergeCell ref="O1:R1"/>
    <mergeCell ref="K2:N2"/>
    <mergeCell ref="O2:R2"/>
    <mergeCell ref="S1:V1"/>
    <mergeCell ref="S2:V2"/>
    <mergeCell ref="W1:Z1"/>
    <mergeCell ref="W2:Z2"/>
    <mergeCell ref="AA1:AD1"/>
    <mergeCell ref="AA2:AD2"/>
    <mergeCell ref="AQ1:AT1"/>
    <mergeCell ref="AQ2:AT2"/>
    <mergeCell ref="AE1:AH1"/>
    <mergeCell ref="AE2:AH2"/>
    <mergeCell ref="AI1:AL1"/>
    <mergeCell ref="AI2:AL2"/>
    <mergeCell ref="AM1:AP1"/>
    <mergeCell ref="AM2:A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topLeftCell="A40" workbookViewId="0">
      <selection activeCell="D68" sqref="D68"/>
    </sheetView>
  </sheetViews>
  <sheetFormatPr defaultRowHeight="15" x14ac:dyDescent="0.25"/>
  <cols>
    <col min="1" max="1" width="24.42578125" bestFit="1" customWidth="1"/>
    <col min="2" max="2" width="67.5703125" bestFit="1" customWidth="1"/>
  </cols>
  <sheetData>
    <row r="1" spans="1:2" x14ac:dyDescent="0.25">
      <c r="A1" s="1" t="s">
        <v>59</v>
      </c>
      <c r="B1" s="2" t="s">
        <v>60</v>
      </c>
    </row>
    <row r="2" spans="1:2" x14ac:dyDescent="0.25">
      <c r="A2" s="33" t="s">
        <v>114</v>
      </c>
      <c r="B2" s="34"/>
    </row>
    <row r="3" spans="1:2" x14ac:dyDescent="0.25">
      <c r="A3" s="3" t="s">
        <v>61</v>
      </c>
      <c r="B3" s="4"/>
    </row>
    <row r="4" spans="1:2" x14ac:dyDescent="0.25">
      <c r="A4" s="35" t="s">
        <v>62</v>
      </c>
      <c r="B4" s="5"/>
    </row>
    <row r="5" spans="1:2" x14ac:dyDescent="0.25">
      <c r="A5" s="6"/>
      <c r="B5" s="7" t="s">
        <v>63</v>
      </c>
    </row>
    <row r="6" spans="1:2" x14ac:dyDescent="0.25">
      <c r="A6" s="6"/>
      <c r="B6" s="8" t="s">
        <v>64</v>
      </c>
    </row>
    <row r="7" spans="1:2" x14ac:dyDescent="0.25">
      <c r="A7" s="6"/>
      <c r="B7" s="8" t="s">
        <v>65</v>
      </c>
    </row>
    <row r="8" spans="1:2" x14ac:dyDescent="0.25">
      <c r="A8" s="6"/>
      <c r="B8" s="9" t="s">
        <v>66</v>
      </c>
    </row>
    <row r="9" spans="1:2" x14ac:dyDescent="0.25">
      <c r="A9" s="6"/>
      <c r="B9" s="8" t="s">
        <v>67</v>
      </c>
    </row>
    <row r="10" spans="1:2" x14ac:dyDescent="0.25">
      <c r="A10" s="6"/>
      <c r="B10" s="10" t="s">
        <v>68</v>
      </c>
    </row>
    <row r="11" spans="1:2" x14ac:dyDescent="0.25">
      <c r="A11" s="11" t="s">
        <v>69</v>
      </c>
      <c r="B11" s="12"/>
    </row>
    <row r="12" spans="1:2" x14ac:dyDescent="0.25">
      <c r="A12" s="6"/>
      <c r="B12" s="8" t="s">
        <v>63</v>
      </c>
    </row>
    <row r="13" spans="1:2" x14ac:dyDescent="0.25">
      <c r="A13" s="6"/>
      <c r="B13" s="8" t="s">
        <v>64</v>
      </c>
    </row>
    <row r="14" spans="1:2" x14ac:dyDescent="0.25">
      <c r="A14" s="6"/>
      <c r="B14" s="8" t="s">
        <v>65</v>
      </c>
    </row>
    <row r="15" spans="1:2" x14ac:dyDescent="0.25">
      <c r="A15" s="6"/>
      <c r="B15" s="9" t="s">
        <v>66</v>
      </c>
    </row>
    <row r="16" spans="1:2" x14ac:dyDescent="0.25">
      <c r="A16" s="6"/>
      <c r="B16" s="8" t="s">
        <v>67</v>
      </c>
    </row>
    <row r="17" spans="1:2" x14ac:dyDescent="0.25">
      <c r="A17" s="6"/>
      <c r="B17" s="10" t="s">
        <v>68</v>
      </c>
    </row>
    <row r="18" spans="1:2" x14ac:dyDescent="0.25">
      <c r="A18" s="13" t="s">
        <v>70</v>
      </c>
      <c r="B18" s="14"/>
    </row>
    <row r="19" spans="1:2" x14ac:dyDescent="0.25">
      <c r="A19" s="6"/>
      <c r="B19" s="8" t="s">
        <v>71</v>
      </c>
    </row>
    <row r="20" spans="1:2" x14ac:dyDescent="0.25">
      <c r="A20" s="6"/>
      <c r="B20" s="8" t="s">
        <v>72</v>
      </c>
    </row>
    <row r="21" spans="1:2" x14ac:dyDescent="0.25">
      <c r="A21" s="6"/>
      <c r="B21" s="8" t="s">
        <v>73</v>
      </c>
    </row>
    <row r="22" spans="1:2" x14ac:dyDescent="0.25">
      <c r="A22" s="6"/>
      <c r="B22" s="8" t="s">
        <v>73</v>
      </c>
    </row>
    <row r="23" spans="1:2" x14ac:dyDescent="0.25">
      <c r="A23" s="6"/>
      <c r="B23" s="8" t="s">
        <v>73</v>
      </c>
    </row>
    <row r="24" spans="1:2" x14ac:dyDescent="0.25">
      <c r="A24" s="6"/>
      <c r="B24" s="8" t="s">
        <v>74</v>
      </c>
    </row>
    <row r="25" spans="1:2" x14ac:dyDescent="0.25">
      <c r="A25" s="6"/>
      <c r="B25" s="15" t="s">
        <v>75</v>
      </c>
    </row>
    <row r="26" spans="1:2" x14ac:dyDescent="0.25">
      <c r="A26" s="6"/>
      <c r="B26" s="15" t="s">
        <v>76</v>
      </c>
    </row>
    <row r="27" spans="1:2" x14ac:dyDescent="0.25">
      <c r="A27" s="6"/>
      <c r="B27" s="15" t="s">
        <v>77</v>
      </c>
    </row>
    <row r="28" spans="1:2" x14ac:dyDescent="0.25">
      <c r="A28" s="6"/>
      <c r="B28" s="15" t="s">
        <v>78</v>
      </c>
    </row>
    <row r="29" spans="1:2" x14ac:dyDescent="0.25">
      <c r="A29" s="6"/>
      <c r="B29" s="15" t="s">
        <v>79</v>
      </c>
    </row>
    <row r="30" spans="1:2" x14ac:dyDescent="0.25">
      <c r="A30" s="6"/>
      <c r="B30" s="15" t="s">
        <v>80</v>
      </c>
    </row>
    <row r="31" spans="1:2" x14ac:dyDescent="0.25">
      <c r="A31" s="16" t="s">
        <v>81</v>
      </c>
      <c r="B31" s="17"/>
    </row>
    <row r="32" spans="1:2" x14ac:dyDescent="0.25">
      <c r="A32" s="6"/>
      <c r="B32" s="18" t="s">
        <v>82</v>
      </c>
    </row>
    <row r="33" spans="1:2" x14ac:dyDescent="0.25">
      <c r="A33" s="6"/>
      <c r="B33" s="15" t="s">
        <v>83</v>
      </c>
    </row>
    <row r="34" spans="1:2" x14ac:dyDescent="0.25">
      <c r="A34" s="6"/>
      <c r="B34" s="15" t="s">
        <v>84</v>
      </c>
    </row>
    <row r="35" spans="1:2" x14ac:dyDescent="0.25">
      <c r="A35" s="6"/>
      <c r="B35" s="8" t="s">
        <v>85</v>
      </c>
    </row>
    <row r="36" spans="1:2" x14ac:dyDescent="0.25">
      <c r="A36" s="6"/>
      <c r="B36" s="8" t="s">
        <v>86</v>
      </c>
    </row>
    <row r="37" spans="1:2" x14ac:dyDescent="0.25">
      <c r="A37" s="6"/>
      <c r="B37" s="8" t="s">
        <v>87</v>
      </c>
    </row>
    <row r="38" spans="1:2" x14ac:dyDescent="0.25">
      <c r="A38" s="6"/>
      <c r="B38" s="8" t="s">
        <v>88</v>
      </c>
    </row>
    <row r="39" spans="1:2" x14ac:dyDescent="0.25">
      <c r="A39" s="19" t="s">
        <v>89</v>
      </c>
      <c r="B39" s="20"/>
    </row>
    <row r="40" spans="1:2" x14ac:dyDescent="0.25">
      <c r="A40" s="6"/>
      <c r="B40" s="15" t="s">
        <v>90</v>
      </c>
    </row>
    <row r="41" spans="1:2" x14ac:dyDescent="0.25">
      <c r="A41" s="6"/>
      <c r="B41" s="15" t="s">
        <v>91</v>
      </c>
    </row>
    <row r="42" spans="1:2" x14ac:dyDescent="0.25">
      <c r="A42" s="6"/>
      <c r="B42" s="15" t="s">
        <v>92</v>
      </c>
    </row>
    <row r="43" spans="1:2" x14ac:dyDescent="0.25">
      <c r="A43" s="6"/>
      <c r="B43" s="15" t="s">
        <v>92</v>
      </c>
    </row>
    <row r="44" spans="1:2" x14ac:dyDescent="0.25">
      <c r="A44" s="21" t="s">
        <v>93</v>
      </c>
      <c r="B44" s="22"/>
    </row>
    <row r="45" spans="1:2" x14ac:dyDescent="0.25">
      <c r="A45" s="6"/>
      <c r="B45" s="8" t="s">
        <v>94</v>
      </c>
    </row>
    <row r="46" spans="1:2" x14ac:dyDescent="0.25">
      <c r="A46" s="6"/>
      <c r="B46" s="8" t="s">
        <v>95</v>
      </c>
    </row>
    <row r="47" spans="1:2" x14ac:dyDescent="0.25">
      <c r="A47" s="6"/>
      <c r="B47" s="8" t="s">
        <v>96</v>
      </c>
    </row>
    <row r="48" spans="1:2" x14ac:dyDescent="0.25">
      <c r="A48" s="6"/>
      <c r="B48" s="8" t="s">
        <v>97</v>
      </c>
    </row>
    <row r="49" spans="1:2" x14ac:dyDescent="0.25">
      <c r="A49" s="6"/>
      <c r="B49" s="15" t="s">
        <v>98</v>
      </c>
    </row>
    <row r="50" spans="1:2" x14ac:dyDescent="0.25">
      <c r="A50" s="23" t="s">
        <v>99</v>
      </c>
      <c r="B50" s="24"/>
    </row>
    <row r="51" spans="1:2" x14ac:dyDescent="0.25">
      <c r="A51" s="6"/>
      <c r="B51" s="15" t="s">
        <v>100</v>
      </c>
    </row>
    <row r="52" spans="1:2" x14ac:dyDescent="0.25">
      <c r="A52" s="6"/>
      <c r="B52" s="15" t="s">
        <v>101</v>
      </c>
    </row>
    <row r="53" spans="1:2" x14ac:dyDescent="0.25">
      <c r="A53" s="6"/>
      <c r="B53" s="15" t="s">
        <v>102</v>
      </c>
    </row>
    <row r="54" spans="1:2" x14ac:dyDescent="0.25">
      <c r="A54" s="25" t="s">
        <v>103</v>
      </c>
      <c r="B54" s="26"/>
    </row>
    <row r="55" spans="1:2" x14ac:dyDescent="0.25">
      <c r="A55" s="6"/>
      <c r="B55" s="15" t="s">
        <v>104</v>
      </c>
    </row>
    <row r="56" spans="1:2" x14ac:dyDescent="0.25">
      <c r="A56" s="6"/>
      <c r="B56" s="15" t="s">
        <v>105</v>
      </c>
    </row>
    <row r="57" spans="1:2" x14ac:dyDescent="0.25">
      <c r="A57" s="6"/>
      <c r="B57" s="15" t="s">
        <v>106</v>
      </c>
    </row>
    <row r="58" spans="1:2" x14ac:dyDescent="0.25">
      <c r="A58" s="6"/>
      <c r="B58" s="15" t="s">
        <v>107</v>
      </c>
    </row>
    <row r="59" spans="1:2" x14ac:dyDescent="0.25">
      <c r="A59" s="27" t="s">
        <v>108</v>
      </c>
      <c r="B59" s="28"/>
    </row>
    <row r="60" spans="1:2" x14ac:dyDescent="0.25">
      <c r="A60" s="29" t="s">
        <v>109</v>
      </c>
      <c r="B60" s="30"/>
    </row>
    <row r="61" spans="1:2" x14ac:dyDescent="0.25">
      <c r="A61" s="29" t="s">
        <v>110</v>
      </c>
      <c r="B61" s="30"/>
    </row>
    <row r="62" spans="1:2" x14ac:dyDescent="0.25">
      <c r="A62" s="29" t="s">
        <v>111</v>
      </c>
      <c r="B62" s="30"/>
    </row>
    <row r="63" spans="1:2" x14ac:dyDescent="0.25">
      <c r="A63" s="29" t="s">
        <v>112</v>
      </c>
      <c r="B63" s="30"/>
    </row>
    <row r="64" spans="1:2" x14ac:dyDescent="0.25">
      <c r="A64" s="31" t="s">
        <v>113</v>
      </c>
      <c r="B64" s="32"/>
    </row>
    <row r="65" spans="1:2" x14ac:dyDescent="0.25">
      <c r="A65" s="97" t="s">
        <v>316</v>
      </c>
      <c r="B65" s="98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N16"/>
  <sheetViews>
    <sheetView workbookViewId="0">
      <pane xSplit="1" topLeftCell="B1" activePane="topRight" state="frozen"/>
      <selection pane="topRight" activeCell="H14" sqref="H14"/>
    </sheetView>
  </sheetViews>
  <sheetFormatPr defaultRowHeight="15" x14ac:dyDescent="0.25"/>
  <cols>
    <col min="1" max="1" width="11.140625" bestFit="1" customWidth="1"/>
  </cols>
  <sheetData>
    <row r="1" spans="1:66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324</v>
      </c>
      <c r="L1" s="121"/>
      <c r="M1" s="121"/>
      <c r="N1" s="122"/>
      <c r="O1" s="114" t="s">
        <v>330</v>
      </c>
      <c r="P1" s="115"/>
      <c r="Q1" s="115"/>
      <c r="R1" s="116"/>
      <c r="S1" s="120" t="s">
        <v>334</v>
      </c>
      <c r="T1" s="121"/>
      <c r="U1" s="121"/>
      <c r="V1" s="122"/>
      <c r="W1" s="114" t="s">
        <v>340</v>
      </c>
      <c r="X1" s="115"/>
      <c r="Y1" s="115"/>
      <c r="Z1" s="116"/>
      <c r="AA1" s="120" t="s">
        <v>343</v>
      </c>
      <c r="AB1" s="121"/>
      <c r="AC1" s="121"/>
      <c r="AD1" s="122"/>
      <c r="AE1" s="114" t="s">
        <v>348</v>
      </c>
      <c r="AF1" s="115"/>
      <c r="AG1" s="115"/>
      <c r="AH1" s="116"/>
      <c r="AI1" s="120" t="s">
        <v>353</v>
      </c>
      <c r="AJ1" s="121"/>
      <c r="AK1" s="121"/>
      <c r="AL1" s="122"/>
      <c r="AM1" s="114" t="s">
        <v>355</v>
      </c>
      <c r="AN1" s="115"/>
      <c r="AO1" s="115"/>
      <c r="AP1" s="116"/>
      <c r="AQ1" s="120" t="s">
        <v>356</v>
      </c>
      <c r="AR1" s="121"/>
      <c r="AS1" s="121"/>
      <c r="AT1" s="122"/>
      <c r="AU1" s="114" t="s">
        <v>357</v>
      </c>
      <c r="AV1" s="115"/>
      <c r="AW1" s="115"/>
      <c r="AX1" s="116"/>
      <c r="AY1" s="120" t="s">
        <v>358</v>
      </c>
      <c r="AZ1" s="121"/>
      <c r="BA1" s="121"/>
      <c r="BB1" s="122"/>
      <c r="BC1" s="114" t="s">
        <v>361</v>
      </c>
      <c r="BD1" s="115"/>
      <c r="BE1" s="115"/>
      <c r="BF1" s="116"/>
      <c r="BG1" s="120" t="s">
        <v>362</v>
      </c>
      <c r="BH1" s="121"/>
      <c r="BI1" s="121"/>
      <c r="BJ1" s="122"/>
      <c r="BK1" s="114" t="s">
        <v>363</v>
      </c>
      <c r="BL1" s="115"/>
      <c r="BM1" s="115"/>
      <c r="BN1" s="116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326</v>
      </c>
      <c r="L2" s="130"/>
      <c r="M2" s="130"/>
      <c r="N2" s="131"/>
      <c r="O2" s="123" t="s">
        <v>338</v>
      </c>
      <c r="P2" s="124"/>
      <c r="Q2" s="124"/>
      <c r="R2" s="125"/>
      <c r="S2" s="129" t="s">
        <v>338</v>
      </c>
      <c r="T2" s="130"/>
      <c r="U2" s="130"/>
      <c r="V2" s="131"/>
      <c r="W2" s="123" t="s">
        <v>338</v>
      </c>
      <c r="X2" s="124"/>
      <c r="Y2" s="124"/>
      <c r="Z2" s="125"/>
      <c r="AA2" s="129" t="s">
        <v>338</v>
      </c>
      <c r="AB2" s="130"/>
      <c r="AC2" s="130"/>
      <c r="AD2" s="131"/>
      <c r="AE2" s="123" t="s">
        <v>349</v>
      </c>
      <c r="AF2" s="124"/>
      <c r="AG2" s="124"/>
      <c r="AH2" s="125"/>
      <c r="AI2" s="129" t="s">
        <v>354</v>
      </c>
      <c r="AJ2" s="130"/>
      <c r="AK2" s="130"/>
      <c r="AL2" s="131"/>
      <c r="AM2" s="123" t="s">
        <v>338</v>
      </c>
      <c r="AN2" s="124"/>
      <c r="AO2" s="124"/>
      <c r="AP2" s="125"/>
      <c r="AQ2" s="129" t="s">
        <v>354</v>
      </c>
      <c r="AR2" s="130"/>
      <c r="AS2" s="130"/>
      <c r="AT2" s="131"/>
      <c r="AU2" s="123" t="s">
        <v>338</v>
      </c>
      <c r="AV2" s="124"/>
      <c r="AW2" s="124"/>
      <c r="AX2" s="125"/>
      <c r="AY2" s="129" t="s">
        <v>354</v>
      </c>
      <c r="AZ2" s="130"/>
      <c r="BA2" s="130"/>
      <c r="BB2" s="131"/>
      <c r="BC2" s="123" t="s">
        <v>338</v>
      </c>
      <c r="BD2" s="124"/>
      <c r="BE2" s="124"/>
      <c r="BF2" s="125"/>
      <c r="BG2" s="129" t="s">
        <v>354</v>
      </c>
      <c r="BH2" s="130"/>
      <c r="BI2" s="130"/>
      <c r="BJ2" s="131"/>
      <c r="BK2" s="123" t="s">
        <v>338</v>
      </c>
      <c r="BL2" s="124"/>
      <c r="BM2" s="124"/>
      <c r="BN2" s="125"/>
    </row>
    <row r="3" spans="1:66" ht="86.25" customHeight="1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s="71" t="s">
        <v>3</v>
      </c>
      <c r="B5" s="46" t="s">
        <v>317</v>
      </c>
      <c r="C5" s="47">
        <v>2020</v>
      </c>
      <c r="D5" s="73">
        <f t="shared" ref="D5" si="0">AVERAGE(K5,O5,S5,W5,AA5,AE5,AI5,AM5,AQ5,AU5,AY5,BC5,BG4,BK5,BO5,BS5,BW5,CA5)</f>
        <v>1.2904545454545453</v>
      </c>
      <c r="E5" s="73">
        <f t="shared" ref="E5" si="1">MEDIAN(K5,O5,S5,W5,AA5,AE5,AI5,AM5,AQ5,AU5,AY5,BC5,BG4,BK5,BO5,BS5,BW5,CA5)</f>
        <v>1.2904545454545453</v>
      </c>
      <c r="F5" s="73">
        <f t="shared" ref="F5" si="2">MIN(K5,O5,S5,W5,AA5,AE5,AI5,AM5,AQ5,AU5,AY5,BC5,BG4,BK5,BO5,BS5,BW5,CA5)</f>
        <v>1.2904545454545453</v>
      </c>
      <c r="G5" s="73">
        <f t="shared" ref="G5" si="3">MAX(K5,O5,S5,W5,AA5,AE5,AI5,AM5,AQ5,AU5,AY5,BC5,BG4,BK5,BO5,BS5,BW5,CA5)</f>
        <v>1.2904545454545453</v>
      </c>
      <c r="H5" s="39">
        <f t="shared" ref="H5" si="4">COUNT(K5,O5,S5,W5,AA5,AE5,AI5,AM5,AQ5,AU5,AY5,BC5,BG4,BK5,BO5,BS5,BW5,CA5,CE5)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>
        <v>0.89870525514089861</v>
      </c>
      <c r="BH5" s="39"/>
      <c r="BI5" s="61"/>
      <c r="BJ5" s="64"/>
      <c r="BK5" s="39">
        <v>1.2904545454545453</v>
      </c>
      <c r="BL5" s="39"/>
      <c r="BM5" s="61"/>
      <c r="BN5" s="64"/>
    </row>
    <row r="6" spans="1:66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AVERAGE(K6,O6,S6,W6,AA6,AE6,AI6,AM6,AQ6,AU6,AY6,BC6,BG5,BK6,BO6,BS6,BW6,CA6)</f>
        <v>0.43540300420043104</v>
      </c>
      <c r="E6" s="73">
        <f>MEDIAN(K6,O6,S6,W6,AA6,AE6,AI6,AM6,AQ6,AU6,AY6,BC6,BG5,BK6,BO6,BS6,BW6,CA6)</f>
        <v>0.39700000000000002</v>
      </c>
      <c r="F6" s="73">
        <f>MIN(K6,O6,S6,W6,AA6,AE6,AI6,AM6,AQ6,AU6,AY6,BC6,BG5,BK6,BO6,BS6,BW6,CA6)</f>
        <v>0.29299999999999998</v>
      </c>
      <c r="G6" s="73">
        <f>MAX(K6,O6,S6,W6,AA6,AE6,AI6,AM6,AQ6,AU6,AY6,BC6,BG5,BK6,BO6,BS6,BW6,CA6)</f>
        <v>0.89870525514089861</v>
      </c>
      <c r="H6" s="39">
        <f>COUNT(K6,O6,S6,W6,AA6,AE6,AI6,AM6,AQ6,AU6,AY6,BC6,BG5,BK6,BO6,BS6,BW6,CA6,CE6)</f>
        <v>12</v>
      </c>
      <c r="I6" s="39"/>
      <c r="J6" s="63"/>
      <c r="K6" s="39"/>
      <c r="L6" s="39"/>
      <c r="M6" s="61"/>
      <c r="N6" s="64"/>
      <c r="O6" s="100">
        <v>0.35735993279341116</v>
      </c>
      <c r="P6" s="39"/>
      <c r="Q6" s="61"/>
      <c r="R6" s="64"/>
      <c r="S6" s="39">
        <v>0.32666666666666666</v>
      </c>
      <c r="T6" s="39"/>
      <c r="U6" s="61"/>
      <c r="V6" s="64"/>
      <c r="W6" s="100">
        <v>0.4</v>
      </c>
      <c r="X6" s="39"/>
      <c r="Y6" s="61"/>
      <c r="Z6" s="64"/>
      <c r="AA6" s="39">
        <v>0.41</v>
      </c>
      <c r="AB6" s="39"/>
      <c r="AC6" s="61"/>
      <c r="AD6" s="64"/>
      <c r="AE6" s="100">
        <v>0.29299999999999998</v>
      </c>
      <c r="AF6" s="39"/>
      <c r="AG6" s="61"/>
      <c r="AH6" s="64"/>
      <c r="AI6" s="39"/>
      <c r="AJ6" s="39"/>
      <c r="AK6" s="61"/>
      <c r="AL6" s="64"/>
      <c r="AM6" s="100">
        <v>0.39400000000000002</v>
      </c>
      <c r="AN6" s="39"/>
      <c r="AO6" s="61"/>
      <c r="AP6" s="64"/>
      <c r="AQ6" s="39">
        <v>0.46700000000000003</v>
      </c>
      <c r="AR6" s="39"/>
      <c r="AS6" s="61"/>
      <c r="AT6" s="64"/>
      <c r="AU6" s="100">
        <v>0.52307692307692311</v>
      </c>
      <c r="AV6" s="39"/>
      <c r="AW6" s="61"/>
      <c r="AX6" s="64"/>
      <c r="AY6" s="39">
        <v>0.31430000000000002</v>
      </c>
      <c r="AZ6" s="39"/>
      <c r="BA6" s="61"/>
      <c r="BB6" s="64"/>
      <c r="BC6" s="100">
        <v>0.49</v>
      </c>
      <c r="BD6" s="39"/>
      <c r="BE6" s="61"/>
      <c r="BF6" s="64"/>
      <c r="BG6">
        <v>0.41127189642041123</v>
      </c>
      <c r="BH6" s="39"/>
      <c r="BI6" s="61"/>
      <c r="BJ6" s="64"/>
      <c r="BK6" s="100">
        <v>0.35072727272727272</v>
      </c>
      <c r="BL6" s="39"/>
      <c r="BM6" s="61"/>
      <c r="BN6" s="64"/>
    </row>
    <row r="7" spans="1:66" x14ac:dyDescent="0.25">
      <c r="A7" t="s">
        <v>15</v>
      </c>
      <c r="B7" s="46" t="s">
        <v>317</v>
      </c>
      <c r="C7" s="47">
        <v>2020</v>
      </c>
      <c r="D7" s="73">
        <f t="shared" ref="D7:D9" si="5">AVERAGE(K7,O7,S7,W7,AA7,AE7,AI7,AM7,AQ7,AU7,AY7,BC7,BG6,BK7,BO7,BS7,BW7,CA7)</f>
        <v>0.60390867548293292</v>
      </c>
      <c r="E7" s="73">
        <f t="shared" ref="E7:E9" si="6">MEDIAN(K7,O7,S7,W7,AA7,AE7,AI7,AM7,AQ7,AU7,AY7,BC7,BG6,BK7,BO7,BS7,BW7,CA7)</f>
        <v>0.60390867548293292</v>
      </c>
      <c r="F7" s="73">
        <f t="shared" ref="F7:F9" si="7">MIN(K7,O7,S7,W7,AA7,AE7,AI7,AM7,AQ7,AU7,AY7,BC7,BG6,BK7,BO7,BS7,BW7,CA7)</f>
        <v>0.41127189642041123</v>
      </c>
      <c r="G7" s="73">
        <f t="shared" ref="G7:G9" si="8">MAX(K7,O7,S7,W7,AA7,AE7,AI7,AM7,AQ7,AU7,AY7,BC7,BG6,BK7,BO7,BS7,BW7,CA7)</f>
        <v>0.79654545454545456</v>
      </c>
      <c r="H7" s="39">
        <f t="shared" ref="H7:H9" si="9">COUNT(K7,O7,S7,W7,AA7,AE7,AI7,AM7,AQ7,AU7,AY7,BC7,BG6,BK7,BO7,BS7,BW7,CA7,CE7)</f>
        <v>2</v>
      </c>
      <c r="I7" s="39"/>
      <c r="J7" s="63"/>
      <c r="K7" s="39"/>
      <c r="L7" s="39"/>
      <c r="M7" s="61"/>
      <c r="N7" s="64"/>
      <c r="O7" s="100"/>
      <c r="P7" s="39"/>
      <c r="Q7" s="61"/>
      <c r="R7" s="64"/>
      <c r="S7" s="39"/>
      <c r="T7" s="39"/>
      <c r="U7" s="61"/>
      <c r="V7" s="64"/>
      <c r="W7" s="100"/>
      <c r="X7" s="39"/>
      <c r="Y7" s="61"/>
      <c r="Z7" s="64"/>
      <c r="AA7" s="39"/>
      <c r="AB7" s="39"/>
      <c r="AC7" s="61"/>
      <c r="AD7" s="64"/>
      <c r="AE7" s="100"/>
      <c r="AF7" s="39"/>
      <c r="AG7" s="61"/>
      <c r="AH7" s="64"/>
      <c r="AI7" s="39"/>
      <c r="AJ7" s="39"/>
      <c r="AK7" s="61"/>
      <c r="AL7" s="64"/>
      <c r="AM7" s="100"/>
      <c r="AN7" s="39"/>
      <c r="AO7" s="61"/>
      <c r="AP7" s="64"/>
      <c r="AQ7" s="39"/>
      <c r="AR7" s="39"/>
      <c r="AS7" s="61"/>
      <c r="AT7" s="64"/>
      <c r="AU7" s="100"/>
      <c r="AV7" s="39"/>
      <c r="AW7" s="61"/>
      <c r="AX7" s="64"/>
      <c r="AY7" s="39"/>
      <c r="AZ7" s="39"/>
      <c r="BA7" s="61"/>
      <c r="BB7" s="64"/>
      <c r="BC7" s="100"/>
      <c r="BD7" s="39"/>
      <c r="BE7" s="61"/>
      <c r="BF7" s="64"/>
      <c r="BG7" s="39">
        <v>1.4089870525514088</v>
      </c>
      <c r="BH7" s="39"/>
      <c r="BI7" s="61"/>
      <c r="BJ7" s="64"/>
      <c r="BK7" s="100">
        <v>0.79654545454545456</v>
      </c>
      <c r="BL7" s="39"/>
      <c r="BM7" s="61"/>
      <c r="BN7" s="64"/>
    </row>
    <row r="8" spans="1:66" x14ac:dyDescent="0.25">
      <c r="A8" t="s">
        <v>22</v>
      </c>
      <c r="B8" s="46" t="s">
        <v>317</v>
      </c>
      <c r="C8" s="47">
        <v>2020</v>
      </c>
      <c r="D8" s="73">
        <f t="shared" si="5"/>
        <v>1.253538980821159</v>
      </c>
      <c r="E8" s="73">
        <f t="shared" si="6"/>
        <v>1.253538980821159</v>
      </c>
      <c r="F8" s="73">
        <f t="shared" si="7"/>
        <v>1.0980909090909092</v>
      </c>
      <c r="G8" s="73">
        <f t="shared" si="8"/>
        <v>1.4089870525514088</v>
      </c>
      <c r="H8" s="39">
        <f t="shared" si="9"/>
        <v>2</v>
      </c>
      <c r="I8" s="39"/>
      <c r="J8" s="63"/>
      <c r="K8" s="39"/>
      <c r="L8" s="39"/>
      <c r="M8" s="61"/>
      <c r="N8" s="64"/>
      <c r="O8" s="100"/>
      <c r="P8" s="39"/>
      <c r="Q8" s="61"/>
      <c r="R8" s="64"/>
      <c r="S8" s="39"/>
      <c r="T8" s="39"/>
      <c r="U8" s="61"/>
      <c r="V8" s="64"/>
      <c r="W8" s="100"/>
      <c r="X8" s="39"/>
      <c r="Y8" s="61"/>
      <c r="Z8" s="64"/>
      <c r="AA8" s="39"/>
      <c r="AB8" s="39"/>
      <c r="AC8" s="61"/>
      <c r="AD8" s="64"/>
      <c r="AE8" s="100"/>
      <c r="AF8" s="39"/>
      <c r="AG8" s="61"/>
      <c r="AH8" s="64"/>
      <c r="AI8" s="39"/>
      <c r="AJ8" s="39"/>
      <c r="AK8" s="61"/>
      <c r="AL8" s="64"/>
      <c r="AM8" s="100"/>
      <c r="AN8" s="39"/>
      <c r="AO8" s="61"/>
      <c r="AP8" s="64"/>
      <c r="AQ8" s="39"/>
      <c r="AR8" s="39"/>
      <c r="AS8" s="61"/>
      <c r="AT8" s="64"/>
      <c r="AU8" s="100"/>
      <c r="AV8" s="39"/>
      <c r="AW8" s="61"/>
      <c r="AX8" s="64"/>
      <c r="AY8" s="39"/>
      <c r="AZ8" s="39"/>
      <c r="BA8" s="61"/>
      <c r="BB8" s="64"/>
      <c r="BC8" s="100"/>
      <c r="BD8" s="39"/>
      <c r="BE8" s="61"/>
      <c r="BF8" s="64"/>
      <c r="BG8" s="39"/>
      <c r="BH8" s="39"/>
      <c r="BI8" s="61"/>
      <c r="BJ8" s="64"/>
      <c r="BK8" s="100">
        <v>1.0980909090909092</v>
      </c>
      <c r="BL8" s="39"/>
      <c r="BM8" s="61"/>
      <c r="BN8" s="64"/>
    </row>
    <row r="9" spans="1:66" x14ac:dyDescent="0.25">
      <c r="A9" t="s">
        <v>27</v>
      </c>
      <c r="B9" s="46" t="s">
        <v>317</v>
      </c>
      <c r="C9" s="47">
        <v>2020</v>
      </c>
      <c r="D9" s="73" t="e">
        <f t="shared" si="5"/>
        <v>#DIV/0!</v>
      </c>
      <c r="E9" s="73" t="e">
        <f t="shared" si="6"/>
        <v>#NUM!</v>
      </c>
      <c r="F9" s="73">
        <f t="shared" si="7"/>
        <v>0</v>
      </c>
      <c r="G9" s="73">
        <f t="shared" si="8"/>
        <v>0</v>
      </c>
      <c r="H9" s="39">
        <f t="shared" si="9"/>
        <v>0</v>
      </c>
      <c r="I9" s="39"/>
      <c r="J9" s="63"/>
      <c r="K9" s="39"/>
      <c r="L9" s="39"/>
      <c r="M9" s="61"/>
      <c r="N9" s="64"/>
      <c r="O9" s="100"/>
      <c r="P9" s="39"/>
      <c r="Q9" s="61"/>
      <c r="R9" s="64"/>
      <c r="S9" s="39"/>
      <c r="T9" s="39"/>
      <c r="U9" s="61"/>
      <c r="V9" s="64"/>
      <c r="W9" s="100"/>
      <c r="X9" s="39"/>
      <c r="Y9" s="61"/>
      <c r="Z9" s="64"/>
      <c r="AA9" s="39"/>
      <c r="AB9" s="39"/>
      <c r="AC9" s="61"/>
      <c r="AD9" s="64"/>
      <c r="AE9" s="100"/>
      <c r="AF9" s="39"/>
      <c r="AG9" s="61"/>
      <c r="AH9" s="64"/>
      <c r="AI9" s="39"/>
      <c r="AJ9" s="39"/>
      <c r="AK9" s="61"/>
      <c r="AL9" s="64"/>
      <c r="AM9" s="100"/>
      <c r="AN9" s="39"/>
      <c r="AO9" s="61"/>
      <c r="AP9" s="64"/>
      <c r="AQ9" s="39"/>
      <c r="AR9" s="39"/>
      <c r="AS9" s="61"/>
      <c r="AT9" s="64"/>
      <c r="AU9" s="100"/>
      <c r="AV9" s="39"/>
      <c r="AW9" s="61"/>
      <c r="AX9" s="64"/>
      <c r="AY9" s="39"/>
      <c r="AZ9" s="39"/>
      <c r="BA9" s="61"/>
      <c r="BB9" s="64"/>
      <c r="BC9" s="100"/>
      <c r="BD9" s="39"/>
      <c r="BE9" s="61"/>
      <c r="BF9" s="64"/>
      <c r="BG9" s="39">
        <v>0.60929169840060926</v>
      </c>
      <c r="BH9" s="39"/>
      <c r="BI9" s="61"/>
      <c r="BJ9" s="64"/>
      <c r="BK9" s="100"/>
      <c r="BL9" s="39"/>
      <c r="BM9" s="61"/>
      <c r="BN9" s="64"/>
    </row>
    <row r="10" spans="1:66" x14ac:dyDescent="0.25">
      <c r="A10" t="s">
        <v>31</v>
      </c>
      <c r="B10" s="46" t="s">
        <v>317</v>
      </c>
      <c r="C10" s="47">
        <v>2018</v>
      </c>
      <c r="D10" s="73">
        <f t="shared" ref="D10:D11" si="10">AVERAGE(K10,O10,S10,W10,AA10,AE10,AI10,AM10,AQ10,AU10,AY10,BC10,BG10,BK10,BO10,BS10,BW10,CA10)</f>
        <v>0.14612544223720655</v>
      </c>
      <c r="E10" s="73">
        <f t="shared" ref="E10:E11" si="11">MEDIAN(K10,O10,S10,W10,AA10,AE10,AI10,AM10,AQ10,AU10,AY10,BC10,BG10,BK10,BO10,BS10,BW10,CA10)</f>
        <v>0.1420909090909091</v>
      </c>
      <c r="F10" s="73">
        <f t="shared" ref="F10:F11" si="12">MIN(K10,O10,S10,W10,AA10,AE10,AI10,AM10,AQ10,AU10,AY10,BC10,BG10,BK10,BO10,BS10,BW10,CA10)</f>
        <v>0.10722822299651569</v>
      </c>
      <c r="G10" s="73">
        <f t="shared" ref="G10:G11" si="13">MAX(K10,O10,S10,W10,AA10,AE10,AI10,AM10,AQ10,AU10,AY10,BC10,BG10,BK10,BO10,BS10,BW10,CA10)</f>
        <v>0.1846153846153846</v>
      </c>
      <c r="H10" s="39">
        <f t="shared" ref="H10:H11" si="14">COUNT(K10,O10,S10,W10,AA10,AE10,AI10,AM10,AQ10,AU10,AY10,BC10,BG10,BK10,BO10,BS10,BW10,CA10,CE10)</f>
        <v>11</v>
      </c>
      <c r="I10" s="39"/>
      <c r="J10" s="63"/>
      <c r="K10" s="39"/>
      <c r="L10" s="39"/>
      <c r="M10" s="61"/>
      <c r="N10" s="64"/>
      <c r="O10" s="100">
        <v>0.13128908997297706</v>
      </c>
      <c r="P10" s="39"/>
      <c r="Q10" s="61"/>
      <c r="R10" s="64"/>
      <c r="S10" s="39">
        <v>0.13333333333333333</v>
      </c>
      <c r="T10" s="39"/>
      <c r="U10" s="61"/>
      <c r="V10" s="64"/>
      <c r="W10" s="100">
        <v>0.15</v>
      </c>
      <c r="X10" s="39"/>
      <c r="Y10" s="61"/>
      <c r="Z10" s="64"/>
      <c r="AA10" s="39">
        <v>0.18</v>
      </c>
      <c r="AB10" s="39"/>
      <c r="AC10" s="61"/>
      <c r="AD10" s="64"/>
      <c r="AE10" s="100"/>
      <c r="AF10" s="39"/>
      <c r="AG10" s="61"/>
      <c r="AH10" s="64"/>
      <c r="AI10" s="39">
        <v>0.10722822299651569</v>
      </c>
      <c r="AJ10" s="39"/>
      <c r="AK10" s="61"/>
      <c r="AL10" s="64"/>
      <c r="AM10" s="100">
        <v>0.13900000000000001</v>
      </c>
      <c r="AN10" s="39"/>
      <c r="AO10" s="61"/>
      <c r="AP10" s="64"/>
      <c r="AQ10" s="39">
        <v>0.17699999999999999</v>
      </c>
      <c r="AR10" s="39"/>
      <c r="AS10" s="61"/>
      <c r="AT10" s="64"/>
      <c r="AU10" s="100">
        <v>0.1846153846153846</v>
      </c>
      <c r="AV10" s="39"/>
      <c r="AW10" s="61"/>
      <c r="AX10" s="64"/>
      <c r="AY10" s="39">
        <v>0.1105</v>
      </c>
      <c r="AZ10" s="39"/>
      <c r="BA10" s="61"/>
      <c r="BB10" s="64"/>
      <c r="BC10" s="100"/>
      <c r="BD10" s="39"/>
      <c r="BE10" s="61"/>
      <c r="BF10" s="64"/>
      <c r="BG10" s="39">
        <v>0.15232292460015232</v>
      </c>
      <c r="BH10" s="39"/>
      <c r="BI10" s="61"/>
      <c r="BJ10" s="64"/>
      <c r="BK10" s="100">
        <v>0.1420909090909091</v>
      </c>
      <c r="BL10" s="39"/>
      <c r="BM10" s="61"/>
      <c r="BN10" s="64"/>
    </row>
    <row r="11" spans="1:66" x14ac:dyDescent="0.25">
      <c r="A11" t="s">
        <v>33</v>
      </c>
      <c r="B11" s="46" t="s">
        <v>317</v>
      </c>
      <c r="C11" s="47">
        <v>2019</v>
      </c>
      <c r="D11" s="73">
        <f t="shared" si="10"/>
        <v>0.35951291015408376</v>
      </c>
      <c r="E11" s="73">
        <f t="shared" si="11"/>
        <v>0.36699999999999999</v>
      </c>
      <c r="F11" s="73">
        <f t="shared" si="12"/>
        <v>0.27</v>
      </c>
      <c r="G11" s="73">
        <f t="shared" si="13"/>
        <v>0.49230769230769228</v>
      </c>
      <c r="H11" s="39">
        <f t="shared" si="14"/>
        <v>11</v>
      </c>
      <c r="I11" s="39"/>
      <c r="J11" s="63"/>
      <c r="K11" s="39"/>
      <c r="L11" s="39"/>
      <c r="M11" s="61"/>
      <c r="N11" s="64"/>
      <c r="O11" s="100">
        <v>0.33586034122018127</v>
      </c>
      <c r="P11" s="39"/>
      <c r="Q11" s="61"/>
      <c r="R11" s="64"/>
      <c r="S11" s="39">
        <v>0.3066666666666667</v>
      </c>
      <c r="T11" s="39"/>
      <c r="U11" s="61"/>
      <c r="V11" s="64"/>
      <c r="W11" s="100">
        <v>0.37</v>
      </c>
      <c r="X11" s="39"/>
      <c r="Y11" s="61"/>
      <c r="Z11" s="64"/>
      <c r="AA11" s="39">
        <v>0.38</v>
      </c>
      <c r="AB11" s="39"/>
      <c r="AC11" s="61"/>
      <c r="AD11" s="64"/>
      <c r="AE11" s="100">
        <v>0.27</v>
      </c>
      <c r="AF11" s="39"/>
      <c r="AG11" s="61"/>
      <c r="AH11" s="64"/>
      <c r="AI11" s="39"/>
      <c r="AJ11" s="39"/>
      <c r="AK11" s="61"/>
      <c r="AL11" s="64"/>
      <c r="AM11" s="100">
        <v>0.36699999999999999</v>
      </c>
      <c r="AN11" s="39"/>
      <c r="AO11" s="61"/>
      <c r="AP11" s="64"/>
      <c r="AQ11" s="39">
        <v>0.432</v>
      </c>
      <c r="AR11" s="39"/>
      <c r="AS11" s="61"/>
      <c r="AT11" s="64"/>
      <c r="AU11" s="100">
        <v>0.49230769230769228</v>
      </c>
      <c r="AV11" s="39"/>
      <c r="AW11" s="61"/>
      <c r="AX11" s="64"/>
      <c r="AY11" s="39">
        <v>0.29299999999999998</v>
      </c>
      <c r="AZ11" s="39"/>
      <c r="BA11" s="61"/>
      <c r="BB11" s="64"/>
      <c r="BC11" s="100"/>
      <c r="BD11" s="39"/>
      <c r="BE11" s="61"/>
      <c r="BF11" s="64"/>
      <c r="BG11" s="39">
        <v>0.38080731150038077</v>
      </c>
      <c r="BH11" s="39"/>
      <c r="BI11" s="61"/>
      <c r="BJ11" s="64"/>
      <c r="BK11" s="100">
        <v>0.32700000000000001</v>
      </c>
      <c r="BL11" s="39"/>
      <c r="BM11" s="61"/>
      <c r="BN11" s="64"/>
    </row>
    <row r="12" spans="1:66" x14ac:dyDescent="0.25">
      <c r="A12" t="s">
        <v>38</v>
      </c>
      <c r="B12" s="46" t="s">
        <v>317</v>
      </c>
      <c r="C12" s="47">
        <v>2020</v>
      </c>
      <c r="D12" s="73">
        <f t="shared" ref="D12:D15" si="15">AVERAGE(K12,O12,S12,W12,AA12,AE12,AI12,AM12,AQ12,AU12,AY12,BC12,BG12,BK12,BO12,BS12,BW12,CA12)</f>
        <v>0.40299735328486069</v>
      </c>
      <c r="E12" s="73">
        <f t="shared" ref="E12:E15" si="16">MEDIAN(K12,O12,S12,W12,AA12,AE12,AI12,AM12,AQ12,AU12,AY12,BC12,BG12,BK12,BO12,BS12,BW12,CA12)</f>
        <v>0.39200000000000002</v>
      </c>
      <c r="F12" s="73">
        <f t="shared" ref="F12:F15" si="17">MIN(K12,O12,S12,W12,AA12,AE12,AI12,AM12,AQ12,AU12,AY12,BC12,BG12,BK12,BO12,BS12,BW12,CA12)</f>
        <v>0.28899999999999998</v>
      </c>
      <c r="G12" s="73">
        <f t="shared" ref="G12:G15" si="18">MAX(K12,O12,S12,W12,AA12,AE12,AI12,AM12,AQ12,AU12,AY12,BC12,BG12,BK12,BO12,BS12,BW12,CA12)</f>
        <v>0.69</v>
      </c>
      <c r="H12" s="39">
        <f t="shared" ref="H12:H15" si="19">COUNT(K12,O12,S12,W12,AA12,AE12,AI12,AM12,AQ12,AU12,AY12,BC12,BG12,BK12,BO12,BS12,BW12,CA12,CE12)</f>
        <v>13</v>
      </c>
      <c r="I12" s="39"/>
      <c r="J12" s="63"/>
      <c r="K12" s="39">
        <v>0.69</v>
      </c>
      <c r="L12" s="39"/>
      <c r="M12" s="61"/>
      <c r="N12" s="64"/>
      <c r="O12" s="100">
        <v>0.3564564711316906</v>
      </c>
      <c r="P12" s="39"/>
      <c r="Q12" s="61"/>
      <c r="R12" s="64"/>
      <c r="S12" s="39">
        <v>0.32</v>
      </c>
      <c r="T12" s="39"/>
      <c r="U12" s="61"/>
      <c r="V12" s="64"/>
      <c r="W12" s="100">
        <v>0.4</v>
      </c>
      <c r="X12" s="39"/>
      <c r="Y12" s="61"/>
      <c r="Z12" s="64"/>
      <c r="AA12" s="39">
        <v>0.4</v>
      </c>
      <c r="AB12" s="39"/>
      <c r="AC12" s="61"/>
      <c r="AD12" s="64"/>
      <c r="AE12" s="100">
        <v>0.28899999999999998</v>
      </c>
      <c r="AF12" s="39"/>
      <c r="AG12" s="61"/>
      <c r="AH12" s="64"/>
      <c r="AI12" s="39">
        <v>0.32807142857142857</v>
      </c>
      <c r="AJ12" s="39"/>
      <c r="AK12" s="61"/>
      <c r="AL12" s="64"/>
      <c r="AM12" s="100">
        <v>0.39200000000000002</v>
      </c>
      <c r="AN12" s="39"/>
      <c r="AO12" s="61"/>
      <c r="AP12" s="64"/>
      <c r="AQ12" s="39">
        <v>0.45900000000000002</v>
      </c>
      <c r="AR12" s="39"/>
      <c r="AS12" s="61"/>
      <c r="AT12" s="64"/>
      <c r="AU12" s="100">
        <v>0.52307692307692311</v>
      </c>
      <c r="AV12" s="39"/>
      <c r="AW12" s="61"/>
      <c r="AX12" s="64"/>
      <c r="AY12" s="39">
        <v>0.31319999999999998</v>
      </c>
      <c r="AZ12" s="39"/>
      <c r="BA12" s="61"/>
      <c r="BB12" s="64"/>
      <c r="BC12" s="100"/>
      <c r="BD12" s="39"/>
      <c r="BE12" s="61"/>
      <c r="BF12" s="64"/>
      <c r="BG12" s="39">
        <v>0.41888804265041885</v>
      </c>
      <c r="BH12" s="39"/>
      <c r="BI12" s="61"/>
      <c r="BJ12" s="64"/>
      <c r="BK12" s="100">
        <v>0.34927272727272729</v>
      </c>
      <c r="BL12" s="39"/>
      <c r="BM12" s="61"/>
      <c r="BN12" s="64"/>
    </row>
    <row r="13" spans="1:66" x14ac:dyDescent="0.25">
      <c r="A13" t="s">
        <v>41</v>
      </c>
      <c r="B13" s="46" t="s">
        <v>317</v>
      </c>
      <c r="C13" s="47">
        <v>2019</v>
      </c>
      <c r="D13" s="73">
        <f t="shared" ref="D13" si="20">AVERAGE(K13,O13,S13,W13,AA13,AE13,AI13,AM13,AQ13,AU13,AY13,BC13,BG13,BK13,BO13,BS13,BW13,CA13)</f>
        <v>7.6666666666666661E-2</v>
      </c>
      <c r="E13" s="73">
        <f t="shared" ref="E13" si="21">MEDIAN(K13,O13,S13,W13,AA13,AE13,AI13,AM13,AQ13,AU13,AY13,BC13,BG13,BK13,BO13,BS13,BW13,CA13)</f>
        <v>7.6666666666666661E-2</v>
      </c>
      <c r="F13" s="73">
        <f t="shared" ref="F13" si="22">MIN(K13,O13,S13,W13,AA13,AE13,AI13,AM13,AQ13,AU13,AY13,BC13,BG13,BK13,BO13,BS13,BW13,CA13)</f>
        <v>7.6666666666666661E-2</v>
      </c>
      <c r="G13" s="73">
        <f t="shared" ref="G13" si="23">MAX(K13,O13,S13,W13,AA13,AE13,AI13,AM13,AQ13,AU13,AY13,BC13,BG13,BK13,BO13,BS13,BW13,CA13)</f>
        <v>7.6666666666666661E-2</v>
      </c>
      <c r="H13" s="39">
        <f t="shared" ref="H13" si="24">COUNT(K13,O13,S13,W13,AA13,AE13,AI13,AM13,AQ13,AU13,AY13,BC13,BG13,BK13,BO13,BS13,BW13,CA13,CE13)</f>
        <v>1</v>
      </c>
      <c r="I13" s="39"/>
      <c r="J13" s="63"/>
      <c r="K13" s="39"/>
      <c r="L13" s="39"/>
      <c r="M13" s="61"/>
      <c r="N13" s="64"/>
      <c r="O13" s="100"/>
      <c r="P13" s="39"/>
      <c r="Q13" s="61"/>
      <c r="R13" s="64"/>
      <c r="S13" s="39">
        <v>7.6666666666666661E-2</v>
      </c>
      <c r="T13" s="39"/>
      <c r="U13" s="61"/>
      <c r="V13" s="64"/>
      <c r="W13" s="100"/>
      <c r="X13" s="39"/>
      <c r="Y13" s="61"/>
      <c r="Z13" s="64"/>
      <c r="AA13" s="39"/>
      <c r="AB13" s="39"/>
      <c r="AC13" s="61"/>
      <c r="AD13" s="64"/>
      <c r="AE13" s="100"/>
      <c r="AF13" s="39"/>
      <c r="AG13" s="61"/>
      <c r="AH13" s="64"/>
      <c r="AI13" s="39"/>
      <c r="AJ13" s="39"/>
      <c r="AK13" s="61"/>
      <c r="AL13" s="64"/>
      <c r="AM13" s="100"/>
      <c r="AN13" s="39"/>
      <c r="AO13" s="61"/>
      <c r="AP13" s="64"/>
      <c r="AQ13" s="39"/>
      <c r="AR13" s="39"/>
      <c r="AS13" s="61"/>
      <c r="AT13" s="64"/>
      <c r="AU13" s="100"/>
      <c r="AV13" s="39"/>
      <c r="AW13" s="61"/>
      <c r="AX13" s="64"/>
      <c r="AY13" s="39"/>
      <c r="AZ13" s="39"/>
      <c r="BA13" s="61"/>
      <c r="BB13" s="64"/>
      <c r="BC13" s="100"/>
      <c r="BD13" s="39"/>
      <c r="BE13" s="61"/>
      <c r="BF13" s="64"/>
      <c r="BG13" s="39"/>
      <c r="BH13" s="39"/>
      <c r="BI13" s="61"/>
      <c r="BJ13" s="64"/>
      <c r="BK13" s="100"/>
      <c r="BL13" s="39"/>
      <c r="BM13" s="61"/>
      <c r="BN13" s="64"/>
    </row>
    <row r="14" spans="1:66" x14ac:dyDescent="0.25">
      <c r="A14" t="s">
        <v>50</v>
      </c>
      <c r="B14" s="46" t="s">
        <v>317</v>
      </c>
      <c r="C14" s="47">
        <v>2020</v>
      </c>
      <c r="D14" s="73">
        <f t="shared" si="15"/>
        <v>0.58530669481029274</v>
      </c>
      <c r="E14" s="73">
        <f t="shared" si="16"/>
        <v>0.58530669481029274</v>
      </c>
      <c r="F14" s="73">
        <f t="shared" si="17"/>
        <v>0.58530669481029274</v>
      </c>
      <c r="G14" s="73">
        <f t="shared" si="18"/>
        <v>0.58530669481029274</v>
      </c>
      <c r="H14" s="39">
        <f t="shared" si="19"/>
        <v>1</v>
      </c>
      <c r="I14" s="39"/>
      <c r="J14" s="63"/>
      <c r="K14" s="39"/>
      <c r="L14" s="39"/>
      <c r="M14" s="61"/>
      <c r="N14" s="64"/>
      <c r="O14" s="100">
        <v>0.58530669481029274</v>
      </c>
      <c r="P14" s="39"/>
      <c r="Q14" s="61"/>
      <c r="R14" s="64"/>
      <c r="S14" s="39"/>
      <c r="T14" s="39"/>
      <c r="U14" s="61"/>
      <c r="V14" s="64"/>
      <c r="W14" s="100"/>
      <c r="X14" s="39"/>
      <c r="Y14" s="61"/>
      <c r="Z14" s="64"/>
      <c r="AA14" s="39"/>
      <c r="AB14" s="39"/>
      <c r="AC14" s="61"/>
      <c r="AD14" s="64"/>
      <c r="AE14" s="100"/>
      <c r="AF14" s="39"/>
      <c r="AG14" s="61"/>
      <c r="AH14" s="64"/>
      <c r="AI14" s="39"/>
      <c r="AJ14" s="39"/>
      <c r="AK14" s="61"/>
      <c r="AL14" s="64"/>
      <c r="AM14" s="100"/>
      <c r="AN14" s="39"/>
      <c r="AO14" s="61"/>
      <c r="AP14" s="64"/>
      <c r="AQ14" s="39"/>
      <c r="AR14" s="39"/>
      <c r="AS14" s="61"/>
      <c r="AT14" s="64"/>
      <c r="AU14" s="100"/>
      <c r="AV14" s="39"/>
      <c r="AW14" s="61"/>
      <c r="AX14" s="64"/>
      <c r="AY14" s="39"/>
      <c r="AZ14" s="39"/>
      <c r="BA14" s="61"/>
      <c r="BB14" s="64"/>
      <c r="BC14" s="100"/>
      <c r="BD14" s="39"/>
      <c r="BE14" s="61"/>
      <c r="BF14" s="64"/>
      <c r="BG14" s="39"/>
      <c r="BH14" s="39"/>
      <c r="BI14" s="61"/>
      <c r="BJ14" s="64"/>
      <c r="BK14" s="100"/>
      <c r="BL14" s="39"/>
      <c r="BM14" s="61"/>
      <c r="BN14" s="64"/>
    </row>
    <row r="15" spans="1:66" x14ac:dyDescent="0.25">
      <c r="A15" t="s">
        <v>53</v>
      </c>
      <c r="B15" s="46" t="s">
        <v>317</v>
      </c>
      <c r="C15" s="47">
        <v>2021</v>
      </c>
      <c r="D15" s="73" t="e">
        <f t="shared" si="15"/>
        <v>#DIV/0!</v>
      </c>
      <c r="E15" s="73" t="e">
        <f t="shared" si="16"/>
        <v>#NUM!</v>
      </c>
      <c r="F15" s="73">
        <f t="shared" si="17"/>
        <v>0</v>
      </c>
      <c r="G15" s="73">
        <f t="shared" si="18"/>
        <v>0</v>
      </c>
      <c r="H15" s="39">
        <f t="shared" si="19"/>
        <v>0</v>
      </c>
      <c r="I15" s="39"/>
      <c r="J15" s="63"/>
      <c r="K15" s="39"/>
      <c r="L15" s="39"/>
      <c r="M15" s="61"/>
      <c r="N15" s="64"/>
      <c r="O15" s="100"/>
      <c r="P15" s="39"/>
      <c r="Q15" s="61"/>
      <c r="R15" s="64"/>
      <c r="S15" s="39"/>
      <c r="T15" s="39"/>
      <c r="U15" s="61"/>
      <c r="V15" s="64"/>
      <c r="W15" s="100"/>
      <c r="X15" s="39"/>
      <c r="Y15" s="61"/>
      <c r="Z15" s="64"/>
      <c r="AA15" s="39"/>
      <c r="AB15" s="39"/>
      <c r="AC15" s="61"/>
      <c r="AD15" s="64"/>
      <c r="AE15" s="100"/>
      <c r="AF15" s="39"/>
      <c r="AG15" s="61"/>
      <c r="AH15" s="64"/>
      <c r="AI15" s="39"/>
      <c r="AJ15" s="39"/>
      <c r="AK15" s="61"/>
      <c r="AL15" s="64"/>
      <c r="AM15" s="100"/>
      <c r="AN15" s="39"/>
      <c r="AO15" s="61"/>
      <c r="AP15" s="64"/>
      <c r="AQ15" s="39"/>
      <c r="AR15" s="39"/>
      <c r="AS15" s="61"/>
      <c r="AT15" s="64"/>
      <c r="AU15" s="100"/>
      <c r="AV15" s="39"/>
      <c r="AW15" s="61"/>
      <c r="AX15" s="64"/>
      <c r="AY15" s="39"/>
      <c r="AZ15" s="39"/>
      <c r="BA15" s="61"/>
      <c r="BB15" s="64"/>
      <c r="BC15" s="100"/>
      <c r="BD15" s="39"/>
      <c r="BE15" s="61"/>
      <c r="BF15" s="64"/>
      <c r="BG15" s="39"/>
      <c r="BH15" s="39"/>
      <c r="BI15" s="61"/>
      <c r="BJ15" s="64"/>
      <c r="BK15" s="100"/>
      <c r="BL15" s="39"/>
      <c r="BM15" s="61"/>
      <c r="BN15" s="64"/>
    </row>
    <row r="16" spans="1:66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  <c r="BG16" s="41"/>
      <c r="BH16" s="41"/>
      <c r="BI16" s="52"/>
      <c r="BJ16" s="57"/>
      <c r="BK16" s="41"/>
      <c r="BL16" s="41"/>
      <c r="BM16" s="52"/>
      <c r="BN16" s="57"/>
    </row>
  </sheetData>
  <mergeCells count="29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  <mergeCell ref="AI1:AL1"/>
    <mergeCell ref="AI2:AL2"/>
    <mergeCell ref="AM1:AP1"/>
    <mergeCell ref="AM2:AP2"/>
    <mergeCell ref="AQ1:AT1"/>
    <mergeCell ref="AQ2:AT2"/>
    <mergeCell ref="BG1:BJ1"/>
    <mergeCell ref="BG2:BJ2"/>
    <mergeCell ref="BK1:BN1"/>
    <mergeCell ref="BK2:BN2"/>
    <mergeCell ref="AU1:AX1"/>
    <mergeCell ref="AU2:AX2"/>
    <mergeCell ref="AY1:BB1"/>
    <mergeCell ref="AY2:BB2"/>
    <mergeCell ref="BC1:BF1"/>
    <mergeCell ref="BC2:B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14"/>
  <sheetViews>
    <sheetView workbookViewId="0">
      <pane xSplit="1" topLeftCell="B1" activePane="topRight" state="frozen"/>
      <selection pane="topRight" activeCell="H12" sqref="H12"/>
    </sheetView>
  </sheetViews>
  <sheetFormatPr defaultRowHeight="15" x14ac:dyDescent="0.25"/>
  <cols>
    <col min="1" max="1" width="11.42578125" bestFit="1" customWidth="1"/>
  </cols>
  <sheetData>
    <row r="1" spans="1:3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334</v>
      </c>
      <c r="L1" s="121"/>
      <c r="M1" s="121"/>
      <c r="N1" s="122"/>
      <c r="O1" s="114" t="s">
        <v>340</v>
      </c>
      <c r="P1" s="115"/>
      <c r="Q1" s="115"/>
      <c r="R1" s="116"/>
      <c r="S1" s="120" t="s">
        <v>343</v>
      </c>
      <c r="T1" s="121"/>
      <c r="U1" s="121"/>
      <c r="V1" s="122"/>
      <c r="W1" s="114" t="s">
        <v>355</v>
      </c>
      <c r="X1" s="115"/>
      <c r="Y1" s="115"/>
      <c r="Z1" s="116"/>
      <c r="AA1" s="120" t="s">
        <v>360</v>
      </c>
      <c r="AB1" s="121"/>
      <c r="AC1" s="121"/>
      <c r="AD1" s="122"/>
      <c r="AE1" s="114" t="s">
        <v>363</v>
      </c>
      <c r="AF1" s="115"/>
      <c r="AG1" s="115"/>
      <c r="AH1" s="116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339</v>
      </c>
      <c r="L2" s="130"/>
      <c r="M2" s="130"/>
      <c r="N2" s="131"/>
      <c r="O2" s="123" t="s">
        <v>341</v>
      </c>
      <c r="P2" s="124"/>
      <c r="Q2" s="124"/>
      <c r="R2" s="125"/>
      <c r="S2" s="129" t="s">
        <v>339</v>
      </c>
      <c r="T2" s="130"/>
      <c r="U2" s="130"/>
      <c r="V2" s="131"/>
      <c r="W2" s="123" t="s">
        <v>341</v>
      </c>
      <c r="X2" s="124"/>
      <c r="Y2" s="124"/>
      <c r="Z2" s="125"/>
      <c r="AA2" s="129" t="s">
        <v>339</v>
      </c>
      <c r="AB2" s="130"/>
      <c r="AC2" s="130"/>
      <c r="AD2" s="131"/>
      <c r="AE2" s="123" t="s">
        <v>341</v>
      </c>
      <c r="AF2" s="124"/>
      <c r="AG2" s="124"/>
      <c r="AH2" s="125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s="71" t="s">
        <v>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1.2380909090909091</v>
      </c>
      <c r="E5" s="73">
        <f t="shared" ref="E5" si="1">MEDIAN(K5,O5,S5,W5,AA5,AE5,AI5,AM5,AQ5,AU5,AY5,BC5,BG5,BK5,BO5,BS5,BW5,CA5)</f>
        <v>1.2380909090909091</v>
      </c>
      <c r="F5" s="73">
        <f t="shared" ref="F5" si="2">MIN(K5,O5,S5,W5,AA5,AE5,AI5,AM5,AQ5,AU5,AY5,BC5,BG5,BK5,BO5,BS5,BW5,CA5)</f>
        <v>1.2380909090909091</v>
      </c>
      <c r="G5" s="73">
        <f t="shared" ref="G5" si="3">MAX(K5,O5,S5,W5,AA5,AE5,AI5,AM5,AQ5,AU5,AY5,BC5,BG5,BK5,BO5,BS5,BW5,CA5)</f>
        <v>1.2380909090909091</v>
      </c>
      <c r="H5" s="39">
        <f t="shared" ref="H5" si="4"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>
        <v>1.2380909090909091</v>
      </c>
      <c r="AF5" s="39"/>
      <c r="AG5" s="39"/>
      <c r="AH5" s="63"/>
    </row>
    <row r="6" spans="1:34" x14ac:dyDescent="0.25">
      <c r="A6" t="s">
        <v>13</v>
      </c>
      <c r="B6" s="46" t="s">
        <v>317</v>
      </c>
      <c r="C6" s="47">
        <v>2020</v>
      </c>
      <c r="D6" s="73">
        <f t="shared" ref="D6:D13" si="5">AVERAGE(K6,O6,S6,W6,AA6,AE6,AI6,AM6,AQ6,AU6,AY6,BC6,BG6,BK6,BO6,BS6,BW6,CA6)</f>
        <v>0.19798535353535351</v>
      </c>
      <c r="E6" s="73">
        <f t="shared" ref="E6:E13" si="6">MEDIAN(K6,O6,S6,W6,AA6,AE6,AI6,AM6,AQ6,AU6,AY6,BC6,BG6,BK6,BO6,BS6,BW6,CA6)</f>
        <v>0.19833333333333336</v>
      </c>
      <c r="F6" s="73">
        <f t="shared" ref="F6:F13" si="7">MIN(K6,O6,S6,W6,AA6,AE6,AI6,AM6,AQ6,AU6,AY6,BC6,BG6,BK6,BO6,BS6,BW6,CA6)</f>
        <v>0.17654545454545456</v>
      </c>
      <c r="G6" s="73">
        <f t="shared" ref="G6:G13" si="8">MAX(K6,O6,S6,W6,AA6,AE6,AI6,AM6,AQ6,AU6,AY6,BC6,BG6,BK6,BO6,BS6,BW6,CA6)</f>
        <v>0.214</v>
      </c>
      <c r="H6" s="39">
        <f t="shared" ref="H6:H13" si="9">COUNT(K6,O6,S6,W6,AA6,AE6,AI6,AM6,AQ6,AU6,AY6,BC6,BG6,BK6,BO6,BS6,BW6,CA6,CE6)</f>
        <v>6</v>
      </c>
      <c r="I6" s="39"/>
      <c r="J6" s="63"/>
      <c r="K6" s="39">
        <v>0.19666666666666668</v>
      </c>
      <c r="L6" s="39"/>
      <c r="M6" s="61"/>
      <c r="N6" s="64"/>
      <c r="O6" s="39">
        <v>0.19</v>
      </c>
      <c r="P6" s="39"/>
      <c r="Q6" s="61"/>
      <c r="R6" s="64"/>
      <c r="S6" s="39">
        <v>0.2</v>
      </c>
      <c r="T6" s="39"/>
      <c r="U6" s="61"/>
      <c r="V6" s="64"/>
      <c r="W6" s="39">
        <v>0.214</v>
      </c>
      <c r="X6" s="39"/>
      <c r="Y6" s="61"/>
      <c r="Z6" s="64"/>
      <c r="AA6" s="39">
        <v>0.2107</v>
      </c>
      <c r="AB6" s="39"/>
      <c r="AC6" s="61"/>
      <c r="AD6" s="64"/>
      <c r="AE6" s="39">
        <v>0.17654545454545456</v>
      </c>
      <c r="AF6" s="39"/>
      <c r="AG6" s="61"/>
      <c r="AH6" s="64"/>
    </row>
    <row r="7" spans="1:34" x14ac:dyDescent="0.25">
      <c r="A7" t="s">
        <v>15</v>
      </c>
      <c r="B7" s="46" t="s">
        <v>317</v>
      </c>
      <c r="C7" s="47">
        <v>2020</v>
      </c>
      <c r="D7" s="73">
        <f t="shared" ref="D7" si="10">AVERAGE(K7,O7,S7,W7,AA7,AE7,AI7,AM7,AQ7,AU7,AY7,BC7,BG7,BK7,BO7,BS7,BW7,CA7)</f>
        <v>0.77654545454545454</v>
      </c>
      <c r="E7" s="73">
        <f t="shared" ref="E7" si="11">MEDIAN(K7,O7,S7,W7,AA7,AE7,AI7,AM7,AQ7,AU7,AY7,BC7,BG7,BK7,BO7,BS7,BW7,CA7)</f>
        <v>0.77654545454545454</v>
      </c>
      <c r="F7" s="73">
        <f t="shared" ref="F7" si="12">MIN(K7,O7,S7,W7,AA7,AE7,AI7,AM7,AQ7,AU7,AY7,BC7,BG7,BK7,BO7,BS7,BW7,CA7)</f>
        <v>0.77654545454545454</v>
      </c>
      <c r="G7" s="73">
        <f t="shared" ref="G7" si="13">MAX(K7,O7,S7,W7,AA7,AE7,AI7,AM7,AQ7,AU7,AY7,BC7,BG7,BK7,BO7,BS7,BW7,CA7)</f>
        <v>0.77654545454545454</v>
      </c>
      <c r="H7" s="39">
        <f t="shared" ref="H7" si="14">COUNT(K7,O7,S7,W7,AA7,AE7,AI7,AM7,AQ7,AU7,AY7,BC7,BG7,BK7,BO7,BS7,BW7,CA7,CE7)</f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>
        <v>0.77654545454545454</v>
      </c>
      <c r="AF7" s="39"/>
      <c r="AG7" s="61"/>
      <c r="AH7" s="64"/>
    </row>
    <row r="8" spans="1:34" x14ac:dyDescent="0.25">
      <c r="A8" t="s">
        <v>22</v>
      </c>
      <c r="B8" s="46" t="s">
        <v>317</v>
      </c>
      <c r="C8" s="47">
        <v>2020</v>
      </c>
      <c r="D8" s="73">
        <f t="shared" ref="D8" si="15">AVERAGE(K8,O8,S8,W8,AA8,AE8,AI8,AM8,AQ8,AU8,AY8,BC8,BG8,BK8,BO8,BS8,BW8,CA8)</f>
        <v>1.0596363636363637</v>
      </c>
      <c r="E8" s="73">
        <f t="shared" ref="E8" si="16">MEDIAN(K8,O8,S8,W8,AA8,AE8,AI8,AM8,AQ8,AU8,AY8,BC8,BG8,BK8,BO8,BS8,BW8,CA8)</f>
        <v>1.0596363636363637</v>
      </c>
      <c r="F8" s="73">
        <f t="shared" ref="F8" si="17">MIN(K8,O8,S8,W8,AA8,AE8,AI8,AM8,AQ8,AU8,AY8,BC8,BG8,BK8,BO8,BS8,BW8,CA8)</f>
        <v>1.0596363636363637</v>
      </c>
      <c r="G8" s="73">
        <f t="shared" ref="G8" si="18">MAX(K8,O8,S8,W8,AA8,AE8,AI8,AM8,AQ8,AU8,AY8,BC8,BG8,BK8,BO8,BS8,BW8,CA8)</f>
        <v>1.0596363636363637</v>
      </c>
      <c r="H8" s="39">
        <f t="shared" ref="H8" si="1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>
        <v>1.0596363636363637</v>
      </c>
      <c r="AF8" s="39"/>
      <c r="AG8" s="61"/>
      <c r="AH8" s="64"/>
    </row>
    <row r="9" spans="1:34" x14ac:dyDescent="0.25">
      <c r="A9" t="s">
        <v>31</v>
      </c>
      <c r="B9" s="46" t="s">
        <v>317</v>
      </c>
      <c r="C9" s="47">
        <v>2020</v>
      </c>
      <c r="D9" s="73">
        <f t="shared" si="5"/>
        <v>0.13391161616161615</v>
      </c>
      <c r="E9" s="73">
        <f t="shared" si="6"/>
        <v>0.13166666666666665</v>
      </c>
      <c r="F9" s="73">
        <f t="shared" si="7"/>
        <v>0.11963636363636364</v>
      </c>
      <c r="G9" s="73">
        <f t="shared" si="8"/>
        <v>0.15</v>
      </c>
      <c r="H9" s="39">
        <f t="shared" si="9"/>
        <v>6</v>
      </c>
      <c r="I9" s="39"/>
      <c r="J9" s="63"/>
      <c r="K9" s="39">
        <v>0.13333333333333333</v>
      </c>
      <c r="L9" s="39"/>
      <c r="M9" s="61"/>
      <c r="N9" s="64"/>
      <c r="O9" s="39">
        <v>0.13</v>
      </c>
      <c r="P9" s="39"/>
      <c r="Q9" s="61"/>
      <c r="R9" s="64"/>
      <c r="S9" s="39">
        <v>0.15</v>
      </c>
      <c r="T9" s="39"/>
      <c r="U9" s="61"/>
      <c r="V9" s="64"/>
      <c r="W9" s="39">
        <v>0.126</v>
      </c>
      <c r="X9" s="39"/>
      <c r="Y9" s="61"/>
      <c r="Z9" s="64"/>
      <c r="AA9" s="39">
        <v>0.14449999999999999</v>
      </c>
      <c r="AB9" s="39"/>
      <c r="AC9" s="61"/>
      <c r="AD9" s="64"/>
      <c r="AE9" s="39">
        <v>0.11963636363636364</v>
      </c>
      <c r="AF9" s="39"/>
      <c r="AG9" s="61"/>
      <c r="AH9" s="64"/>
    </row>
    <row r="10" spans="1:34" x14ac:dyDescent="0.25">
      <c r="A10" t="s">
        <v>33</v>
      </c>
      <c r="B10" s="46" t="s">
        <v>317</v>
      </c>
      <c r="C10" s="47">
        <v>2020</v>
      </c>
      <c r="D10" s="73">
        <f t="shared" si="5"/>
        <v>0.18624242424242424</v>
      </c>
      <c r="E10" s="73">
        <f t="shared" si="6"/>
        <v>0.19</v>
      </c>
      <c r="F10" s="73">
        <f t="shared" si="7"/>
        <v>0.16454545454545455</v>
      </c>
      <c r="G10" s="73">
        <f t="shared" si="8"/>
        <v>0.2</v>
      </c>
      <c r="H10" s="39">
        <f t="shared" si="9"/>
        <v>5</v>
      </c>
      <c r="I10" s="39"/>
      <c r="J10" s="63"/>
      <c r="K10" s="39">
        <v>0.17666666666666667</v>
      </c>
      <c r="L10" s="39"/>
      <c r="M10" s="61"/>
      <c r="N10" s="64"/>
      <c r="O10" s="39">
        <v>0.2</v>
      </c>
      <c r="P10" s="39"/>
      <c r="Q10" s="61"/>
      <c r="R10" s="64"/>
      <c r="S10" s="39">
        <v>0.19</v>
      </c>
      <c r="T10" s="39"/>
      <c r="U10" s="61"/>
      <c r="V10" s="64"/>
      <c r="W10" s="39">
        <v>0.2</v>
      </c>
      <c r="X10" s="39"/>
      <c r="Y10" s="61"/>
      <c r="Z10" s="64"/>
      <c r="AA10" s="39"/>
      <c r="AB10" s="39"/>
      <c r="AC10" s="61"/>
      <c r="AD10" s="64"/>
      <c r="AE10" s="39">
        <v>0.16454545454545455</v>
      </c>
      <c r="AF10" s="39"/>
      <c r="AG10" s="61"/>
      <c r="AH10" s="64"/>
    </row>
    <row r="11" spans="1:34" x14ac:dyDescent="0.25">
      <c r="A11" t="s">
        <v>38</v>
      </c>
      <c r="B11" s="46" t="s">
        <v>317</v>
      </c>
      <c r="C11" s="47">
        <v>2020</v>
      </c>
      <c r="D11" s="73">
        <f t="shared" si="5"/>
        <v>0.60784797979797978</v>
      </c>
      <c r="E11" s="73">
        <f t="shared" si="6"/>
        <v>0.61</v>
      </c>
      <c r="F11" s="73">
        <f t="shared" si="7"/>
        <v>0.52745454545454551</v>
      </c>
      <c r="G11" s="73">
        <f t="shared" si="8"/>
        <v>0.67530000000000001</v>
      </c>
      <c r="H11" s="39">
        <f t="shared" si="9"/>
        <v>6</v>
      </c>
      <c r="I11" s="39"/>
      <c r="J11" s="63"/>
      <c r="K11" s="39">
        <v>0.58333333333333337</v>
      </c>
      <c r="L11" s="39"/>
      <c r="M11" s="61"/>
      <c r="N11" s="64"/>
      <c r="O11" s="39">
        <v>0.61</v>
      </c>
      <c r="P11" s="39"/>
      <c r="Q11" s="61"/>
      <c r="R11" s="64"/>
      <c r="S11" s="39">
        <v>0.61</v>
      </c>
      <c r="T11" s="39"/>
      <c r="U11" s="61"/>
      <c r="V11" s="64"/>
      <c r="W11" s="39">
        <v>0.64100000000000001</v>
      </c>
      <c r="X11" s="39"/>
      <c r="Y11" s="61"/>
      <c r="Z11" s="64"/>
      <c r="AA11" s="39">
        <v>0.67530000000000001</v>
      </c>
      <c r="AB11" s="39"/>
      <c r="AC11" s="61"/>
      <c r="AD11" s="64"/>
      <c r="AE11" s="39">
        <v>0.52745454545454551</v>
      </c>
      <c r="AF11" s="39"/>
      <c r="AG11" s="61"/>
      <c r="AH11" s="64"/>
    </row>
    <row r="12" spans="1:34" x14ac:dyDescent="0.25">
      <c r="A12" t="s">
        <v>41</v>
      </c>
      <c r="B12" s="46" t="s">
        <v>317</v>
      </c>
      <c r="C12" s="47">
        <v>2020</v>
      </c>
      <c r="D12" s="73">
        <f t="shared" si="5"/>
        <v>7.6666666666666661E-2</v>
      </c>
      <c r="E12" s="73">
        <f t="shared" si="6"/>
        <v>7.6666666666666661E-2</v>
      </c>
      <c r="F12" s="73">
        <f t="shared" si="7"/>
        <v>7.6666666666666661E-2</v>
      </c>
      <c r="G12" s="73">
        <f t="shared" si="8"/>
        <v>7.6666666666666661E-2</v>
      </c>
      <c r="H12" s="39">
        <f t="shared" si="9"/>
        <v>1</v>
      </c>
      <c r="I12" s="39"/>
      <c r="J12" s="63"/>
      <c r="K12" s="39">
        <v>7.6666666666666661E-2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</row>
    <row r="13" spans="1:34" x14ac:dyDescent="0.25">
      <c r="A13" t="s">
        <v>53</v>
      </c>
      <c r="B13" s="46" t="s">
        <v>317</v>
      </c>
      <c r="C13" s="47">
        <v>2020</v>
      </c>
      <c r="D13" s="73" t="e">
        <f t="shared" si="5"/>
        <v>#DIV/0!</v>
      </c>
      <c r="E13" s="73" t="e">
        <f t="shared" si="6"/>
        <v>#NUM!</v>
      </c>
      <c r="F13" s="73">
        <f t="shared" si="7"/>
        <v>0</v>
      </c>
      <c r="G13" s="73">
        <f t="shared" si="8"/>
        <v>0</v>
      </c>
      <c r="H13" s="39">
        <f t="shared" si="9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</row>
    <row r="14" spans="1:34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  <c r="W14" s="41"/>
      <c r="X14" s="41"/>
      <c r="Y14" s="52"/>
      <c r="Z14" s="57"/>
      <c r="AA14" s="41"/>
      <c r="AB14" s="41"/>
      <c r="AC14" s="52"/>
      <c r="AD14" s="57"/>
      <c r="AE14" s="41"/>
      <c r="AF14" s="41"/>
      <c r="AG14" s="52"/>
      <c r="AH14" s="57"/>
    </row>
  </sheetData>
  <mergeCells count="13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sheetData>
    <row r="1" spans="1:26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340</v>
      </c>
      <c r="L1" s="121"/>
      <c r="M1" s="121"/>
      <c r="N1" s="122"/>
      <c r="O1" s="114" t="s">
        <v>343</v>
      </c>
      <c r="P1" s="115"/>
      <c r="Q1" s="115"/>
      <c r="R1" s="116"/>
      <c r="S1" s="120" t="s">
        <v>355</v>
      </c>
      <c r="T1" s="121"/>
      <c r="U1" s="121"/>
      <c r="V1" s="122"/>
      <c r="W1" s="114" t="s">
        <v>360</v>
      </c>
      <c r="X1" s="115"/>
      <c r="Y1" s="115"/>
      <c r="Z1" s="116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342</v>
      </c>
      <c r="L2" s="130"/>
      <c r="M2" s="130"/>
      <c r="N2" s="131"/>
      <c r="O2" s="123" t="s">
        <v>342</v>
      </c>
      <c r="P2" s="124"/>
      <c r="Q2" s="124"/>
      <c r="R2" s="125"/>
      <c r="S2" s="129" t="s">
        <v>342</v>
      </c>
      <c r="T2" s="130"/>
      <c r="U2" s="130"/>
      <c r="V2" s="131"/>
      <c r="W2" s="123" t="s">
        <v>342</v>
      </c>
      <c r="X2" s="124"/>
      <c r="Y2" s="124"/>
      <c r="Z2" s="125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13</v>
      </c>
      <c r="B5" s="46" t="s">
        <v>317</v>
      </c>
      <c r="C5" s="47">
        <v>2020</v>
      </c>
      <c r="D5" s="73">
        <f>AVERAGE(K5,O5,S5,W5,AA5,AE5,AI5,AM5,AQ5,AU5,AY5,BC5,BG5,BK5,BO5,BS5,BW5,CA5)</f>
        <v>9.4500000000000001E-2</v>
      </c>
      <c r="E5" s="73">
        <f>MEDIAN(K5,O5,S5,W5,AA5,AE5,AI5,AM5,AQ5,AU5,AY5,BC5,BG5,BK5,BO5,BS5,BW5,CA5)</f>
        <v>9.4E-2</v>
      </c>
      <c r="F5" s="73">
        <f>MIN(K5,O5,S5,W5,AA5,AE5,AI5,AM5,AQ5,AU5,AY5,BC5,BG5,BK5,BO5,BS5,BW5,CA5)</f>
        <v>0.09</v>
      </c>
      <c r="G5" s="73">
        <f>MAX(K5,O5,S5,W5,AA5,AE5,AI5,AM5,AQ5,AU5,AY5,BC5,BG5,BK5,BO5,BS5,BW5,CA5)</f>
        <v>0.1</v>
      </c>
      <c r="H5" s="39">
        <f>COUNT(K5,O5,S5,W5,AA5,AE5,AI5,AM5,AQ5,AU5,AY5,BC5,BG5,BK5,BO5,BS5,BW5,CA5,CE5)</f>
        <v>4</v>
      </c>
      <c r="I5" s="39"/>
      <c r="J5" s="63"/>
      <c r="K5" s="39">
        <v>0.09</v>
      </c>
      <c r="L5" s="39"/>
      <c r="M5" s="61"/>
      <c r="N5" s="64"/>
      <c r="O5" s="39">
        <v>0.1</v>
      </c>
      <c r="P5" s="39"/>
      <c r="Q5" s="61"/>
      <c r="R5" s="64"/>
      <c r="S5" s="39">
        <v>9.4E-2</v>
      </c>
      <c r="T5" s="39"/>
      <c r="U5" s="61"/>
      <c r="V5" s="64"/>
      <c r="W5" s="39">
        <v>9.4E-2</v>
      </c>
      <c r="X5" s="39"/>
      <c r="Y5" s="61"/>
      <c r="Z5" s="64"/>
    </row>
    <row r="6" spans="1:26" x14ac:dyDescent="0.25">
      <c r="A6" t="s">
        <v>31</v>
      </c>
      <c r="B6" s="46" t="s">
        <v>317</v>
      </c>
      <c r="C6" s="47">
        <v>2020</v>
      </c>
      <c r="D6" s="73">
        <f t="shared" ref="D6:D8" si="0">AVERAGE(K6,O6,S6,W6,AA6,AE6,AI6,AM6,AQ6,AU6,AY6,BC6,BG6,BK6,BO6,BS6,BW6,CA6)</f>
        <v>0.114075</v>
      </c>
      <c r="E6" s="73">
        <f t="shared" ref="E6:E8" si="1">MEDIAN(K6,O6,S6,W6,AA6,AE6,AI6,AM6,AQ6,AU6,AY6,BC6,BG6,BK6,BO6,BS6,BW6,CA6)</f>
        <v>0.11315</v>
      </c>
      <c r="F6" s="73">
        <f t="shared" ref="F6:F8" si="2">MIN(K6,O6,S6,W6,AA6,AE6,AI6,AM6,AQ6,AU6,AY6,BC6,BG6,BK6,BO6,BS6,BW6,CA6)</f>
        <v>0.11</v>
      </c>
      <c r="G6" s="73">
        <f t="shared" ref="G6:G8" si="3">MAX(K6,O6,S6,W6,AA6,AE6,AI6,AM6,AQ6,AU6,AY6,BC6,BG6,BK6,BO6,BS6,BW6,CA6)</f>
        <v>0.12</v>
      </c>
      <c r="H6" s="39">
        <f t="shared" ref="H6:H8" si="4">COUNT(K6,O6,S6,W6,AA6,AE6,AI6,AM6,AQ6,AU6,AY6,BC6,BG6,BK6,BO6,BS6,BW6,CA6,CE6)</f>
        <v>4</v>
      </c>
      <c r="I6" s="39"/>
      <c r="J6" s="63"/>
      <c r="K6" s="39">
        <v>0.11</v>
      </c>
      <c r="L6" s="39"/>
      <c r="M6" s="61"/>
      <c r="N6" s="64"/>
      <c r="O6" s="39">
        <v>0.12</v>
      </c>
      <c r="P6" s="39"/>
      <c r="Q6" s="61"/>
      <c r="R6" s="64"/>
      <c r="S6" s="39">
        <v>0.111</v>
      </c>
      <c r="T6" s="39"/>
      <c r="U6" s="61"/>
      <c r="V6" s="64"/>
      <c r="W6" s="39">
        <v>0.1153</v>
      </c>
      <c r="X6" s="39"/>
      <c r="Y6" s="61"/>
      <c r="Z6" s="64"/>
    </row>
    <row r="7" spans="1:26" x14ac:dyDescent="0.25">
      <c r="A7" t="s">
        <v>33</v>
      </c>
      <c r="B7" s="46" t="s">
        <v>317</v>
      </c>
      <c r="C7" s="47">
        <v>2020</v>
      </c>
      <c r="D7" s="73">
        <f t="shared" si="0"/>
        <v>8.9333333333333334E-2</v>
      </c>
      <c r="E7" s="73">
        <f t="shared" si="1"/>
        <v>0.09</v>
      </c>
      <c r="F7" s="73">
        <f t="shared" si="2"/>
        <v>8.7999999999999995E-2</v>
      </c>
      <c r="G7" s="73">
        <f t="shared" si="3"/>
        <v>0.09</v>
      </c>
      <c r="H7" s="39">
        <f t="shared" si="4"/>
        <v>3</v>
      </c>
      <c r="I7" s="39"/>
      <c r="J7" s="63"/>
      <c r="K7" s="39">
        <v>0.09</v>
      </c>
      <c r="L7" s="39"/>
      <c r="M7" s="61"/>
      <c r="N7" s="64"/>
      <c r="O7" s="39">
        <v>0.09</v>
      </c>
      <c r="P7" s="39"/>
      <c r="Q7" s="61"/>
      <c r="R7" s="64"/>
      <c r="S7" s="39">
        <v>8.7999999999999995E-2</v>
      </c>
      <c r="T7" s="39"/>
      <c r="U7" s="61"/>
      <c r="V7" s="64"/>
      <c r="W7" s="39"/>
      <c r="X7" s="39"/>
      <c r="Y7" s="61"/>
      <c r="Z7" s="64"/>
    </row>
    <row r="8" spans="1:26" x14ac:dyDescent="0.25">
      <c r="A8" t="s">
        <v>38</v>
      </c>
      <c r="B8" s="46" t="s">
        <v>317</v>
      </c>
      <c r="C8" s="47">
        <v>2020</v>
      </c>
      <c r="D8" s="73">
        <f t="shared" si="0"/>
        <v>0.75725000000000009</v>
      </c>
      <c r="E8" s="73">
        <f t="shared" si="1"/>
        <v>0.75</v>
      </c>
      <c r="F8" s="73">
        <f t="shared" si="2"/>
        <v>0.749</v>
      </c>
      <c r="G8" s="73">
        <f t="shared" si="3"/>
        <v>0.78</v>
      </c>
      <c r="H8" s="39">
        <f t="shared" si="4"/>
        <v>4</v>
      </c>
      <c r="I8" s="39"/>
      <c r="J8" s="63"/>
      <c r="K8" s="39">
        <v>0.75</v>
      </c>
      <c r="L8" s="39"/>
      <c r="M8" s="61"/>
      <c r="N8" s="64"/>
      <c r="O8" s="39">
        <v>0.78</v>
      </c>
      <c r="P8" s="39"/>
      <c r="Q8" s="61"/>
      <c r="R8" s="64"/>
      <c r="S8" s="39">
        <v>0.75</v>
      </c>
      <c r="T8" s="39"/>
      <c r="U8" s="61"/>
      <c r="V8" s="64"/>
      <c r="W8" s="39">
        <v>0.749</v>
      </c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W1:Z1"/>
    <mergeCell ref="W2:Z2"/>
    <mergeCell ref="D1:J1"/>
    <mergeCell ref="K1:N1"/>
    <mergeCell ref="O1:R1"/>
    <mergeCell ref="K2:N2"/>
    <mergeCell ref="O2:R2"/>
    <mergeCell ref="S1:V1"/>
    <mergeCell ref="S2:V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R15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1.42578125" bestFit="1" customWidth="1"/>
    <col min="66" max="66" width="9.28515625" customWidth="1"/>
  </cols>
  <sheetData>
    <row r="1" spans="1:70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324</v>
      </c>
      <c r="L1" s="121"/>
      <c r="M1" s="121"/>
      <c r="N1" s="122"/>
      <c r="O1" s="114" t="s">
        <v>334</v>
      </c>
      <c r="P1" s="115"/>
      <c r="Q1" s="115"/>
      <c r="R1" s="116"/>
      <c r="S1" s="120" t="s">
        <v>340</v>
      </c>
      <c r="T1" s="121"/>
      <c r="U1" s="121"/>
      <c r="V1" s="122"/>
      <c r="W1" s="114" t="s">
        <v>343</v>
      </c>
      <c r="X1" s="115"/>
      <c r="Y1" s="115"/>
      <c r="Z1" s="116"/>
      <c r="AA1" s="120" t="s">
        <v>345</v>
      </c>
      <c r="AB1" s="121"/>
      <c r="AC1" s="121"/>
      <c r="AD1" s="122"/>
      <c r="AE1" s="114" t="s">
        <v>348</v>
      </c>
      <c r="AF1" s="115"/>
      <c r="AG1" s="115"/>
      <c r="AH1" s="116"/>
      <c r="AI1" s="120" t="s">
        <v>353</v>
      </c>
      <c r="AJ1" s="121"/>
      <c r="AK1" s="121"/>
      <c r="AL1" s="122"/>
      <c r="AM1" s="114" t="s">
        <v>355</v>
      </c>
      <c r="AN1" s="115"/>
      <c r="AO1" s="115"/>
      <c r="AP1" s="116"/>
      <c r="AQ1" s="120" t="s">
        <v>357</v>
      </c>
      <c r="AR1" s="121"/>
      <c r="AS1" s="121"/>
      <c r="AT1" s="122"/>
      <c r="AU1" s="114" t="s">
        <v>358</v>
      </c>
      <c r="AV1" s="115"/>
      <c r="AW1" s="115"/>
      <c r="AX1" s="116"/>
      <c r="AY1" s="120" t="s">
        <v>360</v>
      </c>
      <c r="AZ1" s="121"/>
      <c r="BA1" s="121"/>
      <c r="BB1" s="122"/>
      <c r="BC1" s="114" t="s">
        <v>361</v>
      </c>
      <c r="BD1" s="115"/>
      <c r="BE1" s="115"/>
      <c r="BF1" s="116"/>
      <c r="BG1" s="120" t="s">
        <v>362</v>
      </c>
      <c r="BH1" s="121"/>
      <c r="BI1" s="121"/>
      <c r="BJ1" s="122"/>
      <c r="BK1" s="114" t="s">
        <v>363</v>
      </c>
      <c r="BL1" s="115"/>
      <c r="BM1" s="115"/>
      <c r="BN1" s="116"/>
      <c r="BO1" s="120" t="s">
        <v>364</v>
      </c>
      <c r="BP1" s="121"/>
      <c r="BQ1" s="121"/>
      <c r="BR1" s="122"/>
    </row>
    <row r="2" spans="1:70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329</v>
      </c>
      <c r="L2" s="130"/>
      <c r="M2" s="130"/>
      <c r="N2" s="131"/>
      <c r="O2" s="123" t="s">
        <v>335</v>
      </c>
      <c r="P2" s="124"/>
      <c r="Q2" s="124"/>
      <c r="R2" s="125"/>
      <c r="S2" s="129" t="s">
        <v>329</v>
      </c>
      <c r="T2" s="130"/>
      <c r="U2" s="130"/>
      <c r="V2" s="131"/>
      <c r="W2" s="123" t="s">
        <v>329</v>
      </c>
      <c r="X2" s="124"/>
      <c r="Y2" s="124"/>
      <c r="Z2" s="125"/>
      <c r="AA2" s="129" t="s">
        <v>346</v>
      </c>
      <c r="AB2" s="130"/>
      <c r="AC2" s="130"/>
      <c r="AD2" s="131"/>
      <c r="AE2" s="123" t="s">
        <v>350</v>
      </c>
      <c r="AF2" s="124"/>
      <c r="AG2" s="124"/>
      <c r="AH2" s="125"/>
      <c r="AI2" s="129" t="s">
        <v>329</v>
      </c>
      <c r="AJ2" s="130"/>
      <c r="AK2" s="130"/>
      <c r="AL2" s="131"/>
      <c r="AM2" s="123" t="s">
        <v>329</v>
      </c>
      <c r="AN2" s="124"/>
      <c r="AO2" s="124"/>
      <c r="AP2" s="125"/>
      <c r="AQ2" s="129" t="s">
        <v>329</v>
      </c>
      <c r="AR2" s="130"/>
      <c r="AS2" s="130"/>
      <c r="AT2" s="131"/>
      <c r="AU2" s="123" t="s">
        <v>329</v>
      </c>
      <c r="AV2" s="124"/>
      <c r="AW2" s="124"/>
      <c r="AX2" s="125"/>
      <c r="AY2" s="129" t="s">
        <v>329</v>
      </c>
      <c r="AZ2" s="130"/>
      <c r="BA2" s="130"/>
      <c r="BB2" s="131"/>
      <c r="BC2" s="123" t="s">
        <v>329</v>
      </c>
      <c r="BD2" s="124"/>
      <c r="BE2" s="124"/>
      <c r="BF2" s="125"/>
      <c r="BG2" s="129" t="s">
        <v>329</v>
      </c>
      <c r="BH2" s="130"/>
      <c r="BI2" s="130"/>
      <c r="BJ2" s="131"/>
      <c r="BK2" s="123" t="s">
        <v>329</v>
      </c>
      <c r="BL2" s="124"/>
      <c r="BM2" s="124"/>
      <c r="BN2" s="125"/>
      <c r="BO2" s="129" t="s">
        <v>329</v>
      </c>
      <c r="BP2" s="130"/>
      <c r="BQ2" s="130"/>
      <c r="BR2" s="131"/>
    </row>
    <row r="3" spans="1:70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</row>
    <row r="4" spans="1:70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</row>
    <row r="5" spans="1:70" x14ac:dyDescent="0.25">
      <c r="A5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0.62144689568231959</v>
      </c>
      <c r="E5" s="73">
        <f>MEDIAN(K5,O5,S5,W5,AA5,AE5,AI5,AM5,AQ5,AU5,AY5,BC5,BG5,BK5,BO5,BS5,BW5,CA5)</f>
        <v>0.61889379136463907</v>
      </c>
      <c r="F5" s="73">
        <f>MIN(K5,O5,S5,W5,AA5,AE5,AI5,AM5,AQ5,AU5,AY5,BC5,BG5,BK5,BO5,BS5,BW5,CA5)</f>
        <v>0.02</v>
      </c>
      <c r="G5" s="73">
        <f>MAX(K5,O5,S5,W5,AA5,AE5,AI5,AM5,AQ5,AU5,AY5,BC5,BG5,BK5,BO5,BS5,BW5,CA5)</f>
        <v>1.2280000000000002</v>
      </c>
      <c r="H5" s="39">
        <f>COUNT(K5,O5,S5,W5,AA5,AE5,AI5,AM5,AQ5,AU5,AY5,BC5,BG5,BK5,BO5,BS5,BW5,CA5,CE5)</f>
        <v>4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0.02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0.19736842105263158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>
        <v>1.0404191616766467</v>
      </c>
      <c r="BH5" s="39"/>
      <c r="BI5" s="61"/>
      <c r="BJ5" s="64"/>
      <c r="BK5" s="39">
        <v>1.2280000000000002</v>
      </c>
      <c r="BL5" s="39"/>
      <c r="BM5" s="61"/>
      <c r="BN5" s="64"/>
      <c r="BO5" s="39"/>
      <c r="BP5" s="39"/>
      <c r="BQ5" s="61"/>
      <c r="BR5" s="64"/>
    </row>
    <row r="6" spans="1:70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AVERAGE(K6,O6,S6,W6,AA6,AE6,AI6,AM6,AQ6,AU6,AY6,BC6,BG6,BK6,BO6,BS6,BW6,CA6)</f>
        <v>0.1852473729136207</v>
      </c>
      <c r="E6" s="73">
        <f>MEDIAN(K6,O6,S6,W6,AA6,AE6,AI6,AM6,AQ6,AU6,AY6,BC6,BG6,BK6,BO6,BS6,BW6,CA6)</f>
        <v>0.1426077844311377</v>
      </c>
      <c r="F6" s="73">
        <f>MIN(K6,O6,S6,W6,AA6,AE6,AI6,AM6,AQ6,AU6,AY6,BC6,BG6,BK6,BO6,BS6,BW6,CA6)</f>
        <v>0.124</v>
      </c>
      <c r="G6" s="73">
        <f>MAX(K6,O6,S6,W6,AA6,AE6,AI6,AM6,AQ6,AU6,AY6,BC6,BG6,BK6,BO6,BS6,BW6,CA6)</f>
        <v>0.42105263157894735</v>
      </c>
      <c r="H6" s="39">
        <f>COUNT(K6,O6,S6,W6,AA6,AE6,AI6,AM6,AQ6,AU6,AY6,BC6,BG6,BK6,BO6,BS6,BW6,CA6,CE6)</f>
        <v>12</v>
      </c>
      <c r="I6" s="39"/>
      <c r="J6" s="63"/>
      <c r="K6" s="39"/>
      <c r="L6" s="39"/>
      <c r="M6" s="61"/>
      <c r="N6" s="64"/>
      <c r="O6" s="89">
        <v>0.26666666666666666</v>
      </c>
      <c r="P6" s="39"/>
      <c r="Q6" s="61"/>
      <c r="R6" s="64"/>
      <c r="S6" s="39">
        <v>0.13</v>
      </c>
      <c r="T6" s="39"/>
      <c r="U6" s="61"/>
      <c r="V6" s="64"/>
      <c r="W6" s="89">
        <v>0.14000000000000001</v>
      </c>
      <c r="X6" s="39"/>
      <c r="Y6" s="61"/>
      <c r="Z6" s="64"/>
      <c r="AA6" s="39"/>
      <c r="AB6" s="39"/>
      <c r="AC6" s="61"/>
      <c r="AD6" s="64"/>
      <c r="AE6" s="89">
        <v>0.124</v>
      </c>
      <c r="AF6" s="39"/>
      <c r="AG6" s="61"/>
      <c r="AH6" s="64"/>
      <c r="AI6" s="39">
        <v>0.19918815331010453</v>
      </c>
      <c r="AJ6" s="39"/>
      <c r="AK6" s="61"/>
      <c r="AL6" s="64"/>
      <c r="AM6" s="89">
        <v>0.14299999999999999</v>
      </c>
      <c r="AN6" s="39"/>
      <c r="AO6" s="61"/>
      <c r="AP6" s="64"/>
      <c r="AQ6" s="39">
        <v>0.42105263157894735</v>
      </c>
      <c r="AR6" s="39"/>
      <c r="AS6" s="61"/>
      <c r="AT6" s="64"/>
      <c r="AU6" s="89">
        <v>0.17030000000000001</v>
      </c>
      <c r="AV6" s="39"/>
      <c r="AW6" s="61"/>
      <c r="AX6" s="64"/>
      <c r="AY6" s="39">
        <v>0.14099999999999999</v>
      </c>
      <c r="AZ6" s="39"/>
      <c r="BA6" s="61"/>
      <c r="BB6" s="64"/>
      <c r="BC6">
        <v>0.22</v>
      </c>
      <c r="BD6" s="39"/>
      <c r="BE6" s="61"/>
      <c r="BF6" s="64"/>
      <c r="BG6" s="39">
        <v>0.14221556886227543</v>
      </c>
      <c r="BH6" s="39"/>
      <c r="BI6" s="61"/>
      <c r="BJ6" s="64"/>
      <c r="BK6">
        <v>0.12554545454545454</v>
      </c>
      <c r="BL6" s="39"/>
      <c r="BM6" s="61"/>
      <c r="BN6" s="64"/>
      <c r="BO6" s="39"/>
      <c r="BP6" s="39"/>
      <c r="BQ6" s="61"/>
      <c r="BR6" s="64"/>
    </row>
    <row r="7" spans="1:70" x14ac:dyDescent="0.25">
      <c r="A7" t="s">
        <v>15</v>
      </c>
      <c r="B7" s="46" t="s">
        <v>317</v>
      </c>
      <c r="C7" s="47">
        <v>2020</v>
      </c>
      <c r="D7" s="73">
        <f t="shared" ref="D7:D9" si="0">AVERAGE(K7,O7,S7,W7,AA7,AE7,AI7,AM7,AQ7,AU7,AY7,BC7,BG7,BK7,BO7,BS7,BW7,CA7)</f>
        <v>0.87952694610778437</v>
      </c>
      <c r="E7" s="73">
        <f t="shared" ref="E7:E9" si="1">MEDIAN(K7,O7,S7,W7,AA7,AE7,AI7,AM7,AQ7,AU7,AY7,BC7,BG7,BK7,BO7,BS7,BW7,CA7)</f>
        <v>0.87952694610778437</v>
      </c>
      <c r="F7" s="73">
        <f t="shared" ref="F7:F9" si="2">MIN(K7,O7,S7,W7,AA7,AE7,AI7,AM7,AQ7,AU7,AY7,BC7,BG7,BK7,BO7,BS7,BW7,CA7)</f>
        <v>0.78599999999999992</v>
      </c>
      <c r="G7" s="73">
        <f t="shared" ref="G7:G9" si="3">MAX(K7,O7,S7,W7,AA7,AE7,AI7,AM7,AQ7,AU7,AY7,BC7,BG7,BK7,BO7,BS7,BW7,CA7)</f>
        <v>0.97305389221556882</v>
      </c>
      <c r="H7" s="39">
        <f t="shared" ref="H7:H9" si="4">COUNT(K7,O7,S7,W7,AA7,AE7,AI7,AM7,AQ7,AU7,AY7,BC7,BG7,BK7,BO7,BS7,BW7,CA7,CE7)</f>
        <v>2</v>
      </c>
      <c r="I7" s="39"/>
      <c r="J7" s="63"/>
      <c r="K7" s="39"/>
      <c r="L7" s="39"/>
      <c r="M7" s="61"/>
      <c r="N7" s="64"/>
      <c r="O7" s="89"/>
      <c r="P7" s="39"/>
      <c r="Q7" s="61"/>
      <c r="R7" s="64"/>
      <c r="S7" s="39"/>
      <c r="T7" s="39"/>
      <c r="U7" s="61"/>
      <c r="V7" s="64"/>
      <c r="W7" s="89"/>
      <c r="X7" s="39"/>
      <c r="Y7" s="61"/>
      <c r="Z7" s="64"/>
      <c r="AA7" s="39"/>
      <c r="AB7" s="39"/>
      <c r="AC7" s="61"/>
      <c r="AD7" s="64"/>
      <c r="AE7" s="89"/>
      <c r="AF7" s="39"/>
      <c r="AG7" s="61"/>
      <c r="AH7" s="64"/>
      <c r="AI7" s="39"/>
      <c r="AJ7" s="39"/>
      <c r="AK7" s="61"/>
      <c r="AL7" s="64"/>
      <c r="AM7" s="89"/>
      <c r="AN7" s="39"/>
      <c r="AO7" s="61"/>
      <c r="AP7" s="64"/>
      <c r="AQ7" s="39"/>
      <c r="AR7" s="39"/>
      <c r="AS7" s="61"/>
      <c r="AT7" s="64"/>
      <c r="AU7" s="89"/>
      <c r="AV7" s="39"/>
      <c r="AW7" s="61"/>
      <c r="AX7" s="64"/>
      <c r="AY7" s="39"/>
      <c r="AZ7" s="39"/>
      <c r="BA7" s="61"/>
      <c r="BB7" s="64"/>
      <c r="BD7" s="39"/>
      <c r="BE7" s="61"/>
      <c r="BF7" s="64"/>
      <c r="BG7" s="39">
        <v>0.97305389221556882</v>
      </c>
      <c r="BH7" s="39"/>
      <c r="BI7" s="61"/>
      <c r="BJ7" s="64"/>
      <c r="BK7">
        <v>0.78599999999999992</v>
      </c>
      <c r="BL7" s="39"/>
      <c r="BM7" s="61"/>
      <c r="BN7" s="64"/>
      <c r="BO7" s="39"/>
      <c r="BP7" s="39"/>
      <c r="BQ7" s="61"/>
      <c r="BR7" s="64"/>
    </row>
    <row r="8" spans="1:70" x14ac:dyDescent="0.25">
      <c r="A8" t="s">
        <v>22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1.070090909090909</v>
      </c>
      <c r="E8" s="73">
        <f t="shared" ref="E8" si="6">MEDIAN(K8,O8,S8,W8,AA8,AE8,AI8,AM8,AQ8,AU8,AY8,BC8,BG8,BK8,BO8,BS8,BW8,CA8)</f>
        <v>1.070090909090909</v>
      </c>
      <c r="F8" s="73">
        <f t="shared" ref="F8" si="7">MIN(K8,O8,S8,W8,AA8,AE8,AI8,AM8,AQ8,AU8,AY8,BC8,BG8,BK8,BO8,BS8,BW8,CA8)</f>
        <v>1.070090909090909</v>
      </c>
      <c r="G8" s="73">
        <f t="shared" ref="G8" si="8">MAX(K8,O8,S8,W8,AA8,AE8,AI8,AM8,AQ8,AU8,AY8,BC8,BG8,BK8,BO8,BS8,BW8,CA8)</f>
        <v>1.070090909090909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89"/>
      <c r="P8" s="39"/>
      <c r="Q8" s="61"/>
      <c r="R8" s="64"/>
      <c r="S8" s="39"/>
      <c r="T8" s="39"/>
      <c r="U8" s="61"/>
      <c r="V8" s="64"/>
      <c r="W8" s="89"/>
      <c r="X8" s="39"/>
      <c r="Y8" s="61"/>
      <c r="Z8" s="64"/>
      <c r="AA8" s="39"/>
      <c r="AB8" s="39"/>
      <c r="AC8" s="61"/>
      <c r="AD8" s="64"/>
      <c r="AE8" s="89"/>
      <c r="AF8" s="39"/>
      <c r="AG8" s="61"/>
      <c r="AH8" s="64"/>
      <c r="AI8" s="39"/>
      <c r="AJ8" s="39"/>
      <c r="AK8" s="61"/>
      <c r="AL8" s="64"/>
      <c r="AM8" s="89"/>
      <c r="AN8" s="39"/>
      <c r="AO8" s="61"/>
      <c r="AP8" s="64"/>
      <c r="AQ8" s="39"/>
      <c r="AR8" s="39"/>
      <c r="AS8" s="61"/>
      <c r="AT8" s="64"/>
      <c r="AU8" s="89"/>
      <c r="AV8" s="39"/>
      <c r="AW8" s="61"/>
      <c r="AX8" s="64"/>
      <c r="AY8" s="39"/>
      <c r="AZ8" s="39"/>
      <c r="BA8" s="61"/>
      <c r="BB8" s="64"/>
      <c r="BD8" s="39"/>
      <c r="BE8" s="61"/>
      <c r="BF8" s="64"/>
      <c r="BG8" s="39"/>
      <c r="BH8" s="39"/>
      <c r="BI8" s="61"/>
      <c r="BJ8" s="64"/>
      <c r="BK8">
        <v>1.070090909090909</v>
      </c>
      <c r="BL8" s="39"/>
      <c r="BM8" s="61"/>
      <c r="BN8" s="64"/>
      <c r="BO8" s="39"/>
      <c r="BP8" s="39"/>
      <c r="BQ8" s="61"/>
      <c r="BR8" s="64"/>
    </row>
    <row r="9" spans="1:70" x14ac:dyDescent="0.25">
      <c r="A9" t="s">
        <v>27</v>
      </c>
      <c r="B9" s="46" t="s">
        <v>317</v>
      </c>
      <c r="C9" s="47">
        <v>2020</v>
      </c>
      <c r="D9" s="73">
        <f t="shared" si="0"/>
        <v>0.5988023952095809</v>
      </c>
      <c r="E9" s="73">
        <f t="shared" si="1"/>
        <v>0.5988023952095809</v>
      </c>
      <c r="F9" s="73">
        <f t="shared" si="2"/>
        <v>0.5988023952095809</v>
      </c>
      <c r="G9" s="73">
        <f t="shared" si="3"/>
        <v>0.5988023952095809</v>
      </c>
      <c r="H9" s="39">
        <f t="shared" si="4"/>
        <v>1</v>
      </c>
      <c r="I9" s="39"/>
      <c r="J9" s="63"/>
      <c r="K9" s="39"/>
      <c r="L9" s="39"/>
      <c r="M9" s="61"/>
      <c r="N9" s="64"/>
      <c r="O9" s="89"/>
      <c r="P9" s="39"/>
      <c r="Q9" s="61"/>
      <c r="R9" s="64"/>
      <c r="S9" s="39"/>
      <c r="T9" s="39"/>
      <c r="U9" s="61"/>
      <c r="V9" s="64"/>
      <c r="W9" s="89"/>
      <c r="X9" s="39"/>
      <c r="Y9" s="61"/>
      <c r="Z9" s="64"/>
      <c r="AA9" s="39"/>
      <c r="AB9" s="39"/>
      <c r="AC9" s="61"/>
      <c r="AD9" s="64"/>
      <c r="AE9" s="89"/>
      <c r="AF9" s="39"/>
      <c r="AG9" s="61"/>
      <c r="AH9" s="64"/>
      <c r="AI9" s="39"/>
      <c r="AJ9" s="39"/>
      <c r="AK9" s="61"/>
      <c r="AL9" s="64"/>
      <c r="AM9" s="89"/>
      <c r="AN9" s="39"/>
      <c r="AO9" s="61"/>
      <c r="AP9" s="64"/>
      <c r="AQ9" s="39"/>
      <c r="AR9" s="39"/>
      <c r="AS9" s="61"/>
      <c r="AT9" s="64"/>
      <c r="AU9" s="89"/>
      <c r="AV9" s="39"/>
      <c r="AW9" s="61"/>
      <c r="AX9" s="64"/>
      <c r="AY9" s="39"/>
      <c r="AZ9" s="39"/>
      <c r="BA9" s="61"/>
      <c r="BB9" s="64"/>
      <c r="BD9" s="39"/>
      <c r="BE9" s="61"/>
      <c r="BF9" s="64"/>
      <c r="BG9" s="39">
        <v>0.5988023952095809</v>
      </c>
      <c r="BH9" s="39"/>
      <c r="BI9" s="61"/>
      <c r="BJ9" s="64"/>
      <c r="BL9" s="39"/>
      <c r="BM9" s="61"/>
      <c r="BN9" s="64"/>
      <c r="BO9" s="39"/>
      <c r="BP9" s="39"/>
      <c r="BQ9" s="61"/>
      <c r="BR9" s="64"/>
    </row>
    <row r="10" spans="1:70" x14ac:dyDescent="0.25">
      <c r="A10" t="s">
        <v>31</v>
      </c>
      <c r="B10" s="46" t="s">
        <v>317</v>
      </c>
      <c r="C10" s="47">
        <v>2020</v>
      </c>
      <c r="D10" s="73">
        <f t="shared" ref="D10:D11" si="10">AVERAGE(K10,O10,S10,W10,AA10,AE10,AI10,AM10,AQ10,AU10,AY10,BC10,BG10,BK10,BO10,BS10,BW10,CA10)</f>
        <v>0.12495908397280081</v>
      </c>
      <c r="E10" s="73">
        <f t="shared" ref="E10:E11" si="11">MEDIAN(K10,O10,S10,W10,AA10,AE10,AI10,AM10,AQ10,AU10,AY10,BC10,BG10,BK10,BO10,BS10,BW10,CA10)</f>
        <v>0.11976047904191615</v>
      </c>
      <c r="F10" s="73">
        <f t="shared" ref="F10:F11" si="12">MIN(K10,O10,S10,W10,AA10,AE10,AI10,AM10,AQ10,AU10,AY10,BC10,BG10,BK10,BO10,BS10,BW10,CA10)</f>
        <v>5.2631578947368418E-2</v>
      </c>
      <c r="G10" s="73">
        <f t="shared" ref="G10:G11" si="13">MAX(K10,O10,S10,W10,AA10,AE10,AI10,AM10,AQ10,AU10,AY10,BC10,BG10,BK10,BO10,BS10,BW10,CA10)</f>
        <v>0.22666666666666666</v>
      </c>
      <c r="H10" s="39">
        <f t="shared" ref="H10:H11" si="14">COUNT(K10,O10,S10,W10,AA10,AE10,AI10,AM10,AQ10,AU10,AY10,BC10,BG10,BK10,BO10,BS10,BW10,CA10,CE10)</f>
        <v>11</v>
      </c>
      <c r="I10" s="39"/>
      <c r="J10" s="63"/>
      <c r="K10" s="39"/>
      <c r="L10" s="39"/>
      <c r="M10" s="61"/>
      <c r="N10" s="64"/>
      <c r="O10" s="89">
        <v>0.22666666666666666</v>
      </c>
      <c r="P10" s="39"/>
      <c r="Q10" s="61"/>
      <c r="R10" s="64"/>
      <c r="S10" s="39">
        <v>0.1</v>
      </c>
      <c r="T10" s="39"/>
      <c r="U10" s="61"/>
      <c r="V10" s="64"/>
      <c r="W10" s="89">
        <v>0.12</v>
      </c>
      <c r="X10" s="39"/>
      <c r="Y10" s="61"/>
      <c r="Z10" s="64"/>
      <c r="AA10" s="39">
        <v>0.15</v>
      </c>
      <c r="AB10" s="39"/>
      <c r="AC10" s="61"/>
      <c r="AD10" s="64"/>
      <c r="AE10" s="89"/>
      <c r="AF10" s="39"/>
      <c r="AG10" s="61"/>
      <c r="AH10" s="64"/>
      <c r="AI10" s="39">
        <v>0.14200938086303941</v>
      </c>
      <c r="AJ10" s="39"/>
      <c r="AK10" s="61"/>
      <c r="AL10" s="64"/>
      <c r="AM10" s="89">
        <v>0.112</v>
      </c>
      <c r="AN10" s="39"/>
      <c r="AO10" s="61"/>
      <c r="AP10" s="64"/>
      <c r="AQ10" s="39">
        <v>5.2631578947368418E-2</v>
      </c>
      <c r="AR10" s="39"/>
      <c r="AS10" s="61"/>
      <c r="AT10" s="64"/>
      <c r="AU10" s="89">
        <v>0.13300000000000001</v>
      </c>
      <c r="AV10" s="39"/>
      <c r="AW10" s="61"/>
      <c r="AX10" s="64"/>
      <c r="AY10" s="39">
        <v>0.1153</v>
      </c>
      <c r="AZ10" s="39"/>
      <c r="BA10" s="61"/>
      <c r="BB10" s="64"/>
      <c r="BC10" s="89"/>
      <c r="BD10" s="39"/>
      <c r="BE10" s="61"/>
      <c r="BF10" s="64"/>
      <c r="BG10" s="39">
        <v>0.11976047904191615</v>
      </c>
      <c r="BH10" s="39"/>
      <c r="BI10" s="61"/>
      <c r="BJ10" s="64"/>
      <c r="BK10" s="89">
        <v>0.10318181818181818</v>
      </c>
      <c r="BL10" s="39"/>
      <c r="BM10" s="61"/>
      <c r="BN10" s="64"/>
      <c r="BO10" s="39"/>
      <c r="BP10" s="39">
        <v>0.25</v>
      </c>
      <c r="BQ10" s="61"/>
      <c r="BR10" s="64"/>
    </row>
    <row r="11" spans="1:70" x14ac:dyDescent="0.25">
      <c r="A11" t="s">
        <v>33</v>
      </c>
      <c r="B11" s="46" t="s">
        <v>317</v>
      </c>
      <c r="C11" s="47">
        <v>2020</v>
      </c>
      <c r="D11" s="73">
        <f t="shared" si="10"/>
        <v>0</v>
      </c>
      <c r="E11" s="73">
        <f t="shared" si="11"/>
        <v>0</v>
      </c>
      <c r="F11" s="73">
        <f t="shared" si="12"/>
        <v>0</v>
      </c>
      <c r="G11" s="73">
        <f t="shared" si="13"/>
        <v>0</v>
      </c>
      <c r="H11" s="39">
        <f t="shared" si="14"/>
        <v>4</v>
      </c>
      <c r="I11" s="39"/>
      <c r="J11" s="63"/>
      <c r="K11" s="39"/>
      <c r="L11" s="39"/>
      <c r="M11" s="61"/>
      <c r="N11" s="64"/>
      <c r="O11" s="89"/>
      <c r="P11" s="39"/>
      <c r="Q11" s="61"/>
      <c r="R11" s="64"/>
      <c r="S11" s="39">
        <v>0</v>
      </c>
      <c r="T11" s="39"/>
      <c r="U11" s="61"/>
      <c r="V11" s="64"/>
      <c r="W11" s="89"/>
      <c r="X11" s="39"/>
      <c r="Y11" s="61"/>
      <c r="Z11" s="64"/>
      <c r="AA11" s="39"/>
      <c r="AB11" s="39"/>
      <c r="AC11" s="61"/>
      <c r="AD11" s="64"/>
      <c r="AE11" s="89"/>
      <c r="AF11" s="39"/>
      <c r="AG11" s="61"/>
      <c r="AH11" s="64"/>
      <c r="AI11" s="39"/>
      <c r="AJ11" s="39"/>
      <c r="AK11" s="61"/>
      <c r="AL11" s="64"/>
      <c r="AM11" s="89">
        <v>0</v>
      </c>
      <c r="AN11" s="39"/>
      <c r="AO11" s="61"/>
      <c r="AP11" s="64"/>
      <c r="AQ11" s="39"/>
      <c r="AR11" s="39"/>
      <c r="AS11" s="61"/>
      <c r="AT11" s="64"/>
      <c r="AU11" s="89"/>
      <c r="AV11" s="39"/>
      <c r="AW11" s="61"/>
      <c r="AX11" s="64"/>
      <c r="AY11" s="39"/>
      <c r="AZ11" s="39"/>
      <c r="BA11" s="61"/>
      <c r="BB11" s="64"/>
      <c r="BC11" s="89"/>
      <c r="BD11" s="39"/>
      <c r="BE11" s="61"/>
      <c r="BF11" s="64"/>
      <c r="BG11" s="39">
        <v>0</v>
      </c>
      <c r="BH11" s="39"/>
      <c r="BI11" s="61"/>
      <c r="BJ11" s="64"/>
      <c r="BK11" s="89">
        <v>0</v>
      </c>
      <c r="BL11" s="39"/>
      <c r="BM11" s="61"/>
      <c r="BN11" s="64"/>
      <c r="BO11" s="39"/>
      <c r="BP11" s="39"/>
      <c r="BQ11" s="61"/>
      <c r="BR11" s="64"/>
    </row>
    <row r="12" spans="1:70" x14ac:dyDescent="0.25">
      <c r="A12" t="s">
        <v>38</v>
      </c>
      <c r="B12" s="46" t="s">
        <v>317</v>
      </c>
      <c r="C12" s="47">
        <v>2020</v>
      </c>
      <c r="D12" s="73">
        <f>AVERAGE(K12,O12,S12,W12,AA12,AE12,AI12,AM12,AQ12,AU12,AY12,BC12,BG12,BK12,BO12,BS12,BW12,CA12)</f>
        <v>0.78279638407211005</v>
      </c>
      <c r="E12" s="73">
        <f>MEDIAN(K12,O12,S12,W12,AA12,AE12,AI12,AM12,AQ12,AU12,AY12,BC12,BG12,BK12,BO12,BS12,BW12,CA12)</f>
        <v>0.754</v>
      </c>
      <c r="F12" s="73">
        <f>MIN(K12,O12,S12,W12,AA12,AE12,AI12,AM12,AQ12,AU12,AY12,BC12,BG12,BK12,BO12,BS12,BW12,CA12)</f>
        <v>0.26315789473684209</v>
      </c>
      <c r="G12" s="73">
        <f>MAX(K12,O12,S12,W12,AA12,AE12,AI12,AM12,AQ12,AU12,AY12,BC12,BG12,BK12,BO12,BS12,BW12,CA12)</f>
        <v>1.4166666666666667</v>
      </c>
      <c r="H12" s="39">
        <f>COUNT(K12,O12,S12,W12,AA12,AE12,AI12,AM12,AQ12,AU12,AY12,BC12,BG12,BK12,BO12,BS12,BW12,CA12,CE12)</f>
        <v>12</v>
      </c>
      <c r="I12" s="39"/>
      <c r="J12" s="63"/>
      <c r="K12" s="39">
        <v>0.68</v>
      </c>
      <c r="L12" s="39"/>
      <c r="M12" s="61"/>
      <c r="N12" s="64"/>
      <c r="O12" s="89">
        <v>1.4166666666666667</v>
      </c>
      <c r="P12" s="39"/>
      <c r="Q12" s="61"/>
      <c r="R12" s="64"/>
      <c r="S12" s="39">
        <v>0.67</v>
      </c>
      <c r="T12" s="39"/>
      <c r="U12" s="61"/>
      <c r="V12" s="64"/>
      <c r="W12" s="89">
        <v>0.77</v>
      </c>
      <c r="X12" s="39"/>
      <c r="Y12" s="61"/>
      <c r="Z12" s="64"/>
      <c r="AA12" s="39"/>
      <c r="AB12" s="39"/>
      <c r="AC12" s="61"/>
      <c r="AD12" s="64"/>
      <c r="AE12" s="89">
        <v>0.65900000000000003</v>
      </c>
      <c r="AF12" s="39"/>
      <c r="AG12" s="61"/>
      <c r="AH12" s="64"/>
      <c r="AI12" s="39">
        <v>1.0610097829000267</v>
      </c>
      <c r="AJ12" s="39"/>
      <c r="AK12" s="61"/>
      <c r="AL12" s="64"/>
      <c r="AM12" s="89">
        <v>0.75900000000000001</v>
      </c>
      <c r="AN12" s="39"/>
      <c r="AO12" s="61"/>
      <c r="AP12" s="64"/>
      <c r="AQ12" s="39">
        <v>0.26315789473684209</v>
      </c>
      <c r="AR12" s="39"/>
      <c r="AS12" s="61"/>
      <c r="AT12" s="64"/>
      <c r="AU12" s="89">
        <v>0.90539999999999998</v>
      </c>
      <c r="AV12" s="39"/>
      <c r="AW12" s="61"/>
      <c r="AX12" s="64"/>
      <c r="AY12" s="39">
        <v>0.749</v>
      </c>
      <c r="AZ12" s="39"/>
      <c r="BA12" s="61"/>
      <c r="BB12" s="64"/>
      <c r="BC12" s="89"/>
      <c r="BD12" s="39"/>
      <c r="BE12" s="61"/>
      <c r="BF12" s="64"/>
      <c r="BG12" s="39">
        <v>0.79341317365269459</v>
      </c>
      <c r="BH12" s="39"/>
      <c r="BI12" s="61"/>
      <c r="BJ12" s="64"/>
      <c r="BK12" s="89">
        <v>0.6669090909090909</v>
      </c>
      <c r="BL12" s="39"/>
      <c r="BM12" s="61"/>
      <c r="BN12" s="64"/>
      <c r="BO12" s="39"/>
      <c r="BP12" s="39"/>
      <c r="BQ12" s="61"/>
      <c r="BR12" s="64"/>
    </row>
    <row r="13" spans="1:70" x14ac:dyDescent="0.25">
      <c r="A13" t="s">
        <v>41</v>
      </c>
      <c r="B13" s="46" t="s">
        <v>317</v>
      </c>
      <c r="C13" s="47">
        <v>2020</v>
      </c>
      <c r="D13" s="73">
        <f t="shared" ref="D13:D14" si="15">AVERAGE(K13,O13,S13,W13,AA13,AE13,AI13,AM13,AQ13,AU13,AY13,BC13,BG13,BK13,BO13,BS13,BW13,CA13)</f>
        <v>3.833333333333333E-2</v>
      </c>
      <c r="E13" s="73">
        <f t="shared" ref="E13:E14" si="16">MEDIAN(K13,O13,S13,W13,AA13,AE13,AI13,AM13,AQ13,AU13,AY13,BC13,BG13,BK13,BO13,BS13,BW13,CA13)</f>
        <v>3.833333333333333E-2</v>
      </c>
      <c r="F13" s="73">
        <f t="shared" ref="F13:F14" si="17">MIN(K13,O13,S13,W13,AA13,AE13,AI13,AM13,AQ13,AU13,AY13,BC13,BG13,BK13,BO13,BS13,BW13,CA13)</f>
        <v>0</v>
      </c>
      <c r="G13" s="73">
        <f t="shared" ref="G13:G14" si="18">MAX(K13,O13,S13,W13,AA13,AE13,AI13,AM13,AQ13,AU13,AY13,BC13,BG13,BK13,BO13,BS13,BW13,CA13)</f>
        <v>7.6666666666666661E-2</v>
      </c>
      <c r="H13" s="39">
        <f t="shared" ref="H13:H14" si="19">COUNT(K13,O13,S13,W13,AA13,AE13,AI13,AM13,AQ13,AU13,AY13,BC13,BG13,BK13,BO13,BS13,BW13,CA13,CE13)</f>
        <v>2</v>
      </c>
      <c r="I13" s="39"/>
      <c r="J13" s="63"/>
      <c r="K13" s="39"/>
      <c r="L13" s="39"/>
      <c r="M13" s="61"/>
      <c r="N13" s="64"/>
      <c r="O13" s="89">
        <v>7.6666666666666661E-2</v>
      </c>
      <c r="P13" s="39"/>
      <c r="Q13" s="61"/>
      <c r="R13" s="64"/>
      <c r="S13" s="39"/>
      <c r="T13" s="39"/>
      <c r="U13" s="61"/>
      <c r="V13" s="64"/>
      <c r="W13" s="89"/>
      <c r="X13" s="39"/>
      <c r="Y13" s="61"/>
      <c r="Z13" s="64"/>
      <c r="AA13" s="39"/>
      <c r="AB13" s="39"/>
      <c r="AC13" s="61"/>
      <c r="AD13" s="64"/>
      <c r="AE13" s="89"/>
      <c r="AF13" s="39"/>
      <c r="AG13" s="61"/>
      <c r="AH13" s="64"/>
      <c r="AI13" s="39"/>
      <c r="AJ13" s="39"/>
      <c r="AK13" s="61"/>
      <c r="AL13" s="64"/>
      <c r="AM13" s="89"/>
      <c r="AN13" s="39"/>
      <c r="AO13" s="61"/>
      <c r="AP13" s="64"/>
      <c r="AQ13" s="39"/>
      <c r="AR13" s="39"/>
      <c r="AS13" s="61"/>
      <c r="AT13" s="64"/>
      <c r="AU13" s="89"/>
      <c r="AV13" s="39"/>
      <c r="AW13" s="61"/>
      <c r="AX13" s="64"/>
      <c r="AY13" s="39"/>
      <c r="AZ13" s="39"/>
      <c r="BA13" s="61"/>
      <c r="BB13" s="64"/>
      <c r="BC13" s="89"/>
      <c r="BD13" s="39"/>
      <c r="BE13" s="61"/>
      <c r="BF13" s="64"/>
      <c r="BG13" s="39">
        <v>0</v>
      </c>
      <c r="BH13" s="39"/>
      <c r="BI13" s="61"/>
      <c r="BJ13" s="64"/>
      <c r="BK13" s="89"/>
      <c r="BL13" s="39"/>
      <c r="BM13" s="61"/>
      <c r="BN13" s="64"/>
      <c r="BO13" s="39"/>
      <c r="BP13" s="39"/>
      <c r="BQ13" s="61"/>
      <c r="BR13" s="64"/>
    </row>
    <row r="14" spans="1:70" x14ac:dyDescent="0.25">
      <c r="A14" t="s">
        <v>53</v>
      </c>
      <c r="B14" s="46" t="s">
        <v>317</v>
      </c>
      <c r="C14" s="47">
        <v>2020</v>
      </c>
      <c r="D14" s="73" t="e">
        <f t="shared" si="15"/>
        <v>#DIV/0!</v>
      </c>
      <c r="E14" s="73" t="e">
        <f t="shared" si="16"/>
        <v>#NUM!</v>
      </c>
      <c r="F14" s="73">
        <f t="shared" si="17"/>
        <v>0</v>
      </c>
      <c r="G14" s="73">
        <f t="shared" si="18"/>
        <v>0</v>
      </c>
      <c r="H14" s="39">
        <f t="shared" si="19"/>
        <v>0</v>
      </c>
      <c r="I14" s="39"/>
      <c r="J14" s="63"/>
      <c r="K14" s="39"/>
      <c r="L14" s="39"/>
      <c r="M14" s="61"/>
      <c r="N14" s="64"/>
      <c r="O14" s="89"/>
      <c r="P14" s="39"/>
      <c r="Q14" s="61"/>
      <c r="R14" s="64"/>
      <c r="S14" s="39"/>
      <c r="T14" s="39"/>
      <c r="U14" s="61"/>
      <c r="V14" s="64"/>
      <c r="W14" s="89"/>
      <c r="X14" s="39"/>
      <c r="Y14" s="61"/>
      <c r="Z14" s="64"/>
      <c r="AA14" s="39"/>
      <c r="AB14" s="39"/>
      <c r="AC14" s="61"/>
      <c r="AD14" s="64"/>
      <c r="AE14" s="89"/>
      <c r="AF14" s="39"/>
      <c r="AG14" s="61"/>
      <c r="AH14" s="64"/>
      <c r="AI14" s="39"/>
      <c r="AJ14" s="39"/>
      <c r="AK14" s="61"/>
      <c r="AL14" s="64"/>
      <c r="AM14" s="89"/>
      <c r="AN14" s="39"/>
      <c r="AO14" s="61"/>
      <c r="AP14" s="64"/>
      <c r="AQ14" s="39"/>
      <c r="AR14" s="39"/>
      <c r="AS14" s="61"/>
      <c r="AT14" s="64"/>
      <c r="AU14" s="89"/>
      <c r="AV14" s="39"/>
      <c r="AW14" s="61"/>
      <c r="AX14" s="64"/>
      <c r="AY14" s="39"/>
      <c r="AZ14" s="39"/>
      <c r="BA14" s="61"/>
      <c r="BB14" s="64"/>
      <c r="BC14" s="89"/>
      <c r="BD14" s="39"/>
      <c r="BE14" s="61"/>
      <c r="BF14" s="64"/>
      <c r="BG14" s="39"/>
      <c r="BH14" s="39"/>
      <c r="BI14" s="61"/>
      <c r="BJ14" s="64"/>
      <c r="BK14" s="89"/>
      <c r="BL14" s="39"/>
      <c r="BM14" s="61"/>
      <c r="BN14" s="64"/>
      <c r="BO14" s="39"/>
      <c r="BP14" s="39"/>
      <c r="BQ14" s="61"/>
      <c r="BR14" s="64"/>
    </row>
    <row r="15" spans="1:70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  <c r="BG15" s="41"/>
      <c r="BH15" s="41"/>
      <c r="BI15" s="52"/>
      <c r="BJ15" s="57"/>
      <c r="BK15" s="41"/>
      <c r="BL15" s="41"/>
      <c r="BM15" s="52"/>
      <c r="BN15" s="57"/>
      <c r="BO15" s="41"/>
      <c r="BP15" s="41"/>
      <c r="BQ15" s="52"/>
      <c r="BR15" s="57"/>
    </row>
  </sheetData>
  <mergeCells count="31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  <mergeCell ref="AI1:AL1"/>
    <mergeCell ref="AI2:AL2"/>
    <mergeCell ref="AM1:AP1"/>
    <mergeCell ref="AM2:AP2"/>
    <mergeCell ref="AQ1:AT1"/>
    <mergeCell ref="AQ2:AT2"/>
    <mergeCell ref="AU1:AX1"/>
    <mergeCell ref="AU2:AX2"/>
    <mergeCell ref="AY1:BB1"/>
    <mergeCell ref="AY2:BB2"/>
    <mergeCell ref="BC1:BF1"/>
    <mergeCell ref="BC2:BF2"/>
    <mergeCell ref="BG1:BJ1"/>
    <mergeCell ref="BG2:BJ2"/>
    <mergeCell ref="BK1:BN1"/>
    <mergeCell ref="BK2:BN2"/>
    <mergeCell ref="BO1:BR1"/>
    <mergeCell ref="BO2:BR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BN15"/>
  <sheetViews>
    <sheetView workbookViewId="0">
      <pane xSplit="1" topLeftCell="B1" activePane="topRight" state="frozen"/>
      <selection pane="topRight" activeCell="I24" sqref="I24"/>
    </sheetView>
  </sheetViews>
  <sheetFormatPr defaultRowHeight="15" x14ac:dyDescent="0.25"/>
  <cols>
    <col min="1" max="1" width="11.42578125" bestFit="1" customWidth="1"/>
  </cols>
  <sheetData>
    <row r="1" spans="1:66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324</v>
      </c>
      <c r="L1" s="121"/>
      <c r="M1" s="121"/>
      <c r="N1" s="122"/>
      <c r="O1" s="114" t="s">
        <v>334</v>
      </c>
      <c r="P1" s="115"/>
      <c r="Q1" s="115"/>
      <c r="R1" s="116"/>
      <c r="S1" s="120"/>
      <c r="T1" s="121"/>
      <c r="U1" s="121"/>
      <c r="V1" s="122"/>
      <c r="W1" s="114" t="s">
        <v>340</v>
      </c>
      <c r="X1" s="115"/>
      <c r="Y1" s="115"/>
      <c r="Z1" s="116"/>
      <c r="AA1" s="120" t="s">
        <v>343</v>
      </c>
      <c r="AB1" s="121"/>
      <c r="AC1" s="121"/>
      <c r="AD1" s="122"/>
      <c r="AE1" s="114" t="s">
        <v>345</v>
      </c>
      <c r="AF1" s="115"/>
      <c r="AG1" s="115"/>
      <c r="AH1" s="116"/>
      <c r="AI1" s="120" t="s">
        <v>352</v>
      </c>
      <c r="AJ1" s="121"/>
      <c r="AK1" s="121"/>
      <c r="AL1" s="122"/>
      <c r="AM1" s="114" t="s">
        <v>353</v>
      </c>
      <c r="AN1" s="115"/>
      <c r="AO1" s="115"/>
      <c r="AP1" s="116"/>
      <c r="AQ1" s="120" t="s">
        <v>356</v>
      </c>
      <c r="AR1" s="121"/>
      <c r="AS1" s="121"/>
      <c r="AT1" s="122"/>
      <c r="AU1" s="114" t="s">
        <v>357</v>
      </c>
      <c r="AV1" s="115"/>
      <c r="AW1" s="115"/>
      <c r="AX1" s="116"/>
      <c r="AY1" s="120" t="s">
        <v>358</v>
      </c>
      <c r="AZ1" s="121"/>
      <c r="BA1" s="121"/>
      <c r="BB1" s="122"/>
      <c r="BC1" s="114" t="s">
        <v>360</v>
      </c>
      <c r="BD1" s="115"/>
      <c r="BE1" s="115"/>
      <c r="BF1" s="116"/>
      <c r="BG1" s="120" t="s">
        <v>362</v>
      </c>
      <c r="BH1" s="121"/>
      <c r="BI1" s="121"/>
      <c r="BJ1" s="122"/>
      <c r="BK1" s="114" t="s">
        <v>363</v>
      </c>
      <c r="BL1" s="115"/>
      <c r="BM1" s="115"/>
      <c r="BN1" s="116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328</v>
      </c>
      <c r="L2" s="130"/>
      <c r="M2" s="130"/>
      <c r="N2" s="131"/>
      <c r="O2" s="123" t="s">
        <v>336</v>
      </c>
      <c r="P2" s="124"/>
      <c r="Q2" s="124"/>
      <c r="R2" s="125"/>
      <c r="S2" s="129"/>
      <c r="T2" s="130"/>
      <c r="U2" s="130"/>
      <c r="V2" s="131"/>
      <c r="W2" s="123" t="s">
        <v>328</v>
      </c>
      <c r="X2" s="124"/>
      <c r="Y2" s="124"/>
      <c r="Z2" s="125"/>
      <c r="AA2" s="129" t="s">
        <v>328</v>
      </c>
      <c r="AB2" s="130"/>
      <c r="AC2" s="130"/>
      <c r="AD2" s="131"/>
      <c r="AE2" s="123" t="s">
        <v>347</v>
      </c>
      <c r="AF2" s="124"/>
      <c r="AG2" s="124"/>
      <c r="AH2" s="125"/>
      <c r="AI2" s="129" t="s">
        <v>328</v>
      </c>
      <c r="AJ2" s="130"/>
      <c r="AK2" s="130"/>
      <c r="AL2" s="131"/>
      <c r="AM2" s="123" t="s">
        <v>328</v>
      </c>
      <c r="AN2" s="124"/>
      <c r="AO2" s="124"/>
      <c r="AP2" s="125"/>
      <c r="AQ2" s="129" t="s">
        <v>328</v>
      </c>
      <c r="AR2" s="130"/>
      <c r="AS2" s="130"/>
      <c r="AT2" s="131"/>
      <c r="AU2" s="123" t="s">
        <v>328</v>
      </c>
      <c r="AV2" s="124"/>
      <c r="AW2" s="124"/>
      <c r="AX2" s="125"/>
      <c r="AY2" s="129" t="s">
        <v>328</v>
      </c>
      <c r="AZ2" s="130"/>
      <c r="BA2" s="130"/>
      <c r="BB2" s="131"/>
      <c r="BC2" s="123" t="s">
        <v>328</v>
      </c>
      <c r="BD2" s="124"/>
      <c r="BE2" s="124"/>
      <c r="BF2" s="125"/>
      <c r="BG2" s="129" t="s">
        <v>328</v>
      </c>
      <c r="BH2" s="130"/>
      <c r="BI2" s="130"/>
      <c r="BJ2" s="131"/>
      <c r="BK2" s="123" t="s">
        <v>328</v>
      </c>
      <c r="BL2" s="124"/>
      <c r="BM2" s="124"/>
      <c r="BN2" s="125"/>
    </row>
    <row r="3" spans="1:6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t="s">
        <v>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1.3718510476749528</v>
      </c>
      <c r="E5" s="73">
        <f t="shared" ref="E5" si="1">MEDIAN(K5,O5,S5,W5,AA5,AE5,AI5,AM5,AQ5,AU5,AY5,BC5,BG5,BK5,BO5,BS5,BW5,CA5)</f>
        <v>1.3718510476749528</v>
      </c>
      <c r="F5" s="73">
        <f t="shared" ref="F5" si="2">MIN(K5,O5,S5,W5,AA5,AE5,AI5,AM5,AQ5,AU5,AY5,BC5,BG5,BK5,BO5,BS5,BW5,CA5)</f>
        <v>1.1728839135317237</v>
      </c>
      <c r="G5" s="73">
        <f t="shared" ref="G5" si="3">MAX(K5,O5,S5,W5,AA5,AE5,AI5,AM5,AQ5,AU5,AY5,BC5,BG5,BK5,BO5,BS5,BW5,CA5)</f>
        <v>1.5708181818181817</v>
      </c>
      <c r="H5" s="39">
        <f t="shared" ref="H5" si="4">COUNT(K5,O5,S5,W5,AA5,AE5,AI5,AM5,AQ5,AU5,AY5,BC5,BG5,BK5,BO5,BS5,BW5,CA5,CE5)</f>
        <v>2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>
        <v>1.1728839135317237</v>
      </c>
      <c r="BH5" s="39"/>
      <c r="BI5" s="39"/>
      <c r="BJ5" s="63"/>
      <c r="BK5" s="39">
        <v>1.5708181818181817</v>
      </c>
      <c r="BL5" s="39"/>
      <c r="BM5" s="39"/>
      <c r="BN5" s="63"/>
    </row>
    <row r="6" spans="1:66" x14ac:dyDescent="0.25">
      <c r="A6" t="s">
        <v>13</v>
      </c>
      <c r="B6" s="46" t="s">
        <v>317</v>
      </c>
      <c r="C6" s="47">
        <v>2020</v>
      </c>
      <c r="D6" s="73">
        <f t="shared" ref="D6:D11" si="5">AVERAGE(K6,O6,S6,W6,AA6,AE6,AI6,AM6,AQ6,AU6,AY6,BC6,BG6,BK6,BO6,BS6,BW6,CA6)</f>
        <v>0</v>
      </c>
      <c r="E6" s="73">
        <f t="shared" ref="E6:E11" si="6">MEDIAN(K6,O6,S6,W6,AA6,AE6,AI6,AM6,AQ6,AU6,AY6,BC6,BG6,BK6,BO6,BS6,BW6,CA6)</f>
        <v>0</v>
      </c>
      <c r="F6" s="73">
        <f t="shared" ref="F6:F11" si="7">MIN(K6,O6,S6,W6,AA6,AE6,AI6,AM6,AQ6,AU6,AY6,BC6,BG6,BK6,BO6,BS6,BW6,CA6)</f>
        <v>0</v>
      </c>
      <c r="G6" s="73">
        <f t="shared" ref="G6:G11" si="8">MAX(K6,O6,S6,W6,AA6,AE6,AI6,AM6,AQ6,AU6,AY6,BC6,BG6,BK6,BO6,BS6,BW6,CA6)</f>
        <v>0</v>
      </c>
      <c r="H6" s="39">
        <f t="shared" ref="H6:H11" si="9">COUNT(K6,O6,S6,W6,AA6,AE6,AI6,AM6,AQ6,AU6,AY6,BC6,BG6,BK6,BO6,BS6,BW6,CA6,CE6)</f>
        <v>1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>
        <v>0</v>
      </c>
      <c r="BH6" s="39"/>
      <c r="BI6" s="61"/>
      <c r="BJ6" s="64"/>
      <c r="BK6" s="39"/>
      <c r="BL6" s="39"/>
      <c r="BM6" s="61"/>
      <c r="BN6" s="64"/>
    </row>
    <row r="7" spans="1:66" x14ac:dyDescent="0.25">
      <c r="A7" t="s">
        <v>15</v>
      </c>
      <c r="B7" s="46" t="s">
        <v>317</v>
      </c>
      <c r="C7" s="47">
        <v>2020</v>
      </c>
      <c r="D7" s="73">
        <f t="shared" si="5"/>
        <v>0.89089962865601557</v>
      </c>
      <c r="E7" s="73">
        <f t="shared" si="6"/>
        <v>0.89089962865601557</v>
      </c>
      <c r="F7" s="73">
        <f t="shared" si="7"/>
        <v>0.87652653003930381</v>
      </c>
      <c r="G7" s="73">
        <f t="shared" si="8"/>
        <v>0.90527272727272723</v>
      </c>
      <c r="H7" s="39">
        <f t="shared" si="9"/>
        <v>2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>
        <v>0.87652653003930381</v>
      </c>
      <c r="BH7" s="39"/>
      <c r="BI7" s="61"/>
      <c r="BJ7" s="64"/>
      <c r="BK7" s="39">
        <v>0.90527272727272723</v>
      </c>
      <c r="BL7" s="39"/>
      <c r="BM7" s="61"/>
      <c r="BN7" s="64"/>
    </row>
    <row r="8" spans="1:66" x14ac:dyDescent="0.25">
      <c r="A8" t="s">
        <v>22</v>
      </c>
      <c r="B8" s="46" t="s">
        <v>317</v>
      </c>
      <c r="C8" s="47">
        <v>2020</v>
      </c>
      <c r="D8" s="73">
        <f t="shared" ref="D8" si="10">AVERAGE(K8,O8,S8,W8,AA8,AE8,AI8,AM8,AQ8,AU8,AY8,BC8,BG8,BK8,BO8,BS8,BW8,CA8)</f>
        <v>1.1890909090909092</v>
      </c>
      <c r="E8" s="73">
        <f t="shared" ref="E8" si="11">MEDIAN(K8,O8,S8,W8,AA8,AE8,AI8,AM8,AQ8,AU8,AY8,BC8,BG8,BK8,BO8,BS8,BW8,CA8)</f>
        <v>1.1890909090909092</v>
      </c>
      <c r="F8" s="73">
        <f t="shared" ref="F8" si="12">MIN(K8,O8,S8,W8,AA8,AE8,AI8,AM8,AQ8,AU8,AY8,BC8,BG8,BK8,BO8,BS8,BW8,CA8)</f>
        <v>1.1890909090909092</v>
      </c>
      <c r="G8" s="73">
        <f t="shared" ref="G8" si="13">MAX(K8,O8,S8,W8,AA8,AE8,AI8,AM8,AQ8,AU8,AY8,BC8,BG8,BK8,BO8,BS8,BW8,CA8)</f>
        <v>1.1890909090909092</v>
      </c>
      <c r="H8" s="39">
        <f t="shared" ref="H8" si="14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>
        <v>1.1890909090909092</v>
      </c>
      <c r="BL8" s="39"/>
      <c r="BM8" s="61"/>
      <c r="BN8" s="64"/>
    </row>
    <row r="9" spans="1:66" x14ac:dyDescent="0.25">
      <c r="A9" t="s">
        <v>27</v>
      </c>
      <c r="B9" s="46" t="s">
        <v>317</v>
      </c>
      <c r="C9" s="47">
        <v>2020</v>
      </c>
      <c r="D9" s="73">
        <f t="shared" ref="D9" si="15">AVERAGE(K9,O9,S9,W9,AA9,AE9,AI9,AM9,AQ9,AU9,AY9,BC9,BG9,BK9,BO9,BS9,BW9,CA9)</f>
        <v>1.1175917648248817</v>
      </c>
      <c r="E9" s="73">
        <f t="shared" ref="E9" si="16">MEDIAN(K9,O9,S9,W9,AA9,AE9,AI9,AM9,AQ9,AU9,AY9,BC9,BG9,BK9,BO9,BS9,BW9,CA9)</f>
        <v>0.89795000000000003</v>
      </c>
      <c r="F9" s="73">
        <f t="shared" ref="F9" si="17">MIN(K9,O9,S9,W9,AA9,AE9,AI9,AM9,AQ9,AU9,AY9,BC9,BG9,BK9,BO9,BS9,BW9,CA9)</f>
        <v>0.60553633217993075</v>
      </c>
      <c r="G9" s="73">
        <f t="shared" ref="G9" si="18">MAX(K9,O9,S9,W9,AA9,AE9,AI9,AM9,AQ9,AU9,AY9,BC9,BG9,BK9,BO9,BS9,BW9,CA9)</f>
        <v>2.068930727119596</v>
      </c>
      <c r="H9" s="39">
        <f t="shared" ref="H9" si="19">COUNT(K9,O9,S9,W9,AA9,AE9,AI9,AM9,AQ9,AU9,AY9,BC9,BG9,BK9,BO9,BS9,BW9,CA9,CE9)</f>
        <v>4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>
        <v>1.03</v>
      </c>
      <c r="AR9" s="39"/>
      <c r="AS9" s="61"/>
      <c r="AT9" s="64"/>
      <c r="AU9" s="39">
        <v>0.60553633217993075</v>
      </c>
      <c r="AV9" s="39"/>
      <c r="AW9" s="61"/>
      <c r="AX9" s="64"/>
      <c r="AY9" s="39">
        <v>0.76590000000000003</v>
      </c>
      <c r="AZ9" s="39"/>
      <c r="BA9" s="61"/>
      <c r="BB9" s="64"/>
      <c r="BC9" s="39"/>
      <c r="BD9" s="39"/>
      <c r="BE9" s="61"/>
      <c r="BF9" s="64"/>
      <c r="BG9" s="39">
        <v>2.068930727119596</v>
      </c>
      <c r="BH9" s="39"/>
      <c r="BI9" s="61"/>
      <c r="BJ9" s="64"/>
      <c r="BK9" s="39"/>
      <c r="BL9" s="39"/>
      <c r="BM9" s="61"/>
      <c r="BN9" s="64"/>
    </row>
    <row r="10" spans="1:66" x14ac:dyDescent="0.25">
      <c r="A10" t="s">
        <v>31</v>
      </c>
      <c r="B10" s="46" t="s">
        <v>317</v>
      </c>
      <c r="C10" s="47">
        <v>2020</v>
      </c>
      <c r="D10" s="73">
        <f t="shared" si="5"/>
        <v>0.13436948047721434</v>
      </c>
      <c r="E10" s="73">
        <f t="shared" si="6"/>
        <v>0.1174</v>
      </c>
      <c r="F10" s="73">
        <f t="shared" si="7"/>
        <v>6.9204152249134954E-2</v>
      </c>
      <c r="G10" s="73">
        <f t="shared" si="8"/>
        <v>0.25893985120718699</v>
      </c>
      <c r="H10" s="39">
        <f t="shared" si="9"/>
        <v>12</v>
      </c>
      <c r="I10" s="39"/>
      <c r="J10" s="63"/>
      <c r="K10" s="39"/>
      <c r="L10" s="39"/>
      <c r="M10" s="61"/>
      <c r="N10" s="64"/>
      <c r="O10" s="39">
        <v>0.14333333333333334</v>
      </c>
      <c r="P10" s="39"/>
      <c r="Q10" s="61"/>
      <c r="R10" s="64"/>
      <c r="S10" s="39"/>
      <c r="T10" s="39"/>
      <c r="U10" s="61"/>
      <c r="V10" s="64"/>
      <c r="W10" s="39">
        <v>0.1</v>
      </c>
      <c r="X10" s="39"/>
      <c r="Y10" s="61"/>
      <c r="Z10" s="64"/>
      <c r="AA10" s="39">
        <v>0.12</v>
      </c>
      <c r="AB10" s="39"/>
      <c r="AC10" s="61"/>
      <c r="AD10" s="64"/>
      <c r="AE10" s="39">
        <v>0.185</v>
      </c>
      <c r="AF10" s="39"/>
      <c r="AG10" s="61"/>
      <c r="AH10" s="64"/>
      <c r="AI10" s="39">
        <v>0.20530000000000001</v>
      </c>
      <c r="AJ10" s="39"/>
      <c r="AK10" s="61"/>
      <c r="AL10" s="64"/>
      <c r="AM10" s="39">
        <v>0.10133824711873493</v>
      </c>
      <c r="AN10" s="39"/>
      <c r="AO10" s="61"/>
      <c r="AP10" s="64"/>
      <c r="AQ10" s="39">
        <v>0.11899999999999999</v>
      </c>
      <c r="AR10" s="39"/>
      <c r="AS10" s="61"/>
      <c r="AT10" s="64"/>
      <c r="AU10" s="39">
        <v>6.9204152249134954E-2</v>
      </c>
      <c r="AV10" s="39"/>
      <c r="AW10" s="61"/>
      <c r="AX10" s="64"/>
      <c r="AY10" s="39">
        <v>9.4700000000000006E-2</v>
      </c>
      <c r="AZ10" s="39"/>
      <c r="BA10" s="61"/>
      <c r="BB10" s="64"/>
      <c r="BC10" s="39">
        <v>0.1158</v>
      </c>
      <c r="BD10" s="39"/>
      <c r="BE10" s="61"/>
      <c r="BF10" s="64"/>
      <c r="BG10" s="39">
        <v>0.25893985120718699</v>
      </c>
      <c r="BH10" s="39"/>
      <c r="BI10" s="61"/>
      <c r="BJ10" s="64"/>
      <c r="BK10" s="39">
        <v>9.981818181818182E-2</v>
      </c>
      <c r="BL10" s="39"/>
      <c r="BM10" s="61"/>
      <c r="BN10" s="64"/>
    </row>
    <row r="11" spans="1:66" x14ac:dyDescent="0.25">
      <c r="A11" t="s">
        <v>33</v>
      </c>
      <c r="B11" s="46" t="s">
        <v>317</v>
      </c>
      <c r="C11" s="47">
        <v>2020</v>
      </c>
      <c r="D11" s="73">
        <f t="shared" si="5"/>
        <v>0</v>
      </c>
      <c r="E11" s="73">
        <f t="shared" si="6"/>
        <v>0</v>
      </c>
      <c r="F11" s="73">
        <f t="shared" si="7"/>
        <v>0</v>
      </c>
      <c r="G11" s="73">
        <f t="shared" si="8"/>
        <v>0</v>
      </c>
      <c r="H11" s="39">
        <f t="shared" si="9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>
        <v>0</v>
      </c>
      <c r="BH11" s="39"/>
      <c r="BI11" s="61"/>
      <c r="BJ11" s="64"/>
      <c r="BK11" s="39"/>
      <c r="BL11" s="39"/>
      <c r="BM11" s="61"/>
      <c r="BN11" s="64"/>
    </row>
    <row r="12" spans="1:66" x14ac:dyDescent="0.25">
      <c r="A12" t="s">
        <v>38</v>
      </c>
      <c r="B12" s="46" t="s">
        <v>317</v>
      </c>
      <c r="C12" s="47">
        <v>2020</v>
      </c>
      <c r="D12" s="73">
        <f t="shared" ref="D12" si="20">AVERAGE(K12,O12,S12,W12,AA12,AE12,AI12,AM12,AQ12,AU12,AY12,BC12,BG12,BK12,BO12,BS12,BW12,CA12)</f>
        <v>5.2858295901179117E-3</v>
      </c>
      <c r="E12" s="73">
        <f t="shared" ref="E12" si="21">MEDIAN(K12,O12,S12,W12,AA12,AE12,AI12,AM12,AQ12,AU12,AY12,BC12,BG12,BK12,BO12,BS12,BW12,CA12)</f>
        <v>5.2858295901179117E-3</v>
      </c>
      <c r="F12" s="73">
        <f t="shared" ref="F12" si="22">MIN(K12,O12,S12,W12,AA12,AE12,AI12,AM12,AQ12,AU12,AY12,BC12,BG12,BK12,BO12,BS12,BW12,CA12)</f>
        <v>0</v>
      </c>
      <c r="G12" s="73">
        <f t="shared" ref="G12" si="23">MAX(K12,O12,S12,W12,AA12,AE12,AI12,AM12,AQ12,AU12,AY12,BC12,BG12,BK12,BO12,BS12,BW12,CA12)</f>
        <v>1.0571659180235823E-2</v>
      </c>
      <c r="H12" s="39">
        <f t="shared" ref="H12" si="24">COUNT(K12,O12,S12,W12,AA12,AE12,AI12,AM12,AQ12,AU12,AY12,BC12,BG12,BK12,BO12,BS12,BW12,CA12,CE12)</f>
        <v>2</v>
      </c>
      <c r="I12" s="39"/>
      <c r="J12" s="63"/>
      <c r="K12" s="39">
        <v>0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>
        <v>1.0571659180235823E-2</v>
      </c>
      <c r="BH12" s="39"/>
      <c r="BI12" s="61"/>
      <c r="BJ12" s="64"/>
      <c r="BK12" s="39"/>
      <c r="BL12" s="39"/>
      <c r="BM12" s="61"/>
      <c r="BN12" s="64"/>
    </row>
    <row r="13" spans="1:66" x14ac:dyDescent="0.25">
      <c r="A13" t="s">
        <v>41</v>
      </c>
      <c r="B13" s="46" t="s">
        <v>317</v>
      </c>
      <c r="C13" s="47">
        <v>2020</v>
      </c>
      <c r="D13" s="73">
        <f t="shared" ref="D13:D14" si="25">AVERAGE(K13,O13,S13,W13,AA13,AE13,AI13,AM13,AQ13,AU13,AY13,BC13,BG13,BK13,BO13,BS13,BW13,CA13)</f>
        <v>0.5915726125304136</v>
      </c>
      <c r="E13" s="73">
        <f t="shared" ref="E13:E14" si="26">MEDIAN(K13,O13,S13,W13,AA13,AE13,AI13,AM13,AQ13,AU13,AY13,BC13,BG13,BK13,BO13,BS13,BW13,CA13)</f>
        <v>0.56066666666666665</v>
      </c>
      <c r="F13" s="73">
        <f t="shared" ref="F13:F14" si="27">MIN(K13,O13,S13,W13,AA13,AE13,AI13,AM13,AQ13,AU13,AY13,BC13,BG13,BK13,BO13,BS13,BW13,CA13)</f>
        <v>0.42549999999999999</v>
      </c>
      <c r="G13" s="73">
        <f t="shared" ref="G13:G14" si="28">MAX(K13,O13,S13,W13,AA13,AE13,AI13,AM13,AQ13,AU13,AY13,BC13,BG13,BK13,BO13,BS13,BW13,CA13)</f>
        <v>0.81945711678832123</v>
      </c>
      <c r="H13" s="39">
        <f t="shared" ref="H13:H14" si="29">COUNT(K13,O13,S13,W13,AA13,AE13,AI13,AM13,AQ13,AU13,AY13,BC13,BG13,BK13,BO13,BS13,BW13,CA13,CE13)</f>
        <v>4</v>
      </c>
      <c r="I13" s="39"/>
      <c r="J13" s="63"/>
      <c r="K13" s="39"/>
      <c r="L13" s="39"/>
      <c r="M13" s="61"/>
      <c r="N13" s="64"/>
      <c r="O13" s="39">
        <v>0.64333333333333342</v>
      </c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>
        <v>0.47799999999999998</v>
      </c>
      <c r="AR13" s="39"/>
      <c r="AS13" s="61"/>
      <c r="AT13" s="64"/>
      <c r="AU13" s="39"/>
      <c r="AV13" s="39"/>
      <c r="AW13" s="61"/>
      <c r="AX13" s="64"/>
      <c r="AY13" s="39">
        <v>0.42549999999999999</v>
      </c>
      <c r="AZ13" s="39"/>
      <c r="BA13" s="61"/>
      <c r="BB13" s="64"/>
      <c r="BC13" s="39"/>
      <c r="BD13" s="39"/>
      <c r="BE13" s="61"/>
      <c r="BF13" s="64"/>
      <c r="BG13" s="39">
        <v>0.81945711678832123</v>
      </c>
      <c r="BH13" s="39"/>
      <c r="BI13" s="61"/>
      <c r="BJ13" s="64"/>
      <c r="BK13" s="39"/>
      <c r="BL13" s="39"/>
      <c r="BM13" s="61"/>
      <c r="BN13" s="64"/>
    </row>
    <row r="14" spans="1:66" x14ac:dyDescent="0.25">
      <c r="A14" t="s">
        <v>53</v>
      </c>
      <c r="B14" s="46" t="s">
        <v>317</v>
      </c>
      <c r="C14" s="47">
        <v>2020</v>
      </c>
      <c r="D14" s="73">
        <f t="shared" si="25"/>
        <v>0</v>
      </c>
      <c r="E14" s="73">
        <f t="shared" si="26"/>
        <v>0</v>
      </c>
      <c r="F14" s="73">
        <f t="shared" si="27"/>
        <v>0</v>
      </c>
      <c r="G14" s="73">
        <f t="shared" si="28"/>
        <v>0</v>
      </c>
      <c r="H14" s="39">
        <f t="shared" si="29"/>
        <v>1</v>
      </c>
      <c r="I14" s="39"/>
      <c r="J14" s="63"/>
      <c r="K14" s="39"/>
      <c r="L14" s="39"/>
      <c r="M14" s="61"/>
      <c r="N14" s="64"/>
      <c r="O14" s="39">
        <v>0</v>
      </c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</row>
    <row r="15" spans="1:66" x14ac:dyDescent="0.25">
      <c r="A15" s="41"/>
      <c r="B15" s="48"/>
      <c r="C15" s="48"/>
      <c r="D15" s="41"/>
      <c r="E15" s="41"/>
      <c r="F15" s="41"/>
      <c r="G15" s="41"/>
      <c r="H15" s="52"/>
      <c r="I15" s="41"/>
      <c r="J15" s="57"/>
      <c r="K15" s="41"/>
      <c r="L15" s="41"/>
      <c r="M15" s="52"/>
      <c r="N15" s="57"/>
      <c r="O15" s="41"/>
      <c r="P15" s="41"/>
      <c r="Q15" s="52"/>
      <c r="R15" s="57"/>
      <c r="S15" s="41"/>
      <c r="T15" s="41"/>
      <c r="U15" s="52"/>
      <c r="V15" s="57"/>
      <c r="W15" s="41"/>
      <c r="X15" s="41"/>
      <c r="Y15" s="52"/>
      <c r="Z15" s="57"/>
      <c r="AA15" s="41"/>
      <c r="AB15" s="41"/>
      <c r="AC15" s="52"/>
      <c r="AD15" s="57"/>
      <c r="AE15" s="41"/>
      <c r="AF15" s="41"/>
      <c r="AG15" s="52"/>
      <c r="AH15" s="57"/>
      <c r="AI15" s="41"/>
      <c r="AJ15" s="41"/>
      <c r="AK15" s="52"/>
      <c r="AL15" s="57"/>
      <c r="AM15" s="41"/>
      <c r="AN15" s="41"/>
      <c r="AO15" s="52"/>
      <c r="AP15" s="57"/>
      <c r="AQ15" s="41"/>
      <c r="AR15" s="41"/>
      <c r="AS15" s="52"/>
      <c r="AT15" s="57"/>
      <c r="AU15" s="41"/>
      <c r="AV15" s="41"/>
      <c r="AW15" s="52"/>
      <c r="AX15" s="57"/>
      <c r="AY15" s="41"/>
      <c r="AZ15" s="41"/>
      <c r="BA15" s="52"/>
      <c r="BB15" s="57"/>
      <c r="BC15" s="41"/>
      <c r="BD15" s="41"/>
      <c r="BE15" s="52"/>
      <c r="BF15" s="57"/>
      <c r="BG15" s="41"/>
      <c r="BH15" s="41"/>
      <c r="BI15" s="52"/>
      <c r="BJ15" s="57"/>
      <c r="BK15" s="41"/>
      <c r="BL15" s="41"/>
      <c r="BM15" s="52"/>
      <c r="BN15" s="57"/>
    </row>
  </sheetData>
  <mergeCells count="29">
    <mergeCell ref="S1:V1"/>
    <mergeCell ref="S2:V2"/>
    <mergeCell ref="D1:J1"/>
    <mergeCell ref="K1:N1"/>
    <mergeCell ref="O1:R1"/>
    <mergeCell ref="K2:N2"/>
    <mergeCell ref="O2:R2"/>
    <mergeCell ref="W1:Z1"/>
    <mergeCell ref="W2:Z2"/>
    <mergeCell ref="AA1:AD1"/>
    <mergeCell ref="AA2:AD2"/>
    <mergeCell ref="AE1:AH1"/>
    <mergeCell ref="AE2:AH2"/>
    <mergeCell ref="AI1:AL1"/>
    <mergeCell ref="AI2:AL2"/>
    <mergeCell ref="AM1:AP1"/>
    <mergeCell ref="AM2:AP2"/>
    <mergeCell ref="AQ1:AT1"/>
    <mergeCell ref="AQ2:AT2"/>
    <mergeCell ref="BG1:BJ1"/>
    <mergeCell ref="BG2:BJ2"/>
    <mergeCell ref="BK1:BN1"/>
    <mergeCell ref="BK2:BN2"/>
    <mergeCell ref="AU1:AX1"/>
    <mergeCell ref="AU2:AX2"/>
    <mergeCell ref="AY1:BB1"/>
    <mergeCell ref="AY2:BB2"/>
    <mergeCell ref="BC1:BF1"/>
    <mergeCell ref="BC2:B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4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1.42578125" bestFit="1" customWidth="1"/>
    <col min="18" max="18" width="9.7109375" customWidth="1"/>
  </cols>
  <sheetData>
    <row r="1" spans="1:22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334</v>
      </c>
      <c r="L1" s="121"/>
      <c r="M1" s="121"/>
      <c r="N1" s="122"/>
      <c r="O1" s="114" t="s">
        <v>358</v>
      </c>
      <c r="P1" s="115"/>
      <c r="Q1" s="115"/>
      <c r="R1" s="116"/>
      <c r="S1" s="120" t="s">
        <v>362</v>
      </c>
      <c r="T1" s="121"/>
      <c r="U1" s="121"/>
      <c r="V1" s="122"/>
    </row>
    <row r="2" spans="1:22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337</v>
      </c>
      <c r="L2" s="130"/>
      <c r="M2" s="130"/>
      <c r="N2" s="131"/>
      <c r="O2" s="123" t="s">
        <v>359</v>
      </c>
      <c r="P2" s="124"/>
      <c r="Q2" s="124"/>
      <c r="R2" s="125"/>
      <c r="S2" s="129" t="s">
        <v>359</v>
      </c>
      <c r="T2" s="130"/>
      <c r="U2" s="130"/>
      <c r="V2" s="131"/>
    </row>
    <row r="3" spans="1:22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</row>
    <row r="4" spans="1:22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</row>
    <row r="5" spans="1:22" x14ac:dyDescent="0.25">
      <c r="A5" t="s">
        <v>3</v>
      </c>
      <c r="B5" s="46" t="s">
        <v>317</v>
      </c>
      <c r="C5" s="47">
        <v>2020</v>
      </c>
      <c r="D5" s="89">
        <f>AVERAGE(K5,O5,S5)</f>
        <v>3.4351145038167936</v>
      </c>
      <c r="E5" s="89">
        <f>MEDIAN(K5,O5,S5)</f>
        <v>3.4351145038167936</v>
      </c>
      <c r="F5" s="89">
        <f>MIN(K5,O5,S5)</f>
        <v>3.4351145038167936</v>
      </c>
      <c r="G5" s="89">
        <f>MAX(K5,O5,S5)</f>
        <v>3.4351145038167936</v>
      </c>
      <c r="H5" s="39">
        <f>COUNT(K5,O5,S5)</f>
        <v>1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>
        <v>3.4351145038167936</v>
      </c>
      <c r="T5" s="39"/>
      <c r="U5" s="61"/>
      <c r="V5" s="64"/>
    </row>
    <row r="6" spans="1:22" x14ac:dyDescent="0.25">
      <c r="A6" t="s">
        <v>13</v>
      </c>
      <c r="B6" s="46" t="s">
        <v>317</v>
      </c>
      <c r="C6" s="47">
        <v>2020</v>
      </c>
      <c r="D6" s="89" t="e">
        <f t="shared" ref="D6:D13" si="0">AVERAGE(K6,O6,S6)</f>
        <v>#DIV/0!</v>
      </c>
      <c r="E6" s="89" t="e">
        <f t="shared" ref="E6:E13" si="1">MEDIAN(K6,O6,S6)</f>
        <v>#NUM!</v>
      </c>
      <c r="F6" s="89">
        <f t="shared" ref="F6:F13" si="2">MIN(K6,O6,S6)</f>
        <v>0</v>
      </c>
      <c r="G6" s="89">
        <f t="shared" ref="G6:G13" si="3">MAX(K6,O6,S6)</f>
        <v>0</v>
      </c>
      <c r="H6" s="39">
        <f t="shared" ref="H6:H13" si="4">COUNT(K6,O6,S6)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T6" s="39"/>
      <c r="U6" s="61"/>
      <c r="V6" s="64"/>
    </row>
    <row r="7" spans="1:22" x14ac:dyDescent="0.25">
      <c r="A7" t="s">
        <v>15</v>
      </c>
      <c r="B7" s="46" t="s">
        <v>317</v>
      </c>
      <c r="C7" s="47">
        <v>2020</v>
      </c>
      <c r="D7" s="89">
        <f t="shared" si="0"/>
        <v>0.38167938931297712</v>
      </c>
      <c r="E7" s="89">
        <f t="shared" si="1"/>
        <v>0.38167938931297712</v>
      </c>
      <c r="F7" s="89">
        <f t="shared" si="2"/>
        <v>0.38167938931297712</v>
      </c>
      <c r="G7" s="89">
        <f t="shared" si="3"/>
        <v>0.38167938931297712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>
        <v>0.38167938931297712</v>
      </c>
      <c r="T7" s="39"/>
      <c r="U7" s="61"/>
      <c r="V7" s="64"/>
    </row>
    <row r="8" spans="1:22" x14ac:dyDescent="0.25">
      <c r="A8" t="s">
        <v>27</v>
      </c>
      <c r="B8" s="46" t="s">
        <v>317</v>
      </c>
      <c r="C8" s="47">
        <v>2020</v>
      </c>
      <c r="D8" s="89">
        <f t="shared" si="0"/>
        <v>2.6526717557251911</v>
      </c>
      <c r="E8" s="89">
        <f t="shared" si="1"/>
        <v>2.6526717557251911</v>
      </c>
      <c r="F8" s="89">
        <f t="shared" si="2"/>
        <v>2.6526717557251911</v>
      </c>
      <c r="G8" s="89">
        <f t="shared" si="3"/>
        <v>2.6526717557251911</v>
      </c>
      <c r="H8" s="39">
        <f t="shared" si="4"/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>
        <v>2.6526717557251911</v>
      </c>
      <c r="T8" s="39"/>
      <c r="U8" s="61"/>
      <c r="V8" s="64"/>
    </row>
    <row r="9" spans="1:22" x14ac:dyDescent="0.25">
      <c r="A9" t="s">
        <v>31</v>
      </c>
      <c r="B9" s="46" t="s">
        <v>317</v>
      </c>
      <c r="C9" s="47">
        <v>2020</v>
      </c>
      <c r="D9" s="89">
        <f t="shared" si="0"/>
        <v>0.56563613231552168</v>
      </c>
      <c r="E9" s="89">
        <f t="shared" si="1"/>
        <v>0.56563613231552168</v>
      </c>
      <c r="F9" s="89">
        <f t="shared" si="2"/>
        <v>0.46333333333333332</v>
      </c>
      <c r="G9" s="89">
        <f t="shared" si="3"/>
        <v>0.66793893129770998</v>
      </c>
      <c r="H9" s="39">
        <f t="shared" si="4"/>
        <v>2</v>
      </c>
      <c r="I9" s="39"/>
      <c r="J9" s="63"/>
      <c r="K9" s="39">
        <v>0.46333333333333332</v>
      </c>
      <c r="L9" s="39"/>
      <c r="M9" s="61"/>
      <c r="N9" s="64"/>
      <c r="O9" s="39"/>
      <c r="P9" s="39"/>
      <c r="Q9" s="61"/>
      <c r="R9" s="64"/>
      <c r="S9" s="39">
        <v>0.66793893129770998</v>
      </c>
      <c r="T9" s="39"/>
      <c r="U9" s="61"/>
      <c r="V9" s="64"/>
    </row>
    <row r="10" spans="1:22" x14ac:dyDescent="0.25">
      <c r="A10" t="s">
        <v>33</v>
      </c>
      <c r="B10" s="46" t="s">
        <v>317</v>
      </c>
      <c r="C10" s="47">
        <v>2020</v>
      </c>
      <c r="D10" s="89" t="e">
        <f t="shared" si="0"/>
        <v>#DIV/0!</v>
      </c>
      <c r="E10" s="89" t="e">
        <f t="shared" si="1"/>
        <v>#NUM!</v>
      </c>
      <c r="F10" s="89">
        <f t="shared" si="2"/>
        <v>0</v>
      </c>
      <c r="G10" s="89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</row>
    <row r="11" spans="1:22" x14ac:dyDescent="0.25">
      <c r="A11" t="s">
        <v>38</v>
      </c>
      <c r="B11" s="46" t="s">
        <v>317</v>
      </c>
      <c r="C11" s="47">
        <v>2020</v>
      </c>
      <c r="D11" s="89">
        <f t="shared" si="0"/>
        <v>7.6335877862595422E-2</v>
      </c>
      <c r="E11" s="89">
        <f t="shared" si="1"/>
        <v>7.6335877862595422E-2</v>
      </c>
      <c r="F11" s="89">
        <f t="shared" si="2"/>
        <v>7.6335877862595422E-2</v>
      </c>
      <c r="G11" s="89">
        <f t="shared" si="3"/>
        <v>7.6335877862595422E-2</v>
      </c>
      <c r="H11" s="39">
        <f t="shared" si="4"/>
        <v>1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>
        <v>7.6335877862595422E-2</v>
      </c>
      <c r="T11" s="39"/>
      <c r="U11" s="61"/>
      <c r="V11" s="64"/>
    </row>
    <row r="12" spans="1:22" x14ac:dyDescent="0.25">
      <c r="A12" t="s">
        <v>41</v>
      </c>
      <c r="B12" s="46" t="s">
        <v>317</v>
      </c>
      <c r="C12" s="47">
        <v>2020</v>
      </c>
      <c r="D12" s="89">
        <f t="shared" si="0"/>
        <v>0.74673027989821894</v>
      </c>
      <c r="E12" s="89">
        <f t="shared" si="1"/>
        <v>0.74673027989821883</v>
      </c>
      <c r="F12" s="89">
        <f t="shared" si="2"/>
        <v>0.17666666666666667</v>
      </c>
      <c r="G12" s="89">
        <f t="shared" si="3"/>
        <v>1.3167938931297711</v>
      </c>
      <c r="H12" s="39">
        <f t="shared" si="4"/>
        <v>2</v>
      </c>
      <c r="I12" s="39"/>
      <c r="J12" s="63"/>
      <c r="K12" s="39">
        <v>0.17666666666666667</v>
      </c>
      <c r="L12" s="39"/>
      <c r="M12" s="61"/>
      <c r="N12" s="64"/>
      <c r="O12" s="39"/>
      <c r="P12" s="39"/>
      <c r="Q12" s="61"/>
      <c r="R12" s="64"/>
      <c r="S12" s="39">
        <v>1.3167938931297711</v>
      </c>
      <c r="T12" s="39"/>
      <c r="U12" s="61"/>
      <c r="V12" s="64"/>
    </row>
    <row r="13" spans="1:22" x14ac:dyDescent="0.25">
      <c r="A13" t="s">
        <v>53</v>
      </c>
      <c r="B13" s="46" t="s">
        <v>317</v>
      </c>
      <c r="C13" s="47">
        <v>2020</v>
      </c>
      <c r="D13" s="89">
        <f t="shared" si="0"/>
        <v>3.4660666666666669</v>
      </c>
      <c r="E13" s="89">
        <f t="shared" si="1"/>
        <v>3.4660666666666669</v>
      </c>
      <c r="F13" s="89">
        <f t="shared" si="2"/>
        <v>1.6033333333333335</v>
      </c>
      <c r="G13" s="89">
        <f t="shared" si="3"/>
        <v>5.3288000000000002</v>
      </c>
      <c r="H13" s="39">
        <f t="shared" si="4"/>
        <v>2</v>
      </c>
      <c r="I13" s="39"/>
      <c r="J13" s="63"/>
      <c r="K13" s="39">
        <v>1.6033333333333335</v>
      </c>
      <c r="L13" s="39"/>
      <c r="M13" s="61"/>
      <c r="N13" s="64"/>
      <c r="O13" s="39">
        <v>5.3288000000000002</v>
      </c>
      <c r="P13" s="39"/>
      <c r="Q13" s="61"/>
      <c r="R13" s="64"/>
      <c r="S13" s="39"/>
      <c r="T13" s="39"/>
      <c r="U13" s="61"/>
      <c r="V13" s="64"/>
    </row>
    <row r="14" spans="1:22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</row>
  </sheetData>
  <mergeCells count="7">
    <mergeCell ref="D1:J1"/>
    <mergeCell ref="K1:N1"/>
    <mergeCell ref="O2:R2"/>
    <mergeCell ref="S1:V1"/>
    <mergeCell ref="K2:N2"/>
    <mergeCell ref="S2:V2"/>
    <mergeCell ref="O1:R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R6"/>
  <sheetViews>
    <sheetView workbookViewId="0">
      <selection activeCell="H5" sqref="H5"/>
    </sheetView>
  </sheetViews>
  <sheetFormatPr defaultRowHeight="15" x14ac:dyDescent="0.25"/>
  <sheetData>
    <row r="1" spans="1:18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318</v>
      </c>
      <c r="L1" s="121"/>
      <c r="M1" s="121"/>
      <c r="N1" s="122"/>
      <c r="O1" s="114"/>
      <c r="P1" s="115"/>
      <c r="Q1" s="115"/>
      <c r="R1" s="116"/>
    </row>
    <row r="2" spans="1:1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332</v>
      </c>
      <c r="L2" s="130"/>
      <c r="M2" s="130"/>
      <c r="N2" s="131"/>
      <c r="O2" s="123"/>
      <c r="P2" s="124"/>
      <c r="Q2" s="124"/>
      <c r="R2" s="125"/>
    </row>
    <row r="3" spans="1:1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</row>
    <row r="4" spans="1:1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</row>
    <row r="5" spans="1:18" x14ac:dyDescent="0.25">
      <c r="A5" t="s">
        <v>333</v>
      </c>
      <c r="B5" s="46" t="s">
        <v>317</v>
      </c>
      <c r="C5" s="47">
        <v>2020</v>
      </c>
      <c r="D5" s="73">
        <f t="shared" ref="D5" si="0">AVERAGE(K5,O5,S5,W5,AA5,AE5,AI5,AM5,AQ5,AU5,AY5,BC5,BG5,BK5,BO5,BS5,BW5,CA5)</f>
        <v>14</v>
      </c>
      <c r="E5" s="73">
        <f t="shared" ref="E5" si="1">MEDIAN(K5,O5,S5,W5,AA5,AE5,AI5,AM5,AQ5,AU5,AY5,BC5,BG5,BK5,BO5,BS5,BW5,CA5)</f>
        <v>14</v>
      </c>
      <c r="F5" s="73">
        <f t="shared" ref="F5" si="2">MIN(K5,O5,S5,W5,AA5,AE5,AI5,AM5,AQ5,AU5,AY5,BC5,BG5,BK5,BO5,BS5,BW5,CA5)</f>
        <v>14</v>
      </c>
      <c r="G5" s="73">
        <f t="shared" ref="G5" si="3">MAX(K5,O5,S5,W5,AA5,AE5,AI5,AM5,AQ5,AU5,AY5,BC5,BG5,BK5,BO5,BS5,BW5,CA5)</f>
        <v>14</v>
      </c>
      <c r="H5" s="39">
        <f t="shared" ref="H5" si="4">COUNT(K5,O5,S5,W5,AA5,AE5,AI5,AM5,AQ5,AU5,AY5,BC5,BG5,BK5,BO5,BS5,BW5,CA5,CE5)</f>
        <v>1</v>
      </c>
      <c r="I5" s="39"/>
      <c r="J5" s="63"/>
      <c r="K5" s="39">
        <v>14</v>
      </c>
      <c r="L5" s="39"/>
      <c r="M5" s="61"/>
      <c r="N5" s="64"/>
      <c r="O5" s="39"/>
      <c r="P5" s="39"/>
      <c r="Q5" s="61"/>
      <c r="R5" s="64"/>
    </row>
    <row r="6" spans="1:18" x14ac:dyDescent="0.25">
      <c r="A6" s="41"/>
      <c r="B6" s="48"/>
      <c r="C6" s="48"/>
      <c r="D6" s="41"/>
      <c r="E6" s="41"/>
      <c r="F6" s="41"/>
      <c r="G6" s="41"/>
      <c r="H6" s="52"/>
      <c r="I6" s="41"/>
      <c r="J6" s="57"/>
      <c r="K6" s="41"/>
      <c r="L6" s="41"/>
      <c r="M6" s="52"/>
      <c r="N6" s="57"/>
      <c r="O6" s="41"/>
      <c r="P6" s="41"/>
      <c r="Q6" s="52"/>
      <c r="R6" s="57"/>
    </row>
  </sheetData>
  <mergeCells count="5"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sheetData>
    <row r="1" spans="1:26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318</v>
      </c>
      <c r="L1" s="121"/>
      <c r="M1" s="121"/>
      <c r="N1" s="122"/>
      <c r="O1" s="114" t="s">
        <v>318</v>
      </c>
      <c r="P1" s="115"/>
      <c r="Q1" s="115"/>
      <c r="R1" s="116"/>
      <c r="S1" s="120" t="s">
        <v>343</v>
      </c>
      <c r="T1" s="121"/>
      <c r="U1" s="121"/>
      <c r="V1" s="122"/>
      <c r="W1" s="114"/>
      <c r="X1" s="115"/>
      <c r="Y1" s="115"/>
      <c r="Z1" s="116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321</v>
      </c>
      <c r="L2" s="130"/>
      <c r="M2" s="130"/>
      <c r="N2" s="131"/>
      <c r="O2" s="123" t="s">
        <v>322</v>
      </c>
      <c r="P2" s="124"/>
      <c r="Q2" s="124"/>
      <c r="R2" s="125"/>
      <c r="S2" s="129" t="s">
        <v>344</v>
      </c>
      <c r="T2" s="130"/>
      <c r="U2" s="130"/>
      <c r="V2" s="131"/>
      <c r="W2" s="123"/>
      <c r="X2" s="124"/>
      <c r="Y2" s="124"/>
      <c r="Z2" s="125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55</v>
      </c>
      <c r="B5" s="46" t="s">
        <v>317</v>
      </c>
      <c r="C5" s="47">
        <v>2020</v>
      </c>
      <c r="D5" s="73">
        <f>AVERAGE(K5,O5,S5,W5,AA5,AE5,AI5,AM5,AQ5,AU5,AY5,BC5,BG5,BK5,BO5,BS5,BW5,CA5)</f>
        <v>0.3</v>
      </c>
      <c r="E5" s="73">
        <f>MEDIAN(K5,O5,S5,W5,AA5,AE5,AI5,AM5,AQ5,AU5,AY5,BC5,BG5,BK5,BO5,BS5,BW5,CA5)</f>
        <v>0.3</v>
      </c>
      <c r="F5" s="73">
        <f>MIN(K5,O5,S5,W5,AA5,AE5,AI5,AM5,AQ5,AU5,AY5,BC5,BG5,BK5,BO5,BS5,BW5,CA5)</f>
        <v>0.3</v>
      </c>
      <c r="G5" s="73">
        <f>MAX(K5,O5,S5,W5,AA5,AE5,AI5,AM5,AQ5,AU5,AY5,BC5,BG5,BK5,BO5,BS5,BW5,CA5)</f>
        <v>0.3</v>
      </c>
      <c r="H5" s="39">
        <f>COUNT(K5,O5,S5,W5,AA5,AE5,AI5,AM5,AQ5,AU5,AY5,BC5,BG5,BK5,BO5,BS5,BW5,CA5,CE5)</f>
        <v>1</v>
      </c>
      <c r="I5" s="39"/>
      <c r="J5" s="63"/>
      <c r="K5" s="39">
        <v>0.3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</row>
    <row r="6" spans="1:26" x14ac:dyDescent="0.25">
      <c r="A6" t="s">
        <v>13</v>
      </c>
      <c r="B6" s="46" t="s">
        <v>317</v>
      </c>
      <c r="C6" s="47">
        <v>2020</v>
      </c>
      <c r="D6" s="73">
        <f>AVERAGE(K6,O6,S6,W6,AA6,AE6,AI6,AM6,AQ6,AU6,AY6,BC6,BG6,BK6,BO6,BS6,BW6,CA6)</f>
        <v>0.19433333333333336</v>
      </c>
      <c r="E6" s="73">
        <f>MEDIAN(K6,O6,S6,W6,AA6,AE6,AI6,AM6,AQ6,AU6,AY6,BC6,BG6,BK6,BO6,BS6,BW6,CA6)</f>
        <v>0.17</v>
      </c>
      <c r="F6" s="73">
        <f>MIN(K6,O6,S6,W6,AA6,AE6,AI6,AM6,AQ6,AU6,AY6,BC6,BG6,BK6,BO6,BS6,BW6,CA6)</f>
        <v>8.7999999999999995E-2</v>
      </c>
      <c r="G6" s="73">
        <f>MAX(K6,O6,S6,W6,AA6,AE6,AI6,AM6,AQ6,AU6,AY6,BC6,BG6,BK6,BO6,BS6,BW6,CA6)</f>
        <v>0.32500000000000001</v>
      </c>
      <c r="H6" s="39">
        <f>COUNT(K6,O6,S6,W6,AA6,AE6,AI6,AM6,AQ6,AU6,AY6,BC6,BG6,BK6,BO6,BS6,BW6,CA6,CE6)</f>
        <v>3</v>
      </c>
      <c r="I6" s="39"/>
      <c r="J6" s="63"/>
      <c r="K6" s="39">
        <v>8.7999999999999995E-2</v>
      </c>
      <c r="L6" s="39"/>
      <c r="M6" s="61"/>
      <c r="N6" s="64"/>
      <c r="O6" s="39">
        <v>0.32500000000000001</v>
      </c>
      <c r="P6" s="39"/>
      <c r="Q6" s="61"/>
      <c r="R6" s="64"/>
      <c r="S6" s="39">
        <v>0.17</v>
      </c>
      <c r="T6" s="39"/>
      <c r="U6" s="61"/>
      <c r="V6" s="64"/>
      <c r="W6" s="39"/>
      <c r="X6" s="39"/>
      <c r="Y6" s="61"/>
      <c r="Z6" s="64"/>
    </row>
    <row r="7" spans="1:26" x14ac:dyDescent="0.25">
      <c r="A7" t="s">
        <v>38</v>
      </c>
      <c r="B7" s="46" t="s">
        <v>317</v>
      </c>
      <c r="C7" s="47">
        <v>2020</v>
      </c>
      <c r="D7" s="73">
        <f t="shared" ref="D7" si="0">AVERAGE(K7,O7,S7,W7,AA7,AE7,AI7,AM7,AQ7,AU7,AY7,BC7,BG7,BK7,BO7,BS7,BW7,CA7)</f>
        <v>4.0833333333333339</v>
      </c>
      <c r="E7" s="73">
        <f t="shared" ref="E7" si="1">MEDIAN(K7,O7,S7,W7,AA7,AE7,AI7,AM7,AQ7,AU7,AY7,BC7,BG7,BK7,BO7,BS7,BW7,CA7)</f>
        <v>4.1500000000000004</v>
      </c>
      <c r="F7" s="73">
        <f t="shared" ref="F7" si="2">MIN(K7,O7,S7,W7,AA7,AE7,AI7,AM7,AQ7,AU7,AY7,BC7,BG7,BK7,BO7,BS7,BW7,CA7)</f>
        <v>3.7</v>
      </c>
      <c r="G7" s="73">
        <f t="shared" ref="G7" si="3">MAX(K7,O7,S7,W7,AA7,AE7,AI7,AM7,AQ7,AU7,AY7,BC7,BG7,BK7,BO7,BS7,BW7,CA7)</f>
        <v>4.4000000000000004</v>
      </c>
      <c r="H7" s="39">
        <f t="shared" ref="H7" si="4">COUNT(K7,O7,S7,W7,AA7,AE7,AI7,AM7,AQ7,AU7,AY7,BC7,BG7,BK7,BO7,BS7,BW7,CA7,CE7)</f>
        <v>3</v>
      </c>
      <c r="I7" s="39"/>
      <c r="J7" s="63"/>
      <c r="K7" s="39">
        <v>3.7</v>
      </c>
      <c r="L7" s="39"/>
      <c r="M7" s="61"/>
      <c r="N7" s="64"/>
      <c r="O7" s="39">
        <v>4.4000000000000004</v>
      </c>
      <c r="P7" s="39"/>
      <c r="Q7" s="61"/>
      <c r="R7" s="64"/>
      <c r="S7" s="39">
        <v>4.1500000000000004</v>
      </c>
      <c r="T7" s="39"/>
      <c r="U7" s="61"/>
      <c r="V7" s="64"/>
      <c r="W7" s="39"/>
      <c r="X7" s="39"/>
      <c r="Y7" s="61"/>
      <c r="Z7" s="64"/>
    </row>
    <row r="8" spans="1:26" x14ac:dyDescent="0.25">
      <c r="A8" t="s">
        <v>323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1.0249999999999999</v>
      </c>
      <c r="E8" s="73">
        <f t="shared" ref="E8" si="6">MEDIAN(K8,O8,S8,W8,AA8,AE8,AI8,AM8,AQ8,AU8,AY8,BC8,BG8,BK8,BO8,BS8,BW8,CA8)</f>
        <v>1.0249999999999999</v>
      </c>
      <c r="F8" s="73">
        <f t="shared" ref="F8" si="7">MIN(K8,O8,S8,W8,AA8,AE8,AI8,AM8,AQ8,AU8,AY8,BC8,BG8,BK8,BO8,BS8,BW8,CA8)</f>
        <v>1.0249999999999999</v>
      </c>
      <c r="G8" s="73">
        <f t="shared" ref="G8" si="8">MAX(K8,O8,S8,W8,AA8,AE8,AI8,AM8,AQ8,AU8,AY8,BC8,BG8,BK8,BO8,BS8,BW8,CA8)</f>
        <v>1.0249999999999999</v>
      </c>
      <c r="H8" s="39">
        <f t="shared" ref="H8" si="9">COUNT(K8,O8,S8,W8,AA8,AE8,AI8,AM8,AQ8,AU8,AY8,BC8,BG8,BK8,BO8,BS8,BW8,CA8,CE8)</f>
        <v>1</v>
      </c>
      <c r="I8" s="39"/>
      <c r="J8" s="63"/>
      <c r="K8" s="39"/>
      <c r="L8" s="39"/>
      <c r="M8" s="61"/>
      <c r="N8" s="64"/>
      <c r="O8" s="39">
        <v>1.0249999999999999</v>
      </c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W1:Z1"/>
    <mergeCell ref="W2:Z2"/>
    <mergeCell ref="D1:J1"/>
    <mergeCell ref="K1:N1"/>
    <mergeCell ref="O1:R1"/>
    <mergeCell ref="K2:N2"/>
    <mergeCell ref="O2:R2"/>
    <mergeCell ref="S1:V1"/>
    <mergeCell ref="S2:V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H9"/>
  <sheetViews>
    <sheetView workbookViewId="0">
      <selection activeCell="H8" sqref="H8"/>
    </sheetView>
  </sheetViews>
  <sheetFormatPr defaultRowHeight="15" x14ac:dyDescent="0.25"/>
  <cols>
    <col min="1" max="1" width="10.85546875" bestFit="1" customWidth="1"/>
  </cols>
  <sheetData>
    <row r="1" spans="1:34" x14ac:dyDescent="0.25">
      <c r="A1" s="99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211</v>
      </c>
      <c r="L1" s="121"/>
      <c r="M1" s="121"/>
      <c r="N1" s="122"/>
      <c r="O1" s="114" t="s">
        <v>357</v>
      </c>
      <c r="P1" s="115"/>
      <c r="Q1" s="115"/>
      <c r="R1" s="116"/>
      <c r="S1" s="120" t="s">
        <v>363</v>
      </c>
      <c r="T1" s="121"/>
      <c r="U1" s="121"/>
      <c r="V1" s="122"/>
      <c r="W1" s="114" t="s">
        <v>364</v>
      </c>
      <c r="X1" s="115"/>
      <c r="Y1" s="115"/>
      <c r="Z1" s="116"/>
      <c r="AA1" s="120"/>
      <c r="AB1" s="121"/>
      <c r="AC1" s="121"/>
      <c r="AD1" s="122"/>
      <c r="AE1" s="114"/>
      <c r="AF1" s="115"/>
      <c r="AG1" s="115"/>
      <c r="AH1" s="116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405</v>
      </c>
      <c r="L2" s="130"/>
      <c r="M2" s="130"/>
      <c r="N2" s="131"/>
      <c r="O2" s="123" t="s">
        <v>406</v>
      </c>
      <c r="P2" s="124"/>
      <c r="Q2" s="124"/>
      <c r="R2" s="125"/>
      <c r="S2" s="129" t="s">
        <v>405</v>
      </c>
      <c r="T2" s="130"/>
      <c r="U2" s="130"/>
      <c r="V2" s="131"/>
      <c r="W2" s="123" t="s">
        <v>405</v>
      </c>
      <c r="X2" s="124"/>
      <c r="Y2" s="124"/>
      <c r="Z2" s="125"/>
      <c r="AA2" s="129"/>
      <c r="AB2" s="130"/>
      <c r="AC2" s="130"/>
      <c r="AD2" s="131"/>
      <c r="AE2" s="123"/>
      <c r="AF2" s="124"/>
      <c r="AG2" s="124"/>
      <c r="AH2" s="125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/>
      <c r="AF3" s="65"/>
      <c r="AG3" s="65"/>
      <c r="AH3" s="66"/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0.45145454545454544</v>
      </c>
      <c r="E5" s="73">
        <f>MEDIAN(K5,O5,S5,W5,AA5,AE5,AI5,AM5,AQ5,AU5,AY5,BC5,BG5,BK5,BO5,BS5,BW5,CA5)</f>
        <v>0.45145454545454544</v>
      </c>
      <c r="F5" s="73">
        <f>MIN(K5,O5,S5,W5,AA5,AE5,AI5,AM5,AQ5,AU5,AY5,BC5,BG5,BK5,BO5,BS5,BW5,CA5)</f>
        <v>0.22</v>
      </c>
      <c r="G5" s="73">
        <f>MAX(K5,O5,S5,W5,AA5,AE5,AI5,AM5,AQ5,AU5,AY5,BC5,BG5,BK5,BO5,BS5,BW5,CA5)</f>
        <v>0.68290909090909091</v>
      </c>
      <c r="H5" s="39">
        <f>COUNT(K5,O5,S5,W5,AA5,AE5,AI5,AM5,AQ5,AU5,AY5,BC5,BG5,BK5,BO5,BS5,BW5,CA5,CE5)</f>
        <v>2</v>
      </c>
      <c r="I5" s="39"/>
      <c r="J5" s="63"/>
      <c r="K5" s="39">
        <v>0.22</v>
      </c>
      <c r="L5" s="39"/>
      <c r="M5" s="61"/>
      <c r="N5" s="64"/>
      <c r="O5" s="39"/>
      <c r="P5" s="39"/>
      <c r="Q5" s="61"/>
      <c r="R5" s="64"/>
      <c r="S5" s="39">
        <v>0.68290909090909091</v>
      </c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</row>
    <row r="6" spans="1:34" x14ac:dyDescent="0.25">
      <c r="A6" t="s">
        <v>15</v>
      </c>
      <c r="B6" s="46" t="s">
        <v>317</v>
      </c>
      <c r="C6" s="47">
        <v>2020</v>
      </c>
      <c r="D6" s="73">
        <f>AVERAGE(K6,O6,S6,W6,AA6,AE6,AI6,AM6,AQ6,AU6,AY6,BC6,BG6,BK6,BO6,BS6,BW6,CA6)</f>
        <v>0.27272727272727271</v>
      </c>
      <c r="E6" s="73">
        <f>MEDIAN(K6,O6,S6,W6,AA6,AE6,AI6,AM6,AQ6,AU6,AY6,BC6,BG6,BK6,BO6,BS6,BW6,CA6)</f>
        <v>0.27272727272727271</v>
      </c>
      <c r="F6" s="73">
        <f>MIN(K6,O6,S6,W6,AA6,AE6,AI6,AM6,AQ6,AU6,AY6,BC6,BG6,BK6,BO6,BS6,BW6,CA6)</f>
        <v>0.22</v>
      </c>
      <c r="G6" s="73">
        <f>MAX(K6,O6,S6,W6,AA6,AE6,AI6,AM6,AQ6,AU6,AY6,BC6,BG6,BK6,BO6,BS6,BW6,CA6)</f>
        <v>0.32545454545454544</v>
      </c>
      <c r="H6" s="39">
        <f>COUNT(K6,O6,S6,W6,AA6,AE6,AI6,AM6,AQ6,AU6,AY6,BC6,BG6,BK6,BO6,BS6,BW6,CA6,CE6)</f>
        <v>2</v>
      </c>
      <c r="I6" s="39"/>
      <c r="J6" s="63"/>
      <c r="K6" s="39">
        <v>0.22</v>
      </c>
      <c r="L6" s="39"/>
      <c r="M6" s="61"/>
      <c r="N6" s="64"/>
      <c r="O6" s="39"/>
      <c r="P6" s="39"/>
      <c r="Q6" s="61"/>
      <c r="R6" s="64"/>
      <c r="S6" s="39">
        <v>0.32545454545454544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</row>
    <row r="7" spans="1:34" x14ac:dyDescent="0.25">
      <c r="A7" t="s">
        <v>31</v>
      </c>
      <c r="B7" s="46" t="s">
        <v>317</v>
      </c>
      <c r="C7" s="47">
        <v>2020</v>
      </c>
      <c r="D7" s="73">
        <f t="shared" ref="D7" si="0">AVERAGE(K7,O7,S7,W7,AA7,AE7,AI7,AM7,AQ7,AU7,AY7,BC7,BG7,BK7,BO7,BS7,BW7,CA7)</f>
        <v>0.34618571833782441</v>
      </c>
      <c r="E7" s="73">
        <f t="shared" ref="E7" si="1">MEDIAN(K7,O7,S7,W7,AA7,AE7,AI7,AM7,AQ7,AU7,AY7,BC7,BG7,BK7,BO7,BS7,BW7,CA7)</f>
        <v>0.40000780031201244</v>
      </c>
      <c r="F7" s="73">
        <f t="shared" ref="F7" si="2">MIN(K7,O7,S7,W7,AA7,AE7,AI7,AM7,AQ7,AU7,AY7,BC7,BG7,BK7,BO7,BS7,BW7,CA7)</f>
        <v>0.17372727272727273</v>
      </c>
      <c r="G7" s="73">
        <f t="shared" ref="G7" si="3">MAX(K7,O7,S7,W7,AA7,AE7,AI7,AM7,AQ7,AU7,AY7,BC7,BG7,BK7,BO7,BS7,BW7,CA7)</f>
        <v>0.41099999999999998</v>
      </c>
      <c r="H7" s="39">
        <f t="shared" ref="H7:H8" si="4">COUNT(K7,O7,S7,W7,AA7,AE7,AI7,AM7,AQ7,AU7,AY7,BC7,BG7,BK7,BO7,BS7,BW7,CA7,CE7)</f>
        <v>4</v>
      </c>
      <c r="I7" s="39"/>
      <c r="J7" s="63"/>
      <c r="K7" s="39">
        <v>0.41099999999999998</v>
      </c>
      <c r="L7" s="39"/>
      <c r="M7" s="61"/>
      <c r="N7" s="64"/>
      <c r="O7" s="39">
        <v>0.39001560062402496</v>
      </c>
      <c r="P7" s="39"/>
      <c r="Q7" s="61"/>
      <c r="R7" s="64"/>
      <c r="S7" s="39">
        <v>0.17372727272727273</v>
      </c>
      <c r="T7" s="39"/>
      <c r="U7" s="61"/>
      <c r="V7" s="64"/>
      <c r="W7" s="39">
        <v>0.41</v>
      </c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</row>
    <row r="8" spans="1:34" x14ac:dyDescent="0.25">
      <c r="A8" t="s">
        <v>38</v>
      </c>
      <c r="B8" s="46" t="s">
        <v>317</v>
      </c>
      <c r="C8" s="47">
        <v>2020</v>
      </c>
      <c r="D8" s="73">
        <f t="shared" ref="D8" si="5">AVERAGE(K8,O8,S8,W8,AA8,AE8,AI8,AM8,AQ8,AU8,AY8,BC8,BG8,BK8,BO8,BS8,BW8,CA8)</f>
        <v>0.16499999999999998</v>
      </c>
      <c r="E8" s="73">
        <f t="shared" ref="E8" si="6">MEDIAN(K8,O8,S8,W8,AA8,AE8,AI8,AM8,AQ8,AU8,AY8,BC8,BG8,BK8,BO8,BS8,BW8,CA8)</f>
        <v>0.16499999999999998</v>
      </c>
      <c r="F8" s="73">
        <f t="shared" ref="F8" si="7">MIN(K8,O8,S8,W8,AA8,AE8,AI8,AM8,AQ8,AU8,AY8,BC8,BG8,BK8,BO8,BS8,BW8,CA8)</f>
        <v>0.16499999999999998</v>
      </c>
      <c r="G8" s="73">
        <f t="shared" ref="G8" si="8">MAX(K8,O8,S8,W8,AA8,AE8,AI8,AM8,AQ8,AU8,AY8,BC8,BG8,BK8,BO8,BS8,BW8,CA8)</f>
        <v>0.16499999999999998</v>
      </c>
      <c r="H8" s="39">
        <f t="shared" si="4"/>
        <v>1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>
        <v>0.16499999999999998</v>
      </c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</row>
    <row r="9" spans="1:34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  <c r="AA9" s="41"/>
      <c r="AB9" s="41"/>
      <c r="AC9" s="52"/>
      <c r="AD9" s="57"/>
      <c r="AE9" s="41"/>
      <c r="AF9" s="41"/>
      <c r="AG9" s="52"/>
      <c r="AH9" s="57"/>
    </row>
  </sheetData>
  <mergeCells count="13">
    <mergeCell ref="AA1:AD1"/>
    <mergeCell ref="AE1:AH1"/>
    <mergeCell ref="AA2:AD2"/>
    <mergeCell ref="AE2:AH2"/>
    <mergeCell ref="D1:J1"/>
    <mergeCell ref="K1:N1"/>
    <mergeCell ref="O1:R1"/>
    <mergeCell ref="S1:V1"/>
    <mergeCell ref="W1:Z1"/>
    <mergeCell ref="K2:N2"/>
    <mergeCell ref="O2:R2"/>
    <mergeCell ref="S2:V2"/>
    <mergeCell ref="W2:Z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9"/>
  <sheetViews>
    <sheetView workbookViewId="0">
      <selection activeCell="H8" sqref="H8"/>
    </sheetView>
  </sheetViews>
  <sheetFormatPr defaultRowHeight="15" x14ac:dyDescent="0.25"/>
  <cols>
    <col min="1" max="1" width="10.85546875" bestFit="1" customWidth="1"/>
  </cols>
  <sheetData>
    <row r="1" spans="1:26" x14ac:dyDescent="0.25">
      <c r="A1" s="99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363</v>
      </c>
      <c r="L1" s="121"/>
      <c r="M1" s="121"/>
      <c r="N1" s="122"/>
      <c r="O1" s="114" t="s">
        <v>357</v>
      </c>
      <c r="P1" s="115"/>
      <c r="Q1" s="115"/>
      <c r="R1" s="116"/>
      <c r="S1" s="120"/>
      <c r="T1" s="121"/>
      <c r="U1" s="121"/>
      <c r="V1" s="122"/>
      <c r="W1" s="114"/>
      <c r="X1" s="115"/>
      <c r="Y1" s="115"/>
      <c r="Z1" s="116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407</v>
      </c>
      <c r="L2" s="130"/>
      <c r="M2" s="130"/>
      <c r="N2" s="131"/>
      <c r="O2" s="123" t="s">
        <v>408</v>
      </c>
      <c r="P2" s="124"/>
      <c r="Q2" s="124"/>
      <c r="R2" s="125"/>
      <c r="S2" s="129"/>
      <c r="T2" s="130"/>
      <c r="U2" s="130"/>
      <c r="V2" s="131"/>
      <c r="W2" s="123"/>
      <c r="X2" s="124"/>
      <c r="Y2" s="124"/>
      <c r="Z2" s="125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s="71" t="s">
        <v>3</v>
      </c>
      <c r="B5" s="46" t="s">
        <v>317</v>
      </c>
      <c r="C5" s="47">
        <v>2020</v>
      </c>
      <c r="D5" s="73">
        <f>AVERAGE(K5,O5,S5,W5,AA5,AE5,AI5,AM5,AQ5,AU5,AY5,BC5,BG5,BK5,BO5,BS5,BW5,CA5)</f>
        <v>0.55027272727272725</v>
      </c>
      <c r="E5" s="73">
        <f>MEDIAN(K5,O5,S5,W5,AA5,AE5,AI5,AM5,AQ5,AU5,AY5,BC5,BG5,BK5,BO5,BS5,BW5,CA5)</f>
        <v>0.55027272727272725</v>
      </c>
      <c r="F5" s="73">
        <f>MIN(K5,O5,S5,W5,AA5,AE5,AI5,AM5,AQ5,AU5,AY5,BC5,BG5,BK5,BO5,BS5,BW5,CA5)</f>
        <v>0.55027272727272725</v>
      </c>
      <c r="G5" s="73">
        <f>MAX(K5,O5,S5,W5,AA5,AE5,AI5,AM5,AQ5,AU5,AY5,BC5,BG5,BK5,BO5,BS5,BW5,CA5)</f>
        <v>0.55027272727272725</v>
      </c>
      <c r="H5" s="39">
        <f>COUNT(K5,O5,S5,W5,AA5,AE5,AI5,AM5,AQ5,AU5,AY5,BC5,BG5,BK5,BO5,BS5,BW5,CA5,CE5)</f>
        <v>1</v>
      </c>
      <c r="I5" s="39"/>
      <c r="J5" s="63"/>
      <c r="K5" s="39">
        <v>0.55027272727272725</v>
      </c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</row>
    <row r="6" spans="1:26" x14ac:dyDescent="0.25">
      <c r="A6" t="s">
        <v>15</v>
      </c>
      <c r="B6" s="46" t="s">
        <v>317</v>
      </c>
      <c r="C6" s="47">
        <v>2020</v>
      </c>
      <c r="D6" s="73">
        <f>AVERAGE(K6,O6,S6,W6,AA6,AE6,AI6,AM6,AQ6,AU6,AY6,BC6,BG6,BK6,BO6,BS6,BW6,CA6)</f>
        <v>4.2363636363636367E-2</v>
      </c>
      <c r="E6" s="73">
        <f>MEDIAN(K6,O6,S6,W6,AA6,AE6,AI6,AM6,AQ6,AU6,AY6,BC6,BG6,BK6,BO6,BS6,BW6,CA6)</f>
        <v>4.2363636363636367E-2</v>
      </c>
      <c r="F6" s="73">
        <f>MIN(K6,O6,S6,W6,AA6,AE6,AI6,AM6,AQ6,AU6,AY6,BC6,BG6,BK6,BO6,BS6,BW6,CA6)</f>
        <v>4.2363636363636367E-2</v>
      </c>
      <c r="G6" s="73">
        <f>MAX(K6,O6,S6,W6,AA6,AE6,AI6,AM6,AQ6,AU6,AY6,BC6,BG6,BK6,BO6,BS6,BW6,CA6)</f>
        <v>4.2363636363636367E-2</v>
      </c>
      <c r="H6" s="39">
        <f>COUNT(K6,O6,S6,W6,AA6,AE6,AI6,AM6,AQ6,AU6,AY6,BC6,BG6,BK6,BO6,BS6,BW6,CA6,CE6)</f>
        <v>1</v>
      </c>
      <c r="I6" s="39"/>
      <c r="J6" s="63"/>
      <c r="K6" s="39">
        <v>4.2363636363636367E-2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</row>
    <row r="7" spans="1:26" x14ac:dyDescent="0.25">
      <c r="A7" t="s">
        <v>31</v>
      </c>
      <c r="B7" s="46" t="s">
        <v>317</v>
      </c>
      <c r="C7" s="47">
        <v>2020</v>
      </c>
      <c r="D7" s="73">
        <f>AVERAGE(K7,O7,S7,W7,AA7,AE7,AI7,AM7,AQ7,AU7,AY7,BC7,BG7,BK7,BO7,BS7,BW7,CA7)</f>
        <v>0.19277255157873602</v>
      </c>
      <c r="E7" s="73">
        <f>MEDIAN(K7,O7,S7,W7,AA7,AE7,AI7,AM7,AQ7,AU7,AY7,BC7,BG7,BK7,BO7,BS7,BW7,CA7)</f>
        <v>0.19277255157873602</v>
      </c>
      <c r="F7" s="73">
        <f>MIN(K7,O7,S7,W7,AA7,AE7,AI7,AM7,AQ7,AU7,AY7,BC7,BG7,BK7,BO7,BS7,BW7,CA7)</f>
        <v>0.10945454545454544</v>
      </c>
      <c r="G7" s="73">
        <f>MAX(K7,O7,S7,W7,AA7,AE7,AI7,AM7,AQ7,AU7,AY7,BC7,BG7,BK7,BO7,BS7,BW7,CA7)</f>
        <v>0.27609055770292656</v>
      </c>
      <c r="H7" s="39">
        <f>COUNT(K7,O7,S7,W7,AA7,AE7,AI7,AM7,AQ7,AU7,AY7,BC7,BG7,BK7,BO7,BS7,BW7,CA7,CE7)</f>
        <v>2</v>
      </c>
      <c r="I7" s="39"/>
      <c r="J7" s="63"/>
      <c r="K7" s="39">
        <v>0.10945454545454544</v>
      </c>
      <c r="L7" s="39"/>
      <c r="M7" s="61"/>
      <c r="N7" s="64"/>
      <c r="O7" s="39">
        <v>0.27609055770292656</v>
      </c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</row>
    <row r="8" spans="1:26" x14ac:dyDescent="0.25">
      <c r="A8" t="s">
        <v>38</v>
      </c>
      <c r="B8" s="46" t="s">
        <v>317</v>
      </c>
      <c r="C8" s="47">
        <v>2020</v>
      </c>
      <c r="D8" s="73">
        <f t="shared" ref="D8" si="0">AVERAGE(K8,O8,S8,W8,AA8,AE8,AI8,AM8,AQ8,AU8,AY8,BC8,BG8,BK8,BO8,BS8,BW8,CA8)</f>
        <v>0.10236363636363636</v>
      </c>
      <c r="E8" s="73">
        <f t="shared" ref="E8" si="1">MEDIAN(K8,O8,S8,W8,AA8,AE8,AI8,AM8,AQ8,AU8,AY8,BC8,BG8,BK8,BO8,BS8,BW8,CA8)</f>
        <v>0.10236363636363636</v>
      </c>
      <c r="F8" s="73">
        <f t="shared" ref="F8" si="2">MIN(K8,O8,S8,W8,AA8,AE8,AI8,AM8,AQ8,AU8,AY8,BC8,BG8,BK8,BO8,BS8,BW8,CA8)</f>
        <v>0.10236363636363636</v>
      </c>
      <c r="G8" s="73">
        <f t="shared" ref="G8" si="3">MAX(K8,O8,S8,W8,AA8,AE8,AI8,AM8,AQ8,AU8,AY8,BC8,BG8,BK8,BO8,BS8,BW8,CA8)</f>
        <v>0.10236363636363636</v>
      </c>
      <c r="H8" s="39">
        <f t="shared" ref="H8" si="4">COUNT(K8,O8,S8,W8,AA8,AE8,AI8,AM8,AQ8,AU8,AY8,BC8,BG8,BK8,BO8,BS8,BW8,CA8,CE8)</f>
        <v>1</v>
      </c>
      <c r="I8" s="39"/>
      <c r="J8" s="63"/>
      <c r="K8" s="39">
        <v>0.10236363636363636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s="41"/>
      <c r="B9" s="48"/>
      <c r="C9" s="48"/>
      <c r="D9" s="41"/>
      <c r="E9" s="41"/>
      <c r="F9" s="41"/>
      <c r="G9" s="41"/>
      <c r="H9" s="52"/>
      <c r="I9" s="41"/>
      <c r="J9" s="57"/>
      <c r="K9" s="41"/>
      <c r="L9" s="41"/>
      <c r="M9" s="52"/>
      <c r="N9" s="57"/>
      <c r="O9" s="41"/>
      <c r="P9" s="41"/>
      <c r="Q9" s="52"/>
      <c r="R9" s="57"/>
      <c r="S9" s="41"/>
      <c r="T9" s="41"/>
      <c r="U9" s="52"/>
      <c r="V9" s="57"/>
      <c r="W9" s="41"/>
      <c r="X9" s="41"/>
      <c r="Y9" s="52"/>
      <c r="Z9" s="57"/>
    </row>
  </sheetData>
  <mergeCells count="9"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BN43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4" sqref="D4"/>
    </sheetView>
  </sheetViews>
  <sheetFormatPr defaultRowHeight="15" x14ac:dyDescent="0.25"/>
  <cols>
    <col min="1" max="1" width="14.42578125" bestFit="1" customWidth="1"/>
    <col min="2" max="2" width="18.5703125" bestFit="1" customWidth="1"/>
    <col min="4" max="5" width="12.42578125" bestFit="1" customWidth="1"/>
    <col min="11" max="11" width="10.28515625" bestFit="1" customWidth="1"/>
    <col min="15" max="15" width="10.28515625" bestFit="1" customWidth="1"/>
    <col min="19" max="19" width="10.5703125" bestFit="1" customWidth="1"/>
    <col min="23" max="23" width="10.28515625" bestFit="1" customWidth="1"/>
    <col min="45" max="45" width="11.42578125" customWidth="1"/>
    <col min="46" max="46" width="8.140625" customWidth="1"/>
    <col min="48" max="48" width="12.7109375" customWidth="1"/>
    <col min="49" max="49" width="14" customWidth="1"/>
    <col min="50" max="50" width="9.85546875" customWidth="1"/>
    <col min="55" max="55" width="9" bestFit="1" customWidth="1"/>
    <col min="58" max="58" width="30" bestFit="1" customWidth="1"/>
    <col min="62" max="62" width="30" bestFit="1" customWidth="1"/>
  </cols>
  <sheetData>
    <row r="1" spans="1:66" x14ac:dyDescent="0.25">
      <c r="A1" s="3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119</v>
      </c>
      <c r="L1" s="121"/>
      <c r="M1" s="121"/>
      <c r="N1" s="122"/>
      <c r="O1" s="114" t="s">
        <v>119</v>
      </c>
      <c r="P1" s="115"/>
      <c r="Q1" s="115"/>
      <c r="R1" s="116"/>
      <c r="S1" s="120" t="s">
        <v>119</v>
      </c>
      <c r="T1" s="121"/>
      <c r="U1" s="121"/>
      <c r="V1" s="122"/>
      <c r="W1" s="114" t="s">
        <v>136</v>
      </c>
      <c r="X1" s="115"/>
      <c r="Y1" s="115"/>
      <c r="Z1" s="116"/>
      <c r="AA1" s="120" t="s">
        <v>150</v>
      </c>
      <c r="AB1" s="121"/>
      <c r="AC1" s="121"/>
      <c r="AD1" s="122"/>
      <c r="AE1" s="114" t="s">
        <v>151</v>
      </c>
      <c r="AF1" s="115"/>
      <c r="AG1" s="115"/>
      <c r="AH1" s="116"/>
      <c r="AI1" s="120" t="s">
        <v>151</v>
      </c>
      <c r="AJ1" s="121"/>
      <c r="AK1" s="121"/>
      <c r="AL1" s="122"/>
      <c r="AM1" s="114" t="s">
        <v>151</v>
      </c>
      <c r="AN1" s="115"/>
      <c r="AO1" s="115"/>
      <c r="AP1" s="116"/>
      <c r="AQ1" s="120" t="s">
        <v>151</v>
      </c>
      <c r="AR1" s="121"/>
      <c r="AS1" s="121"/>
      <c r="AT1" s="122"/>
      <c r="AU1" s="114" t="s">
        <v>147</v>
      </c>
      <c r="AV1" s="115"/>
      <c r="AW1" s="115"/>
      <c r="AX1" s="116"/>
      <c r="AY1" s="67"/>
      <c r="AZ1" s="68" t="s">
        <v>153</v>
      </c>
      <c r="BA1" s="68"/>
      <c r="BB1" s="69"/>
      <c r="BC1" s="114" t="s">
        <v>239</v>
      </c>
      <c r="BD1" s="115"/>
      <c r="BE1" s="115"/>
      <c r="BF1" s="116"/>
      <c r="BG1" s="108" t="s">
        <v>161</v>
      </c>
      <c r="BH1" s="109"/>
      <c r="BI1" s="109"/>
      <c r="BJ1" s="110"/>
      <c r="BK1" s="108" t="s">
        <v>161</v>
      </c>
      <c r="BL1" s="109"/>
      <c r="BM1" s="109"/>
      <c r="BN1" s="110"/>
    </row>
    <row r="2" spans="1:6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120</v>
      </c>
      <c r="L2" s="130"/>
      <c r="M2" s="130"/>
      <c r="N2" s="131"/>
      <c r="O2" s="123" t="s">
        <v>121</v>
      </c>
      <c r="P2" s="124"/>
      <c r="Q2" s="124"/>
      <c r="R2" s="125"/>
      <c r="S2" s="129" t="s">
        <v>122</v>
      </c>
      <c r="T2" s="130"/>
      <c r="U2" s="130"/>
      <c r="V2" s="131"/>
      <c r="W2" s="123" t="s">
        <v>149</v>
      </c>
      <c r="X2" s="124"/>
      <c r="Y2" s="124"/>
      <c r="Z2" s="125"/>
      <c r="AA2" s="105" t="s">
        <v>137</v>
      </c>
      <c r="AB2" s="106"/>
      <c r="AC2" s="106"/>
      <c r="AD2" s="107"/>
      <c r="AE2" s="117" t="s">
        <v>138</v>
      </c>
      <c r="AF2" s="118"/>
      <c r="AG2" s="118"/>
      <c r="AH2" s="119"/>
      <c r="AI2" s="105" t="s">
        <v>139</v>
      </c>
      <c r="AJ2" s="106"/>
      <c r="AK2" s="106"/>
      <c r="AL2" s="107"/>
      <c r="AM2" s="117" t="s">
        <v>140</v>
      </c>
      <c r="AN2" s="118"/>
      <c r="AO2" s="118"/>
      <c r="AP2" s="119"/>
      <c r="AQ2" s="105" t="s">
        <v>141</v>
      </c>
      <c r="AR2" s="106"/>
      <c r="AS2" s="106"/>
      <c r="AT2" s="107"/>
      <c r="AU2" s="117" t="s">
        <v>148</v>
      </c>
      <c r="AV2" s="118"/>
      <c r="AW2" s="118"/>
      <c r="AX2" s="119"/>
      <c r="AY2" s="105" t="s">
        <v>154</v>
      </c>
      <c r="AZ2" s="106"/>
      <c r="BA2" s="106"/>
      <c r="BB2" s="107"/>
      <c r="BC2" s="117" t="s">
        <v>240</v>
      </c>
      <c r="BD2" s="118"/>
      <c r="BE2" s="118"/>
      <c r="BF2" s="119"/>
      <c r="BG2" s="111" t="s">
        <v>162</v>
      </c>
      <c r="BH2" s="112"/>
      <c r="BI2" s="112"/>
      <c r="BJ2" s="113"/>
      <c r="BK2" s="111" t="s">
        <v>163</v>
      </c>
      <c r="BL2" s="112"/>
      <c r="BM2" s="112"/>
      <c r="BN2" s="113"/>
    </row>
    <row r="3" spans="1:6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74" t="s">
        <v>123</v>
      </c>
      <c r="BH3" s="74" t="s">
        <v>124</v>
      </c>
      <c r="BI3" s="74" t="s">
        <v>125</v>
      </c>
      <c r="BJ3" s="75" t="s">
        <v>126</v>
      </c>
      <c r="BK3" s="74" t="s">
        <v>123</v>
      </c>
      <c r="BL3" s="74" t="s">
        <v>124</v>
      </c>
      <c r="BM3" s="74" t="s">
        <v>125</v>
      </c>
      <c r="BN3" s="75" t="s">
        <v>126</v>
      </c>
    </row>
    <row r="4" spans="1:6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</row>
    <row r="5" spans="1:66" x14ac:dyDescent="0.25">
      <c r="A5" s="71" t="s">
        <v>3</v>
      </c>
      <c r="B5" s="46" t="s">
        <v>127</v>
      </c>
      <c r="C5" s="47">
        <v>2020</v>
      </c>
      <c r="D5" s="73">
        <f>AVERAGE(K5,O5,S5,W5,AA5,AE5,AI5,AM5,AQ5,AU5,AY5)</f>
        <v>0.24561124949141105</v>
      </c>
      <c r="E5" s="73">
        <f>MEDIAN(K5,O5,S5,W5,AA5,AE5,AI5,AM5,AQ5,AU5,AY5)</f>
        <v>0.24561124949141105</v>
      </c>
      <c r="F5" s="39">
        <f>MIN(K5,O5,S5,W5,AA5,AE5,AI5,AM5,AQ5,AU5,AY5)</f>
        <v>0.24561124949141105</v>
      </c>
      <c r="G5" s="39">
        <f>MAX(K5,O5,S5,W5,AA5,AE5,AI5,AM5,AQ5,AU5,AY5)</f>
        <v>0.24561124949141105</v>
      </c>
      <c r="H5" s="39">
        <f>COUNT(K5,O5,S5,W5,AA5,AE5,AI5,AM5,AQ5,AU5,AY5)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72">
        <v>0.24561124949141105</v>
      </c>
      <c r="AV5" s="39"/>
      <c r="AW5" s="61">
        <v>2017</v>
      </c>
      <c r="AX5" s="64"/>
      <c r="AY5" s="39"/>
      <c r="AZ5" s="39"/>
      <c r="BA5" s="61"/>
      <c r="BB5" s="64"/>
      <c r="BC5" s="72">
        <v>5.5757575757575756E-2</v>
      </c>
      <c r="BD5" s="39"/>
      <c r="BE5" s="61"/>
      <c r="BF5" s="64"/>
      <c r="BG5" s="80">
        <v>6.2840543994712297E-2</v>
      </c>
      <c r="BH5" s="39"/>
      <c r="BI5" s="61">
        <v>2015</v>
      </c>
      <c r="BJ5" s="64" t="s">
        <v>178</v>
      </c>
      <c r="BK5" s="80">
        <v>5.4448077370721097E-2</v>
      </c>
      <c r="BL5" s="39"/>
      <c r="BM5" s="61">
        <v>2015</v>
      </c>
      <c r="BN5" s="64" t="s">
        <v>178</v>
      </c>
    </row>
    <row r="6" spans="1:66" x14ac:dyDescent="0.25">
      <c r="A6" s="71" t="s">
        <v>4</v>
      </c>
      <c r="B6" s="46" t="s">
        <v>127</v>
      </c>
      <c r="C6" s="47">
        <v>2020</v>
      </c>
      <c r="D6" s="73">
        <f t="shared" ref="D6:D42" si="0">AVERAGE(K6,O6,S6,W6,AA6,AE6,AI6,AM6,AQ6,AU6,AY6)</f>
        <v>1.1690303918693058E-3</v>
      </c>
      <c r="E6" s="73">
        <f t="shared" ref="E6:E42" si="1">MEDIAN(K6,O6,S6,W6,AA6,AE6,AI6,AM6,AQ6,AU6,AY6)</f>
        <v>1.1342081716923076E-3</v>
      </c>
      <c r="F6" s="39">
        <f t="shared" ref="F6:F42" si="2">MIN(K6,O6,S6,W6,AA6,AE6,AI6,AM6,AQ6,AU6,AY6)</f>
        <v>7.4288228187499995E-4</v>
      </c>
      <c r="G6" s="39">
        <f t="shared" ref="G6:G42" si="3">MAX(K6,O6,S6,W6,AA6,AE6,AI6,AM6,AQ6,AU6,AY6)</f>
        <v>1.6601678199999999E-3</v>
      </c>
      <c r="H6" s="39">
        <f t="shared" ref="H6:H42" si="4">COUNT(K6,O6,S6,W6,AA6,AE6,AI6,AM6,AQ6,AU6,AY6)</f>
        <v>5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>
        <v>1.4588853636363639E-3</v>
      </c>
      <c r="AB6" s="39"/>
      <c r="AC6" s="61" t="s">
        <v>152</v>
      </c>
      <c r="AD6" s="64"/>
      <c r="AE6">
        <v>7.4288228187499995E-4</v>
      </c>
      <c r="AF6" s="60"/>
      <c r="AG6" s="61" t="s">
        <v>152</v>
      </c>
      <c r="AH6" s="64"/>
      <c r="AI6">
        <v>1.1342081716923076E-3</v>
      </c>
      <c r="AJ6" s="60"/>
      <c r="AK6" s="61" t="s">
        <v>152</v>
      </c>
      <c r="AL6" s="64"/>
      <c r="AM6">
        <v>1.6601678199999999E-3</v>
      </c>
      <c r="AN6" s="60"/>
      <c r="AO6" s="61" t="s">
        <v>152</v>
      </c>
      <c r="AP6" s="64"/>
      <c r="AQ6">
        <v>8.4900832214285715E-4</v>
      </c>
      <c r="AR6" s="39"/>
      <c r="AS6" s="61" t="s">
        <v>152</v>
      </c>
      <c r="AT6" s="64"/>
      <c r="AV6" s="60"/>
      <c r="AW6" s="61"/>
      <c r="AX6" s="64"/>
      <c r="AZ6" s="39"/>
      <c r="BA6" s="61"/>
      <c r="BB6" s="64"/>
      <c r="BD6" s="60"/>
      <c r="BE6" s="61"/>
      <c r="BF6" s="64"/>
      <c r="BG6" s="59">
        <v>6.2840543994712297E-2</v>
      </c>
      <c r="BH6" s="60"/>
      <c r="BI6" s="61"/>
      <c r="BJ6" s="64"/>
      <c r="BK6" s="59">
        <v>4.2119583712141202E-8</v>
      </c>
      <c r="BL6" s="60"/>
      <c r="BM6" s="61"/>
      <c r="BN6" s="64"/>
    </row>
    <row r="7" spans="1:66" x14ac:dyDescent="0.25">
      <c r="A7" s="71" t="s">
        <v>7</v>
      </c>
      <c r="B7" s="46" t="s">
        <v>127</v>
      </c>
      <c r="C7" s="47">
        <v>2020</v>
      </c>
      <c r="D7" s="73">
        <f t="shared" si="0"/>
        <v>2.7842052773505229E-6</v>
      </c>
      <c r="E7" s="73">
        <f t="shared" si="1"/>
        <v>3.2636123076923078E-6</v>
      </c>
      <c r="F7" s="39">
        <f t="shared" si="2"/>
        <v>1.6208218750000003E-6</v>
      </c>
      <c r="G7" s="39">
        <f t="shared" si="3"/>
        <v>3.7087758620689653E-6</v>
      </c>
      <c r="H7" s="39">
        <f t="shared" si="4"/>
        <v>5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>
        <v>3.4754484848484851E-6</v>
      </c>
      <c r="AB7" s="39"/>
      <c r="AC7" s="61" t="s">
        <v>152</v>
      </c>
      <c r="AD7" s="64"/>
      <c r="AE7">
        <v>1.6208218750000003E-6</v>
      </c>
      <c r="AF7" s="39"/>
      <c r="AG7" s="61" t="s">
        <v>152</v>
      </c>
      <c r="AH7" s="64"/>
      <c r="AI7">
        <v>3.2636123076923078E-6</v>
      </c>
      <c r="AJ7" s="39"/>
      <c r="AK7" s="61" t="s">
        <v>152</v>
      </c>
      <c r="AL7" s="64"/>
      <c r="AM7">
        <v>3.7087758620689653E-6</v>
      </c>
      <c r="AN7" s="39"/>
      <c r="AO7" s="61" t="s">
        <v>152</v>
      </c>
      <c r="AP7" s="64"/>
      <c r="AQ7">
        <v>1.8523678571428576E-6</v>
      </c>
      <c r="AR7" s="39"/>
      <c r="AS7" s="61" t="s">
        <v>152</v>
      </c>
      <c r="AT7" s="64"/>
      <c r="AV7" s="39"/>
      <c r="AW7" s="61"/>
      <c r="AX7" s="64"/>
      <c r="AZ7" s="39"/>
      <c r="BA7" s="61"/>
      <c r="BB7" s="64"/>
      <c r="BD7" s="39"/>
      <c r="BE7" s="61"/>
      <c r="BF7" s="64"/>
      <c r="BG7" s="59">
        <v>0</v>
      </c>
      <c r="BH7" s="39"/>
      <c r="BI7" s="61"/>
      <c r="BJ7" s="64"/>
      <c r="BK7" s="59">
        <v>0</v>
      </c>
      <c r="BL7" s="39"/>
      <c r="BM7" s="61"/>
      <c r="BN7" s="64"/>
    </row>
    <row r="8" spans="1:66" x14ac:dyDescent="0.25">
      <c r="A8" s="40" t="s">
        <v>11</v>
      </c>
      <c r="B8" s="46" t="s">
        <v>127</v>
      </c>
      <c r="C8" s="47">
        <v>2020</v>
      </c>
      <c r="D8" s="73">
        <f t="shared" si="0"/>
        <v>1.6019223880867696E-5</v>
      </c>
      <c r="E8" s="73">
        <f t="shared" si="1"/>
        <v>1.2509984999999999E-5</v>
      </c>
      <c r="F8" s="39">
        <f t="shared" si="2"/>
        <v>1.55E-7</v>
      </c>
      <c r="G8" s="39">
        <f t="shared" si="3"/>
        <v>4.9090909090909091E-5</v>
      </c>
      <c r="H8" s="39">
        <f t="shared" si="4"/>
        <v>9</v>
      </c>
      <c r="I8" s="40"/>
      <c r="J8" s="56"/>
      <c r="K8" s="59">
        <v>1.8125000000000001E-7</v>
      </c>
      <c r="L8" s="60"/>
      <c r="M8" s="61">
        <v>2011</v>
      </c>
      <c r="N8" s="64"/>
      <c r="O8" s="70">
        <v>1.55E-7</v>
      </c>
      <c r="P8" s="60"/>
      <c r="Q8" s="61">
        <v>2011</v>
      </c>
      <c r="R8" s="64"/>
      <c r="S8" s="70">
        <v>6.455E-6</v>
      </c>
      <c r="T8" s="60"/>
      <c r="U8" s="61">
        <v>2011</v>
      </c>
      <c r="V8" s="64"/>
      <c r="W8" s="70">
        <v>4.9090909090909091E-5</v>
      </c>
      <c r="X8" s="60"/>
      <c r="Y8" s="61">
        <v>2012</v>
      </c>
      <c r="Z8" s="64"/>
      <c r="AA8">
        <v>2.2186894545454543E-5</v>
      </c>
      <c r="AB8" s="60"/>
      <c r="AC8" s="61" t="s">
        <v>152</v>
      </c>
      <c r="AD8" s="64"/>
      <c r="AE8">
        <v>1.0946236874999999E-5</v>
      </c>
      <c r="AF8" s="60"/>
      <c r="AG8" s="61" t="s">
        <v>152</v>
      </c>
      <c r="AH8" s="64"/>
      <c r="AI8">
        <v>1.7291667692307691E-5</v>
      </c>
      <c r="AJ8" s="60"/>
      <c r="AK8" s="61" t="s">
        <v>152</v>
      </c>
      <c r="AL8" s="64"/>
      <c r="AM8">
        <v>2.535607172413793E-5</v>
      </c>
      <c r="AN8" s="60"/>
      <c r="AO8" s="61" t="s">
        <v>152</v>
      </c>
      <c r="AP8" s="64"/>
      <c r="AQ8">
        <v>1.2509984999999999E-5</v>
      </c>
      <c r="AR8" s="60"/>
      <c r="AS8" s="61" t="s">
        <v>152</v>
      </c>
      <c r="AT8" s="64"/>
      <c r="AV8" s="60"/>
      <c r="AW8" s="61"/>
      <c r="AX8" s="64"/>
      <c r="AZ8" s="60"/>
      <c r="BA8" s="61"/>
      <c r="BB8" s="64"/>
      <c r="BD8" s="60"/>
      <c r="BE8" s="61"/>
      <c r="BF8" s="64"/>
      <c r="BG8" s="59">
        <v>5.13396428893132E-5</v>
      </c>
      <c r="BH8" s="60"/>
      <c r="BI8" s="61"/>
      <c r="BJ8" s="64"/>
      <c r="BK8" s="59">
        <v>5.2225768664893897E-5</v>
      </c>
      <c r="BL8" s="60"/>
      <c r="BM8" s="61"/>
      <c r="BN8" s="64"/>
    </row>
    <row r="9" spans="1:66" x14ac:dyDescent="0.25">
      <c r="A9" s="40" t="s">
        <v>13</v>
      </c>
      <c r="B9" s="46" t="s">
        <v>127</v>
      </c>
      <c r="C9" s="47">
        <v>2020</v>
      </c>
      <c r="D9" s="73">
        <f t="shared" si="0"/>
        <v>3.0385156110153437E-3</v>
      </c>
      <c r="E9" s="73">
        <f t="shared" si="1"/>
        <v>3.5618020703448274E-3</v>
      </c>
      <c r="F9" s="39">
        <f t="shared" si="2"/>
        <v>1.9480804406249998E-3</v>
      </c>
      <c r="G9" s="39">
        <f t="shared" si="3"/>
        <v>3.7368655309090908E-3</v>
      </c>
      <c r="H9" s="39">
        <f t="shared" si="4"/>
        <v>5</v>
      </c>
      <c r="I9" s="40"/>
      <c r="J9" s="56"/>
      <c r="K9" s="59"/>
      <c r="L9" s="60"/>
      <c r="M9" s="61"/>
      <c r="N9" s="64"/>
      <c r="O9" s="70"/>
      <c r="P9" s="60"/>
      <c r="Q9" s="61"/>
      <c r="R9" s="64"/>
      <c r="S9" s="70"/>
      <c r="T9" s="60"/>
      <c r="U9" s="61"/>
      <c r="V9" s="64"/>
      <c r="W9" s="70"/>
      <c r="X9" s="60"/>
      <c r="Y9" s="61"/>
      <c r="Z9" s="64"/>
      <c r="AA9">
        <v>3.7368655309090908E-3</v>
      </c>
      <c r="AB9" s="60"/>
      <c r="AC9" s="61" t="s">
        <v>152</v>
      </c>
      <c r="AD9" s="64"/>
      <c r="AE9">
        <v>1.9480804406249998E-3</v>
      </c>
      <c r="AF9" s="60"/>
      <c r="AG9" s="61" t="s">
        <v>152</v>
      </c>
      <c r="AH9" s="64"/>
      <c r="AI9">
        <v>3.7194523667692311E-3</v>
      </c>
      <c r="AJ9" s="60"/>
      <c r="AK9" s="61" t="s">
        <v>152</v>
      </c>
      <c r="AL9" s="64"/>
      <c r="AM9">
        <v>3.5618020703448274E-3</v>
      </c>
      <c r="AN9" s="60"/>
      <c r="AO9" s="61" t="s">
        <v>152</v>
      </c>
      <c r="AP9" s="64"/>
      <c r="AQ9">
        <v>2.2263776464285711E-3</v>
      </c>
      <c r="AR9" s="60"/>
      <c r="AS9" s="61" t="s">
        <v>152</v>
      </c>
      <c r="AT9" s="64"/>
      <c r="AV9" s="60"/>
      <c r="AW9" s="61"/>
      <c r="AX9" s="64"/>
      <c r="AZ9" s="60"/>
      <c r="BA9" s="61"/>
      <c r="BB9" s="64"/>
      <c r="BD9" s="60"/>
      <c r="BE9" s="61"/>
      <c r="BF9" s="64"/>
      <c r="BG9" s="59">
        <v>2.2454096100876499E-5</v>
      </c>
      <c r="BH9" s="60"/>
      <c r="BI9" s="61"/>
      <c r="BJ9" s="64"/>
      <c r="BK9" s="59">
        <v>2.2679920810614401E-5</v>
      </c>
      <c r="BL9" s="60"/>
      <c r="BM9" s="61"/>
      <c r="BN9" s="64"/>
    </row>
    <row r="10" spans="1:66" x14ac:dyDescent="0.25">
      <c r="A10" s="40" t="s">
        <v>16</v>
      </c>
      <c r="B10" s="46" t="s">
        <v>127</v>
      </c>
      <c r="C10" s="47">
        <v>2020</v>
      </c>
      <c r="D10" s="73">
        <f t="shared" si="0"/>
        <v>2.0889678127719979E-5</v>
      </c>
      <c r="E10" s="73">
        <f t="shared" si="1"/>
        <v>1.6636363636363637E-5</v>
      </c>
      <c r="F10" s="39">
        <f t="shared" si="2"/>
        <v>5.1875000000000001E-7</v>
      </c>
      <c r="G10" s="39">
        <f t="shared" si="3"/>
        <v>6.4830000000000001E-5</v>
      </c>
      <c r="H10" s="39">
        <f t="shared" si="4"/>
        <v>9</v>
      </c>
      <c r="I10" s="40"/>
      <c r="J10" s="56"/>
      <c r="K10" s="59">
        <v>5.1875000000000001E-7</v>
      </c>
      <c r="L10" s="60"/>
      <c r="M10" s="61">
        <v>2011</v>
      </c>
      <c r="N10" s="64"/>
      <c r="O10" s="70">
        <v>6.4830000000000001E-5</v>
      </c>
      <c r="P10" s="60"/>
      <c r="Q10" s="61">
        <v>2011</v>
      </c>
      <c r="R10" s="64"/>
      <c r="S10" s="70">
        <v>9.7999999999999993E-7</v>
      </c>
      <c r="T10" s="60"/>
      <c r="U10" s="61">
        <v>2011</v>
      </c>
      <c r="V10" s="64"/>
      <c r="W10" s="70">
        <v>1.6636363636363637E-5</v>
      </c>
      <c r="X10" s="60"/>
      <c r="Y10" s="61">
        <v>2012</v>
      </c>
      <c r="Z10" s="64"/>
      <c r="AA10">
        <v>2.5999323636363639E-5</v>
      </c>
      <c r="AB10" s="60"/>
      <c r="AC10" s="61" t="s">
        <v>152</v>
      </c>
      <c r="AD10" s="64"/>
      <c r="AE10">
        <v>1.353180125E-5</v>
      </c>
      <c r="AF10" s="60"/>
      <c r="AG10" s="61" t="s">
        <v>152</v>
      </c>
      <c r="AH10" s="64"/>
      <c r="AI10">
        <v>2.2335326153846154E-5</v>
      </c>
      <c r="AJ10" s="60"/>
      <c r="AK10" s="61" t="s">
        <v>152</v>
      </c>
      <c r="AL10" s="64"/>
      <c r="AM10">
        <v>2.7710622758620687E-5</v>
      </c>
      <c r="AN10" s="60"/>
      <c r="AO10" s="61" t="s">
        <v>152</v>
      </c>
      <c r="AP10" s="64"/>
      <c r="AQ10">
        <v>1.5464915714285713E-5</v>
      </c>
      <c r="AR10" s="60"/>
      <c r="AS10" s="61" t="s">
        <v>152</v>
      </c>
      <c r="AT10" s="64"/>
      <c r="AV10" s="60"/>
      <c r="AW10" s="61"/>
      <c r="AX10" s="64"/>
      <c r="AZ10" s="60"/>
      <c r="BA10" s="61"/>
      <c r="BB10" s="64"/>
      <c r="BD10" s="60"/>
      <c r="BE10" s="61"/>
      <c r="BF10" s="64"/>
      <c r="BG10" s="59">
        <v>1.4943919123583102E-8</v>
      </c>
      <c r="BH10" s="60"/>
      <c r="BI10" s="61"/>
      <c r="BJ10" s="64"/>
      <c r="BK10" s="59">
        <v>1.3779782367400101E-8</v>
      </c>
      <c r="BL10" s="60"/>
      <c r="BM10" s="61"/>
      <c r="BN10" s="64"/>
    </row>
    <row r="11" spans="1:66" x14ac:dyDescent="0.25">
      <c r="A11" s="40" t="s">
        <v>128</v>
      </c>
      <c r="B11" s="46" t="s">
        <v>127</v>
      </c>
      <c r="C11" s="47">
        <v>2020</v>
      </c>
      <c r="D11" s="73">
        <f t="shared" si="0"/>
        <v>6.7500000000000002E-8</v>
      </c>
      <c r="E11" s="73">
        <f t="shared" si="1"/>
        <v>8.9999999999999999E-8</v>
      </c>
      <c r="F11" s="39">
        <f t="shared" si="2"/>
        <v>0</v>
      </c>
      <c r="G11" s="39">
        <f t="shared" si="3"/>
        <v>1.1249999999999999E-7</v>
      </c>
      <c r="H11" s="39">
        <f t="shared" si="4"/>
        <v>3</v>
      </c>
      <c r="I11" s="40"/>
      <c r="J11" s="56"/>
      <c r="K11" s="59">
        <v>1.1249999999999999E-7</v>
      </c>
      <c r="L11" s="60"/>
      <c r="M11" s="61">
        <v>2011</v>
      </c>
      <c r="N11" s="64"/>
      <c r="O11" s="70">
        <v>8.9999999999999999E-8</v>
      </c>
      <c r="P11" s="60"/>
      <c r="Q11" s="61">
        <v>2011</v>
      </c>
      <c r="R11" s="64"/>
      <c r="S11" s="70">
        <v>0</v>
      </c>
      <c r="T11" s="60"/>
      <c r="U11" s="61">
        <v>2011</v>
      </c>
      <c r="V11" s="64"/>
      <c r="W11" s="70"/>
      <c r="X11" s="60"/>
      <c r="Y11" s="61"/>
      <c r="Z11" s="64"/>
      <c r="AA11" s="70"/>
      <c r="AB11" s="60"/>
      <c r="AC11" s="61"/>
      <c r="AD11" s="64"/>
      <c r="AE11" s="70"/>
      <c r="AF11" s="60"/>
      <c r="AG11" s="61"/>
      <c r="AH11" s="64"/>
      <c r="AI11" s="70"/>
      <c r="AJ11" s="60"/>
      <c r="AK11" s="61"/>
      <c r="AL11" s="64"/>
      <c r="AM11" s="70"/>
      <c r="AN11" s="60"/>
      <c r="AO11" s="61"/>
      <c r="AP11" s="64"/>
      <c r="AQ11" s="70"/>
      <c r="AR11" s="60"/>
      <c r="AS11" s="61"/>
      <c r="AT11" s="64"/>
      <c r="AU11" s="70"/>
      <c r="AV11" s="60"/>
      <c r="AW11" s="61"/>
      <c r="AX11" s="64"/>
      <c r="AY11" s="70"/>
      <c r="AZ11" s="60"/>
      <c r="BA11" s="61"/>
      <c r="BB11" s="64"/>
      <c r="BC11" s="70"/>
      <c r="BD11" s="60"/>
      <c r="BE11" s="61"/>
      <c r="BF11" s="64"/>
      <c r="BG11" s="70"/>
      <c r="BH11" s="60"/>
      <c r="BI11" s="61"/>
      <c r="BJ11" s="64"/>
      <c r="BK11" s="70"/>
      <c r="BL11" s="60"/>
      <c r="BM11" s="61"/>
      <c r="BN11" s="64"/>
    </row>
    <row r="12" spans="1:66" x14ac:dyDescent="0.25">
      <c r="A12" s="40" t="s">
        <v>129</v>
      </c>
      <c r="B12" s="46" t="s">
        <v>127</v>
      </c>
      <c r="C12" s="47">
        <v>2020</v>
      </c>
      <c r="D12" s="73">
        <f t="shared" si="0"/>
        <v>7.2244318181818187E-8</v>
      </c>
      <c r="E12" s="73">
        <f t="shared" si="1"/>
        <v>5.6250000000000007E-9</v>
      </c>
      <c r="F12" s="39">
        <f t="shared" si="2"/>
        <v>5.0000000000000001E-9</v>
      </c>
      <c r="G12" s="39">
        <f t="shared" si="3"/>
        <v>2.7272727272727274E-7</v>
      </c>
      <c r="H12" s="39">
        <f t="shared" si="4"/>
        <v>4</v>
      </c>
      <c r="I12" s="40"/>
      <c r="J12" s="56"/>
      <c r="K12" s="59">
        <v>6.2500000000000005E-9</v>
      </c>
      <c r="L12" s="60"/>
      <c r="M12" s="61">
        <v>2011</v>
      </c>
      <c r="N12" s="64"/>
      <c r="O12" s="70">
        <v>5.0000000000000001E-9</v>
      </c>
      <c r="P12" s="60"/>
      <c r="Q12" s="61">
        <v>2011</v>
      </c>
      <c r="R12" s="64"/>
      <c r="S12" s="70">
        <v>5.0000000000000001E-9</v>
      </c>
      <c r="T12" s="60"/>
      <c r="U12" s="61">
        <v>2011</v>
      </c>
      <c r="V12" s="64"/>
      <c r="W12" s="70">
        <v>2.7272727272727274E-7</v>
      </c>
      <c r="X12" s="60"/>
      <c r="Y12" s="61">
        <v>2012</v>
      </c>
      <c r="Z12" s="64"/>
      <c r="AA12" s="70"/>
      <c r="AB12" s="60"/>
      <c r="AC12" s="61"/>
      <c r="AD12" s="64"/>
      <c r="AE12" s="70"/>
      <c r="AF12" s="60"/>
      <c r="AG12" s="61"/>
      <c r="AH12" s="64"/>
      <c r="AI12" s="70"/>
      <c r="AJ12" s="60"/>
      <c r="AK12" s="61"/>
      <c r="AL12" s="64"/>
      <c r="AM12" s="70"/>
      <c r="AO12" s="61"/>
      <c r="AP12" s="64"/>
      <c r="AQ12" s="70"/>
      <c r="AR12" s="60"/>
      <c r="AS12" s="61"/>
      <c r="AT12" s="64"/>
      <c r="AU12" s="70"/>
      <c r="AW12" s="61"/>
      <c r="AX12" s="64"/>
      <c r="AY12" s="70"/>
      <c r="AZ12" s="60"/>
      <c r="BA12" s="61"/>
      <c r="BB12" s="64"/>
      <c r="BC12" s="70"/>
      <c r="BE12" s="61"/>
      <c r="BF12" s="64"/>
      <c r="BG12" s="70">
        <v>2.1006692267617201E-7</v>
      </c>
      <c r="BI12" s="61"/>
      <c r="BJ12" s="64"/>
      <c r="BK12" s="70">
        <v>2.13244645727665E-7</v>
      </c>
      <c r="BM12" s="61"/>
      <c r="BN12" s="64"/>
    </row>
    <row r="13" spans="1:66" x14ac:dyDescent="0.25">
      <c r="A13" s="40" t="s">
        <v>18</v>
      </c>
      <c r="B13" s="46" t="s">
        <v>127</v>
      </c>
      <c r="C13" s="47">
        <v>2020</v>
      </c>
      <c r="D13" s="73">
        <f t="shared" si="0"/>
        <v>1.415110600330959E-5</v>
      </c>
      <c r="E13" s="73">
        <f t="shared" si="1"/>
        <v>1.6264529999999999E-5</v>
      </c>
      <c r="F13" s="39">
        <f t="shared" si="2"/>
        <v>5.0000000000000001E-9</v>
      </c>
      <c r="G13" s="39">
        <f t="shared" si="3"/>
        <v>3.1386684848484855E-5</v>
      </c>
      <c r="H13" s="39">
        <f t="shared" si="4"/>
        <v>9</v>
      </c>
      <c r="I13" s="40"/>
      <c r="J13" s="56"/>
      <c r="K13" s="59">
        <v>6.2500000000000005E-9</v>
      </c>
      <c r="L13" s="60"/>
      <c r="M13" s="61">
        <v>2011</v>
      </c>
      <c r="N13" s="64"/>
      <c r="O13" s="70">
        <v>5.0000000000000001E-9</v>
      </c>
      <c r="P13" s="60"/>
      <c r="Q13" s="61">
        <v>2011</v>
      </c>
      <c r="R13" s="64"/>
      <c r="S13" s="70">
        <v>5.0000000000000001E-9</v>
      </c>
      <c r="T13" s="60"/>
      <c r="U13" s="61">
        <v>2011</v>
      </c>
      <c r="V13" s="64"/>
      <c r="W13" s="70">
        <v>2.1545454545454547E-7</v>
      </c>
      <c r="X13" s="60"/>
      <c r="Y13" s="61">
        <v>2012</v>
      </c>
      <c r="Z13" s="64"/>
      <c r="AA13">
        <v>3.1386684848484855E-5</v>
      </c>
      <c r="AB13" s="60"/>
      <c r="AC13" s="61" t="s">
        <v>152</v>
      </c>
      <c r="AD13" s="64"/>
      <c r="AE13">
        <v>1.6264529999999999E-5</v>
      </c>
      <c r="AF13" s="60"/>
      <c r="AG13" s="61" t="s">
        <v>152</v>
      </c>
      <c r="AH13" s="64"/>
      <c r="AI13">
        <v>2.9906991384615383E-5</v>
      </c>
      <c r="AJ13" s="60"/>
      <c r="AK13" s="61" t="s">
        <v>152</v>
      </c>
      <c r="AL13" s="64"/>
      <c r="AM13">
        <v>3.0982008965517242E-5</v>
      </c>
      <c r="AN13" s="60"/>
      <c r="AO13" s="61" t="s">
        <v>152</v>
      </c>
      <c r="AP13" s="64"/>
      <c r="AQ13">
        <v>1.8588034285714285E-5</v>
      </c>
      <c r="AR13" s="60"/>
      <c r="AS13" s="61" t="s">
        <v>152</v>
      </c>
      <c r="AT13" s="64"/>
      <c r="AV13" s="60"/>
      <c r="AW13" s="61"/>
      <c r="AX13" s="64"/>
      <c r="AZ13" s="60"/>
      <c r="BA13" s="61"/>
      <c r="BB13" s="64"/>
      <c r="BD13" s="60"/>
      <c r="BE13" s="61"/>
      <c r="BF13" s="64"/>
      <c r="BG13" s="59">
        <v>7.1331640901722201E-7</v>
      </c>
      <c r="BH13" s="60"/>
      <c r="BI13" s="61"/>
      <c r="BJ13" s="64"/>
      <c r="BK13" s="59">
        <v>7.2614583747872498E-7</v>
      </c>
      <c r="BL13" s="60"/>
      <c r="BM13" s="61"/>
      <c r="BN13" s="64"/>
    </row>
    <row r="14" spans="1:66" x14ac:dyDescent="0.25">
      <c r="A14" s="40" t="s">
        <v>20</v>
      </c>
      <c r="B14" s="46" t="s">
        <v>127</v>
      </c>
      <c r="C14" s="47">
        <v>2020</v>
      </c>
      <c r="D14" s="73">
        <f t="shared" si="0"/>
        <v>1.5088993118880939E-5</v>
      </c>
      <c r="E14" s="73">
        <f t="shared" si="1"/>
        <v>1.6343124776785715E-5</v>
      </c>
      <c r="F14" s="39">
        <f t="shared" si="2"/>
        <v>5.0000000000000004E-8</v>
      </c>
      <c r="G14" s="39">
        <f t="shared" si="3"/>
        <v>3.26751324137931E-5</v>
      </c>
      <c r="H14" s="39">
        <f t="shared" si="4"/>
        <v>8</v>
      </c>
      <c r="I14" s="40"/>
      <c r="J14" s="56"/>
      <c r="K14" s="59">
        <v>5.0000000000000004E-8</v>
      </c>
      <c r="L14" s="60"/>
      <c r="M14" s="61">
        <v>2011</v>
      </c>
      <c r="N14" s="64"/>
      <c r="O14" s="70">
        <v>2.8499999999999997E-7</v>
      </c>
      <c r="P14" s="60"/>
      <c r="Q14" s="61">
        <v>2011</v>
      </c>
      <c r="R14" s="64"/>
      <c r="S14" s="70">
        <v>2.0999999999999997E-7</v>
      </c>
      <c r="T14" s="60"/>
      <c r="U14" s="61">
        <v>2011</v>
      </c>
      <c r="V14" s="64"/>
      <c r="W14" s="70"/>
      <c r="X14" s="60"/>
      <c r="Y14" s="61"/>
      <c r="Z14" s="64"/>
      <c r="AA14">
        <v>2.991100606060606E-5</v>
      </c>
      <c r="AB14" s="60"/>
      <c r="AC14" s="61" t="s">
        <v>152</v>
      </c>
      <c r="AD14" s="64"/>
      <c r="AE14">
        <v>1.5253583125000002E-5</v>
      </c>
      <c r="AF14" s="60"/>
      <c r="AG14" s="61" t="s">
        <v>152</v>
      </c>
      <c r="AH14" s="64"/>
      <c r="AI14">
        <v>2.4894556923076923E-5</v>
      </c>
      <c r="AJ14" s="60"/>
      <c r="AK14" s="61" t="s">
        <v>152</v>
      </c>
      <c r="AL14" s="64"/>
      <c r="AM14">
        <v>3.26751324137931E-5</v>
      </c>
      <c r="AN14" s="60"/>
      <c r="AO14" s="61" t="s">
        <v>152</v>
      </c>
      <c r="AP14" s="64"/>
      <c r="AQ14">
        <v>1.7432666428571431E-5</v>
      </c>
      <c r="AR14" s="60"/>
      <c r="AS14" s="61" t="s">
        <v>152</v>
      </c>
      <c r="AT14" s="64"/>
      <c r="AV14" s="60"/>
      <c r="AW14" s="61"/>
      <c r="AX14" s="64"/>
      <c r="AZ14" s="60"/>
      <c r="BA14" s="61"/>
      <c r="BB14" s="64"/>
      <c r="BD14" s="60"/>
      <c r="BE14" s="61"/>
      <c r="BF14" s="64"/>
      <c r="BG14" s="59">
        <v>1.9432331959014601E-5</v>
      </c>
      <c r="BH14" s="60"/>
      <c r="BI14" s="61"/>
      <c r="BJ14" s="64"/>
      <c r="BK14" s="59">
        <v>1.6827476685583299E-5</v>
      </c>
      <c r="BL14" s="60"/>
      <c r="BM14" s="61"/>
      <c r="BN14" s="64"/>
    </row>
    <row r="15" spans="1:66" x14ac:dyDescent="0.25">
      <c r="A15" s="40" t="s">
        <v>21</v>
      </c>
      <c r="B15" s="46" t="s">
        <v>127</v>
      </c>
      <c r="C15" s="47">
        <v>2020</v>
      </c>
      <c r="D15" s="73">
        <f t="shared" si="0"/>
        <v>1.5077938911443729E-5</v>
      </c>
      <c r="E15" s="73">
        <f t="shared" si="1"/>
        <v>1.8012576551724138E-5</v>
      </c>
      <c r="F15" s="39">
        <f t="shared" si="2"/>
        <v>9.5009875000000001E-6</v>
      </c>
      <c r="G15" s="39">
        <f t="shared" si="3"/>
        <v>1.864444E-5</v>
      </c>
      <c r="H15" s="39">
        <f t="shared" si="4"/>
        <v>5</v>
      </c>
      <c r="I15" s="40"/>
      <c r="J15" s="56"/>
      <c r="K15" s="59"/>
      <c r="L15" s="60"/>
      <c r="M15" s="61"/>
      <c r="N15" s="64"/>
      <c r="O15" s="70"/>
      <c r="P15" s="60"/>
      <c r="Q15" s="61"/>
      <c r="R15" s="64"/>
      <c r="S15" s="70"/>
      <c r="T15" s="60"/>
      <c r="U15" s="61"/>
      <c r="V15" s="64"/>
      <c r="W15" s="70"/>
      <c r="X15" s="60"/>
      <c r="Y15" s="61"/>
      <c r="Z15" s="64"/>
      <c r="AA15">
        <v>1.864444E-5</v>
      </c>
      <c r="AB15" s="60"/>
      <c r="AC15" s="61" t="s">
        <v>152</v>
      </c>
      <c r="AD15" s="64"/>
      <c r="AE15">
        <v>9.5009875000000001E-6</v>
      </c>
      <c r="AF15" s="60"/>
      <c r="AG15" s="61" t="s">
        <v>152</v>
      </c>
      <c r="AH15" s="64"/>
      <c r="AI15">
        <v>1.8373419076923078E-5</v>
      </c>
      <c r="AJ15" s="60"/>
      <c r="AK15" s="61" t="s">
        <v>152</v>
      </c>
      <c r="AL15" s="64"/>
      <c r="AM15">
        <v>1.8012576551724138E-5</v>
      </c>
      <c r="AN15" s="60"/>
      <c r="AO15" s="61" t="s">
        <v>152</v>
      </c>
      <c r="AP15" s="64"/>
      <c r="AQ15">
        <v>1.0858271428571429E-5</v>
      </c>
      <c r="AR15" s="60"/>
      <c r="AS15" s="61" t="s">
        <v>152</v>
      </c>
      <c r="AT15" s="64"/>
      <c r="AV15" s="60"/>
      <c r="AW15" s="61"/>
      <c r="AX15" s="64"/>
      <c r="AZ15" s="60"/>
      <c r="BA15" s="61"/>
      <c r="BB15" s="64"/>
      <c r="BD15" s="60"/>
      <c r="BE15" s="61"/>
      <c r="BF15" s="64"/>
      <c r="BG15" s="59"/>
      <c r="BH15" s="60"/>
      <c r="BI15" s="61"/>
      <c r="BJ15" s="64"/>
      <c r="BK15" s="59"/>
      <c r="BL15" s="60"/>
      <c r="BM15" s="61"/>
      <c r="BN15" s="64"/>
    </row>
    <row r="16" spans="1:66" x14ac:dyDescent="0.25">
      <c r="A16" s="40" t="s">
        <v>142</v>
      </c>
      <c r="B16" s="46" t="s">
        <v>127</v>
      </c>
      <c r="C16" s="47">
        <v>2020</v>
      </c>
      <c r="D16" s="73">
        <f t="shared" si="0"/>
        <v>1.4518556518580095E-4</v>
      </c>
      <c r="E16" s="73">
        <f t="shared" si="1"/>
        <v>1.3713072553846151E-4</v>
      </c>
      <c r="F16" s="39">
        <f t="shared" si="2"/>
        <v>9.2429758749999996E-5</v>
      </c>
      <c r="G16" s="39">
        <f t="shared" si="3"/>
        <v>2.100497510344827E-4</v>
      </c>
      <c r="H16" s="39">
        <f t="shared" si="4"/>
        <v>5</v>
      </c>
      <c r="I16" s="40"/>
      <c r="J16" s="56"/>
      <c r="K16" s="59"/>
      <c r="L16" s="60"/>
      <c r="M16" s="61"/>
      <c r="N16" s="64"/>
      <c r="O16" s="70"/>
      <c r="P16" s="60"/>
      <c r="Q16" s="61"/>
      <c r="R16" s="64"/>
      <c r="S16" s="70"/>
      <c r="T16" s="60"/>
      <c r="U16" s="61"/>
      <c r="V16" s="64"/>
      <c r="W16" s="70"/>
      <c r="X16" s="60"/>
      <c r="Y16" s="61"/>
      <c r="Z16" s="64"/>
      <c r="AA16">
        <v>1.806835806060606E-4</v>
      </c>
      <c r="AB16" s="60"/>
      <c r="AC16" s="61" t="s">
        <v>152</v>
      </c>
      <c r="AD16" s="64"/>
      <c r="AE16">
        <v>9.2429758749999996E-5</v>
      </c>
      <c r="AF16" s="60"/>
      <c r="AG16" s="61" t="s">
        <v>152</v>
      </c>
      <c r="AH16" s="64"/>
      <c r="AI16">
        <v>1.3713072553846151E-4</v>
      </c>
      <c r="AJ16" s="60"/>
      <c r="AK16" s="61" t="s">
        <v>152</v>
      </c>
      <c r="AL16" s="64"/>
      <c r="AM16">
        <v>2.100497510344827E-4</v>
      </c>
      <c r="AN16" s="60"/>
      <c r="AO16" s="61" t="s">
        <v>152</v>
      </c>
      <c r="AP16" s="64"/>
      <c r="AQ16">
        <v>1.0563401E-4</v>
      </c>
      <c r="AR16" s="60"/>
      <c r="AS16" s="61" t="s">
        <v>152</v>
      </c>
      <c r="AT16" s="64"/>
      <c r="AV16" s="60"/>
      <c r="AW16" s="61"/>
      <c r="AX16" s="64"/>
      <c r="AZ16" s="60"/>
      <c r="BA16" s="61"/>
      <c r="BB16" s="64"/>
      <c r="BD16" s="60"/>
      <c r="BE16" s="61"/>
      <c r="BF16" s="64"/>
      <c r="BG16" s="59">
        <v>2.7839343633203E-6</v>
      </c>
      <c r="BH16" s="60"/>
      <c r="BI16" s="61"/>
      <c r="BJ16" s="64"/>
      <c r="BK16" s="59">
        <v>2.9463784157081598E-6</v>
      </c>
      <c r="BL16" s="60"/>
      <c r="BM16" s="61"/>
      <c r="BN16" s="64"/>
    </row>
    <row r="17" spans="1:66" x14ac:dyDescent="0.25">
      <c r="A17" s="40" t="s">
        <v>25</v>
      </c>
      <c r="B17" s="46" t="s">
        <v>127</v>
      </c>
      <c r="C17" s="47">
        <v>2020</v>
      </c>
      <c r="D17" s="73">
        <f t="shared" si="0"/>
        <v>5.726814823567059E-6</v>
      </c>
      <c r="E17" s="73">
        <f t="shared" si="1"/>
        <v>6.4634847163461536E-6</v>
      </c>
      <c r="F17" s="39">
        <f t="shared" si="2"/>
        <v>4.0000000000000001E-8</v>
      </c>
      <c r="G17" s="39">
        <f t="shared" si="3"/>
        <v>1.3572060000000002E-5</v>
      </c>
      <c r="H17" s="39">
        <f t="shared" si="4"/>
        <v>8</v>
      </c>
      <c r="I17" s="40"/>
      <c r="J17" s="56"/>
      <c r="K17" s="59">
        <v>9.3749999999999989E-8</v>
      </c>
      <c r="L17" s="60"/>
      <c r="M17" s="61">
        <v>2011</v>
      </c>
      <c r="N17" s="64"/>
      <c r="O17" s="70">
        <v>4.0000000000000001E-8</v>
      </c>
      <c r="P17" s="60"/>
      <c r="Q17" s="61">
        <v>2011</v>
      </c>
      <c r="R17" s="64"/>
      <c r="S17" s="70">
        <v>1.9000000000000001E-7</v>
      </c>
      <c r="T17" s="60"/>
      <c r="U17" s="61">
        <v>2011</v>
      </c>
      <c r="V17" s="64"/>
      <c r="W17" s="70"/>
      <c r="X17" s="60"/>
      <c r="Y17" s="61"/>
      <c r="Z17" s="64"/>
      <c r="AA17">
        <v>1.201019272727273E-5</v>
      </c>
      <c r="AB17" s="60"/>
      <c r="AC17" s="61" t="s">
        <v>152</v>
      </c>
      <c r="AD17" s="64"/>
      <c r="AE17">
        <v>6.1088531249999993E-6</v>
      </c>
      <c r="AF17" s="60"/>
      <c r="AG17" s="61" t="s">
        <v>152</v>
      </c>
      <c r="AH17" s="64"/>
      <c r="AI17">
        <v>6.8181163076923079E-6</v>
      </c>
      <c r="AJ17" s="60"/>
      <c r="AK17" s="61" t="s">
        <v>152</v>
      </c>
      <c r="AL17" s="64"/>
      <c r="AM17">
        <v>1.3572060000000002E-5</v>
      </c>
      <c r="AN17" s="60"/>
      <c r="AO17" s="61" t="s">
        <v>152</v>
      </c>
      <c r="AP17" s="64"/>
      <c r="AQ17">
        <v>6.9815464285714282E-6</v>
      </c>
      <c r="AR17" s="60"/>
      <c r="AS17" s="61" t="s">
        <v>152</v>
      </c>
      <c r="AT17" s="64"/>
      <c r="AV17" s="60"/>
      <c r="AW17" s="61"/>
      <c r="AX17" s="64"/>
      <c r="AZ17" s="60"/>
      <c r="BA17" s="61"/>
      <c r="BB17" s="64"/>
      <c r="BD17" s="60"/>
      <c r="BE17" s="61"/>
      <c r="BF17" s="64"/>
      <c r="BG17" s="59"/>
      <c r="BH17" s="60"/>
      <c r="BI17" s="61"/>
      <c r="BJ17" s="64"/>
      <c r="BK17" s="59"/>
      <c r="BL17" s="60"/>
      <c r="BM17" s="61"/>
      <c r="BN17" s="64"/>
    </row>
    <row r="18" spans="1:66" x14ac:dyDescent="0.25">
      <c r="A18" s="40" t="s">
        <v>28</v>
      </c>
      <c r="B18" s="46" t="s">
        <v>127</v>
      </c>
      <c r="C18" s="47">
        <v>2020</v>
      </c>
      <c r="D18" s="73">
        <f t="shared" si="0"/>
        <v>3.3182038550359067E-3</v>
      </c>
      <c r="E18" s="73">
        <f t="shared" si="1"/>
        <v>3.8274557231249996E-3</v>
      </c>
      <c r="F18" s="39">
        <f t="shared" si="2"/>
        <v>0</v>
      </c>
      <c r="G18" s="39">
        <f t="shared" si="3"/>
        <v>7.3856121926153869E-3</v>
      </c>
      <c r="H18" s="39">
        <f t="shared" si="4"/>
        <v>9</v>
      </c>
      <c r="I18" s="40"/>
      <c r="J18" s="56"/>
      <c r="K18" s="59">
        <v>3.2624999999999997E-6</v>
      </c>
      <c r="L18" s="60"/>
      <c r="M18" s="61">
        <v>2011</v>
      </c>
      <c r="N18" s="64"/>
      <c r="O18" s="70">
        <v>3.3399999999999998E-6</v>
      </c>
      <c r="P18" s="60"/>
      <c r="Q18" s="61">
        <v>2011</v>
      </c>
      <c r="R18" s="64"/>
      <c r="S18" s="70">
        <v>0</v>
      </c>
      <c r="T18" s="60"/>
      <c r="U18" s="61">
        <v>2011</v>
      </c>
      <c r="V18" s="64"/>
      <c r="W18" s="70">
        <v>4.9090909090909088E-6</v>
      </c>
      <c r="X18" s="60"/>
      <c r="Y18" s="61">
        <v>2012</v>
      </c>
      <c r="Z18" s="64"/>
      <c r="AA18">
        <v>7.3393908751515141E-3</v>
      </c>
      <c r="AB18" s="60"/>
      <c r="AC18" s="61" t="s">
        <v>152</v>
      </c>
      <c r="AD18" s="64"/>
      <c r="AE18">
        <v>3.8274557231249996E-3</v>
      </c>
      <c r="AF18" s="60"/>
      <c r="AG18" s="61" t="s">
        <v>152</v>
      </c>
      <c r="AH18" s="64"/>
      <c r="AI18">
        <v>7.3856121926153869E-3</v>
      </c>
      <c r="AJ18" s="60"/>
      <c r="AK18" s="61" t="s">
        <v>152</v>
      </c>
      <c r="AL18" s="64"/>
      <c r="AM18">
        <v>6.9256292013793099E-3</v>
      </c>
      <c r="AN18" s="60"/>
      <c r="AO18" s="61" t="s">
        <v>152</v>
      </c>
      <c r="AP18" s="64"/>
      <c r="AQ18">
        <v>4.3742351121428564E-3</v>
      </c>
      <c r="AR18" s="60"/>
      <c r="AS18" s="61" t="s">
        <v>152</v>
      </c>
      <c r="AT18" s="64"/>
      <c r="AV18" s="60"/>
      <c r="AW18" s="61"/>
      <c r="AX18" s="64"/>
      <c r="AZ18" s="60"/>
      <c r="BA18" s="61"/>
      <c r="BB18" s="64"/>
      <c r="BD18" s="60"/>
      <c r="BE18" s="61"/>
      <c r="BF18" s="64"/>
      <c r="BG18" s="59">
        <v>2.4766408158754699E-5</v>
      </c>
      <c r="BH18" s="60"/>
      <c r="BI18" s="61"/>
      <c r="BJ18" s="64"/>
      <c r="BK18" s="59">
        <v>2.50844270292908E-5</v>
      </c>
      <c r="BL18" s="60"/>
      <c r="BM18" s="61"/>
      <c r="BN18" s="64"/>
    </row>
    <row r="19" spans="1:66" x14ac:dyDescent="0.25">
      <c r="A19" s="40" t="s">
        <v>31</v>
      </c>
      <c r="B19" s="46" t="s">
        <v>127</v>
      </c>
      <c r="C19" s="47">
        <v>2020</v>
      </c>
      <c r="D19" s="73">
        <f t="shared" si="0"/>
        <v>4.2079031491487856E-4</v>
      </c>
      <c r="E19" s="73">
        <f t="shared" si="1"/>
        <v>4.0363758186813184E-5</v>
      </c>
      <c r="F19" s="39">
        <f t="shared" si="2"/>
        <v>6.8000000000000005E-7</v>
      </c>
      <c r="G19" s="39">
        <f t="shared" si="3"/>
        <v>3.1282749999999998E-3</v>
      </c>
      <c r="H19" s="39">
        <f t="shared" si="4"/>
        <v>8</v>
      </c>
      <c r="I19" s="40"/>
      <c r="J19" s="56"/>
      <c r="K19" s="59">
        <v>3.2374999999999999E-6</v>
      </c>
      <c r="L19" s="60"/>
      <c r="M19" s="61">
        <v>2011</v>
      </c>
      <c r="N19" s="64"/>
      <c r="O19" s="70">
        <v>3.1282749999999998E-3</v>
      </c>
      <c r="P19" s="60"/>
      <c r="Q19" s="61">
        <v>2011</v>
      </c>
      <c r="R19" s="64"/>
      <c r="S19" s="70">
        <v>6.8000000000000005E-7</v>
      </c>
      <c r="T19" s="60"/>
      <c r="U19" s="61">
        <v>2011</v>
      </c>
      <c r="V19" s="64"/>
      <c r="W19" s="70"/>
      <c r="X19" s="60"/>
      <c r="Y19" s="61"/>
      <c r="Z19" s="64"/>
      <c r="AA19">
        <v>5.8606533333333349E-5</v>
      </c>
      <c r="AB19" s="60"/>
      <c r="AC19" s="61" t="s">
        <v>152</v>
      </c>
      <c r="AD19" s="64"/>
      <c r="AE19">
        <v>2.9229293749999996E-5</v>
      </c>
      <c r="AF19" s="60"/>
      <c r="AG19" s="61" t="s">
        <v>152</v>
      </c>
      <c r="AH19" s="64"/>
      <c r="AI19">
        <v>4.7322609230769225E-5</v>
      </c>
      <c r="AJ19" s="60"/>
      <c r="AK19" s="61" t="s">
        <v>152</v>
      </c>
      <c r="AL19" s="64"/>
      <c r="AM19">
        <v>6.5566675862068963E-5</v>
      </c>
      <c r="AN19" s="60"/>
      <c r="AO19" s="61" t="s">
        <v>152</v>
      </c>
      <c r="AP19" s="64"/>
      <c r="AQ19">
        <v>3.3404907142857136E-5</v>
      </c>
      <c r="AR19" s="60"/>
      <c r="AS19" s="61" t="s">
        <v>152</v>
      </c>
      <c r="AT19" s="64"/>
      <c r="AV19" s="60"/>
      <c r="AW19" s="61"/>
      <c r="AX19" s="64"/>
      <c r="AZ19" s="60"/>
      <c r="BA19" s="61"/>
      <c r="BB19" s="64"/>
      <c r="BD19" s="60"/>
      <c r="BE19" s="61"/>
      <c r="BF19" s="64"/>
      <c r="BG19" s="59">
        <v>6.1593024221987505E-8</v>
      </c>
      <c r="BH19" s="60"/>
      <c r="BI19" s="61"/>
      <c r="BJ19" s="64"/>
      <c r="BK19" s="59">
        <v>6.4116444761876198E-8</v>
      </c>
      <c r="BL19" s="60"/>
      <c r="BM19" s="61"/>
      <c r="BN19" s="64"/>
    </row>
    <row r="20" spans="1:66" x14ac:dyDescent="0.25">
      <c r="A20" s="40" t="s">
        <v>33</v>
      </c>
      <c r="B20" s="46" t="s">
        <v>127</v>
      </c>
      <c r="C20" s="47">
        <v>2020</v>
      </c>
      <c r="D20" s="73">
        <f t="shared" si="0"/>
        <v>5.6068830691978688E-3</v>
      </c>
      <c r="E20" s="73">
        <f t="shared" si="1"/>
        <v>5.6068830691978688E-3</v>
      </c>
      <c r="F20" s="39">
        <f t="shared" si="2"/>
        <v>5.6068830691978688E-3</v>
      </c>
      <c r="G20" s="39">
        <f t="shared" si="3"/>
        <v>5.6068830691978688E-3</v>
      </c>
      <c r="H20" s="39">
        <f t="shared" si="4"/>
        <v>1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  <c r="AB20" s="60"/>
      <c r="AC20" s="61"/>
      <c r="AD20" s="64"/>
      <c r="AF20" s="60"/>
      <c r="AG20" s="61"/>
      <c r="AH20" s="64"/>
      <c r="AJ20" s="60"/>
      <c r="AK20" s="61"/>
      <c r="AL20" s="64"/>
      <c r="AN20" s="60"/>
      <c r="AO20" s="61"/>
      <c r="AP20" s="64"/>
      <c r="AR20" s="60"/>
      <c r="AS20" s="61"/>
      <c r="AT20" s="64"/>
      <c r="AU20">
        <v>5.6068830691978688E-3</v>
      </c>
      <c r="AV20" s="60"/>
      <c r="AW20" s="61">
        <v>2017</v>
      </c>
      <c r="AX20" s="64"/>
      <c r="AZ20" s="60"/>
      <c r="BA20" s="61"/>
      <c r="BB20" s="64"/>
      <c r="BD20" s="60"/>
      <c r="BE20" s="61"/>
      <c r="BF20" s="64"/>
      <c r="BG20" s="59">
        <v>1.30677469243934E-2</v>
      </c>
      <c r="BH20" s="60"/>
      <c r="BI20" s="61"/>
      <c r="BJ20" s="64"/>
      <c r="BK20" s="59">
        <v>1.32634529957146E-2</v>
      </c>
      <c r="BL20" s="60"/>
      <c r="BM20" s="61"/>
      <c r="BN20" s="64"/>
    </row>
    <row r="21" spans="1:66" x14ac:dyDescent="0.25">
      <c r="A21" s="40" t="s">
        <v>34</v>
      </c>
      <c r="B21" s="46" t="s">
        <v>127</v>
      </c>
      <c r="C21" s="47">
        <v>2020</v>
      </c>
      <c r="D21" s="73">
        <f t="shared" si="0"/>
        <v>4.8806113114791124E-4</v>
      </c>
      <c r="E21" s="73">
        <f t="shared" si="1"/>
        <v>5.5736504275862063E-4</v>
      </c>
      <c r="F21" s="39">
        <f t="shared" si="2"/>
        <v>3.1045779125000002E-4</v>
      </c>
      <c r="G21" s="39">
        <f t="shared" si="3"/>
        <v>6.1175815138461525E-4</v>
      </c>
      <c r="H21" s="39">
        <f t="shared" si="4"/>
        <v>5</v>
      </c>
      <c r="I21" s="40"/>
      <c r="J21" s="56"/>
      <c r="K21" s="59"/>
      <c r="L21" s="60"/>
      <c r="M21" s="61"/>
      <c r="N21" s="64"/>
      <c r="O21" s="70"/>
      <c r="P21" s="60"/>
      <c r="Q21" s="61"/>
      <c r="R21" s="64"/>
      <c r="S21" s="70"/>
      <c r="T21" s="60"/>
      <c r="U21" s="61"/>
      <c r="V21" s="64"/>
      <c r="W21" s="70"/>
      <c r="X21" s="60"/>
      <c r="Y21" s="61"/>
      <c r="Z21" s="64"/>
      <c r="AA21">
        <v>6.0591576606060607E-4</v>
      </c>
      <c r="AB21" s="60"/>
      <c r="AC21" s="61" t="s">
        <v>152</v>
      </c>
      <c r="AD21" s="64"/>
      <c r="AE21">
        <v>3.1045779125000002E-4</v>
      </c>
      <c r="AF21" s="60"/>
      <c r="AG21" s="61" t="s">
        <v>152</v>
      </c>
      <c r="AH21" s="64"/>
      <c r="AI21">
        <v>6.1175815138461525E-4</v>
      </c>
      <c r="AJ21" s="60"/>
      <c r="AK21" s="61" t="s">
        <v>152</v>
      </c>
      <c r="AL21" s="64"/>
      <c r="AM21">
        <v>5.5736504275862063E-4</v>
      </c>
      <c r="AN21" s="60"/>
      <c r="AO21" s="61" t="s">
        <v>152</v>
      </c>
      <c r="AP21" s="64"/>
      <c r="AQ21">
        <v>3.5480890428571431E-4</v>
      </c>
      <c r="AR21" s="60"/>
      <c r="AS21" s="61" t="s">
        <v>152</v>
      </c>
      <c r="AT21" s="64"/>
      <c r="AV21" s="60"/>
      <c r="AW21" s="61"/>
      <c r="AX21" s="64"/>
      <c r="AZ21" s="60"/>
      <c r="BA21" s="61"/>
      <c r="BB21" s="64"/>
      <c r="BD21" s="60"/>
      <c r="BE21" s="61"/>
      <c r="BF21" s="64"/>
      <c r="BG21" s="59">
        <v>2.3339126984234099E-4</v>
      </c>
      <c r="BH21" s="60"/>
      <c r="BI21" s="61"/>
      <c r="BJ21" s="64"/>
      <c r="BK21" s="59">
        <v>2.34312013092318E-4</v>
      </c>
      <c r="BL21" s="60"/>
      <c r="BM21" s="61"/>
      <c r="BN21" s="64"/>
    </row>
    <row r="22" spans="1:66" x14ac:dyDescent="0.25">
      <c r="A22" s="40" t="s">
        <v>37</v>
      </c>
      <c r="B22" s="46" t="s">
        <v>127</v>
      </c>
      <c r="C22" s="47">
        <v>2020</v>
      </c>
      <c r="D22" s="73">
        <f t="shared" si="0"/>
        <v>8.9400020692203305E-4</v>
      </c>
      <c r="E22" s="73">
        <f t="shared" si="1"/>
        <v>9.7513088312499983E-4</v>
      </c>
      <c r="F22" s="39">
        <f t="shared" si="2"/>
        <v>1.3800000000000002E-5</v>
      </c>
      <c r="G22" s="39">
        <f t="shared" si="3"/>
        <v>2.0978915082758617E-3</v>
      </c>
      <c r="H22" s="39">
        <f t="shared" si="4"/>
        <v>9</v>
      </c>
      <c r="I22" s="40"/>
      <c r="J22" s="56"/>
      <c r="K22" s="59">
        <v>2.7112500000000002E-5</v>
      </c>
      <c r="L22" s="60"/>
      <c r="M22" s="61">
        <v>2011</v>
      </c>
      <c r="N22" s="64"/>
      <c r="O22" s="70">
        <v>2.6593999999999999E-4</v>
      </c>
      <c r="P22" s="60"/>
      <c r="Q22" s="61">
        <v>2011</v>
      </c>
      <c r="R22" s="64"/>
      <c r="S22" s="70">
        <v>1.3800000000000002E-5</v>
      </c>
      <c r="T22" s="60"/>
      <c r="U22" s="61">
        <v>2011</v>
      </c>
      <c r="V22" s="64"/>
      <c r="W22" s="70">
        <v>1.8000000000000004E-4</v>
      </c>
      <c r="X22" s="60"/>
      <c r="Y22" s="61">
        <v>2012</v>
      </c>
      <c r="Z22" s="64"/>
      <c r="AA22">
        <v>1.8767417866666666E-3</v>
      </c>
      <c r="AB22" s="60"/>
      <c r="AC22" s="61" t="s">
        <v>152</v>
      </c>
      <c r="AD22" s="64"/>
      <c r="AE22">
        <v>9.7513088312499983E-4</v>
      </c>
      <c r="AF22" s="60"/>
      <c r="AG22" s="61" t="s">
        <v>152</v>
      </c>
      <c r="AH22" s="64"/>
      <c r="AI22">
        <v>1.4949498892307693E-3</v>
      </c>
      <c r="AJ22" s="60"/>
      <c r="AK22" s="61" t="s">
        <v>152</v>
      </c>
      <c r="AL22" s="64"/>
      <c r="AM22">
        <v>2.0978915082758617E-3</v>
      </c>
      <c r="AN22" s="60"/>
      <c r="AO22" s="61" t="s">
        <v>152</v>
      </c>
      <c r="AP22" s="64"/>
      <c r="AQ22">
        <v>1.1144352949999999E-3</v>
      </c>
      <c r="AR22" s="60"/>
      <c r="AS22" s="61" t="s">
        <v>152</v>
      </c>
      <c r="AT22" s="64"/>
      <c r="AV22" s="60"/>
      <c r="AW22" s="61"/>
      <c r="AX22" s="64"/>
      <c r="AZ22" s="60"/>
      <c r="BA22" s="61"/>
      <c r="BB22" s="64"/>
      <c r="BD22" s="60"/>
      <c r="BE22" s="61"/>
      <c r="BF22" s="64"/>
      <c r="BG22" s="59">
        <v>1.8718362863124699E-5</v>
      </c>
      <c r="BH22" s="60"/>
      <c r="BI22" s="61"/>
      <c r="BJ22" s="64"/>
      <c r="BK22" s="59">
        <v>1.9067831498432E-5</v>
      </c>
      <c r="BL22" s="60"/>
      <c r="BM22" s="61"/>
      <c r="BN22" s="64"/>
    </row>
    <row r="23" spans="1:66" x14ac:dyDescent="0.25">
      <c r="A23" s="40" t="s">
        <v>39</v>
      </c>
      <c r="B23" s="46" t="s">
        <v>127</v>
      </c>
      <c r="C23" s="47">
        <v>2020</v>
      </c>
      <c r="D23" s="73">
        <f t="shared" si="0"/>
        <v>3.6508187383707167E-5</v>
      </c>
      <c r="E23" s="73">
        <f t="shared" si="1"/>
        <v>3.8795396212121214E-5</v>
      </c>
      <c r="F23" s="39">
        <f t="shared" si="2"/>
        <v>1.9467648749999998E-5</v>
      </c>
      <c r="G23" s="39">
        <f t="shared" si="3"/>
        <v>5.4570000000000001E-5</v>
      </c>
      <c r="H23" s="39">
        <f t="shared" si="4"/>
        <v>8</v>
      </c>
      <c r="I23" s="40"/>
      <c r="J23" s="56"/>
      <c r="K23" s="59">
        <v>3.9618750000000004E-5</v>
      </c>
      <c r="L23" s="60"/>
      <c r="M23" s="61">
        <v>2011</v>
      </c>
      <c r="N23" s="64"/>
      <c r="O23" s="70">
        <v>5.4570000000000001E-5</v>
      </c>
      <c r="P23" s="60"/>
      <c r="Q23" s="61">
        <v>2011</v>
      </c>
      <c r="R23" s="64"/>
      <c r="S23" s="70">
        <v>4.4904999999999998E-5</v>
      </c>
      <c r="T23" s="60"/>
      <c r="U23" s="61">
        <v>2011</v>
      </c>
      <c r="V23" s="64"/>
      <c r="W23" s="70"/>
      <c r="X23" s="60"/>
      <c r="Y23" s="61"/>
      <c r="Z23" s="64"/>
      <c r="AA23">
        <v>3.7972042424242425E-5</v>
      </c>
      <c r="AB23" s="60"/>
      <c r="AC23" s="61" t="s">
        <v>152</v>
      </c>
      <c r="AD23" s="64"/>
      <c r="AE23">
        <v>1.9467648749999998E-5</v>
      </c>
      <c r="AF23" s="60"/>
      <c r="AG23" s="61" t="s">
        <v>152</v>
      </c>
      <c r="AH23" s="64"/>
      <c r="AI23">
        <v>3.2608137846153847E-5</v>
      </c>
      <c r="AJ23" s="60"/>
      <c r="AK23" s="61" t="s">
        <v>152</v>
      </c>
      <c r="AL23" s="64"/>
      <c r="AM23">
        <v>4.0675178620689657E-5</v>
      </c>
      <c r="AN23" s="60"/>
      <c r="AO23" s="61" t="s">
        <v>152</v>
      </c>
      <c r="AP23" s="64"/>
      <c r="AQ23">
        <v>2.2248741428571429E-5</v>
      </c>
      <c r="AR23" s="60"/>
      <c r="AS23" s="61" t="s">
        <v>152</v>
      </c>
      <c r="AT23" s="64"/>
      <c r="AV23" s="60"/>
      <c r="AW23" s="61"/>
      <c r="AX23" s="64"/>
      <c r="AZ23" s="60"/>
      <c r="BA23" s="61"/>
      <c r="BB23" s="64"/>
      <c r="BD23" s="60"/>
      <c r="BE23" s="61"/>
      <c r="BF23" s="64"/>
      <c r="BG23" s="59">
        <v>3.5853277928145101E-6</v>
      </c>
      <c r="BH23" s="60"/>
      <c r="BI23" s="61"/>
      <c r="BJ23" s="64"/>
      <c r="BK23" s="59">
        <v>3.65886129362806E-6</v>
      </c>
      <c r="BL23" s="60"/>
      <c r="BM23" s="61"/>
      <c r="BN23" s="64"/>
    </row>
    <row r="24" spans="1:66" x14ac:dyDescent="0.25">
      <c r="A24" s="40" t="s">
        <v>130</v>
      </c>
      <c r="B24" s="46" t="s">
        <v>127</v>
      </c>
      <c r="C24" s="47">
        <v>2020</v>
      </c>
      <c r="D24" s="73">
        <f t="shared" si="0"/>
        <v>2.2128037657289073E-5</v>
      </c>
      <c r="E24" s="73">
        <f t="shared" si="1"/>
        <v>2.4852344999999999E-5</v>
      </c>
      <c r="F24" s="39">
        <f t="shared" si="2"/>
        <v>6.1999999999999999E-7</v>
      </c>
      <c r="G24" s="39">
        <f t="shared" si="3"/>
        <v>5.3636191034482761E-5</v>
      </c>
      <c r="H24" s="39">
        <f t="shared" si="4"/>
        <v>9</v>
      </c>
      <c r="I24" s="40"/>
      <c r="J24" s="56"/>
      <c r="K24" s="59">
        <v>7.6250000000000001E-7</v>
      </c>
      <c r="L24" s="60"/>
      <c r="M24" s="61">
        <v>2011</v>
      </c>
      <c r="N24" s="64"/>
      <c r="O24" s="70">
        <v>9.0500000000000002E-7</v>
      </c>
      <c r="P24" s="60"/>
      <c r="Q24" s="61">
        <v>2011</v>
      </c>
      <c r="R24" s="64"/>
      <c r="S24" s="70">
        <v>6.1999999999999999E-7</v>
      </c>
      <c r="T24" s="60"/>
      <c r="U24" s="61">
        <v>2011</v>
      </c>
      <c r="V24" s="64"/>
      <c r="W24" s="70"/>
      <c r="X24" s="60"/>
      <c r="Y24" s="61"/>
      <c r="Z24" s="64"/>
      <c r="AA24">
        <v>4.8605632727272729E-5</v>
      </c>
      <c r="AB24" s="60"/>
      <c r="AC24" s="61" t="s">
        <v>152</v>
      </c>
      <c r="AD24" s="64"/>
      <c r="AE24">
        <v>2.4852344999999999E-5</v>
      </c>
      <c r="AF24" s="60"/>
      <c r="AG24" s="61" t="s">
        <v>152</v>
      </c>
      <c r="AH24" s="64"/>
      <c r="AI24">
        <v>3.9706451692307698E-5</v>
      </c>
      <c r="AJ24" s="60"/>
      <c r="AK24" s="61" t="s">
        <v>152</v>
      </c>
      <c r="AL24" s="64"/>
      <c r="AM24">
        <v>5.3636191034482761E-5</v>
      </c>
      <c r="AN24" s="60"/>
      <c r="AO24" s="61" t="s">
        <v>152</v>
      </c>
      <c r="AP24" s="64"/>
      <c r="AQ24">
        <v>2.840268E-5</v>
      </c>
      <c r="AR24" s="60"/>
      <c r="AS24" s="61" t="s">
        <v>152</v>
      </c>
      <c r="AT24" s="64"/>
      <c r="AV24" s="60"/>
      <c r="AW24" s="61"/>
      <c r="AX24" s="64"/>
      <c r="AY24">
        <v>1.6615384615384616E-6</v>
      </c>
      <c r="AZ24" s="60"/>
      <c r="BA24" s="61">
        <v>2010</v>
      </c>
      <c r="BB24" s="64"/>
      <c r="BD24" s="60"/>
      <c r="BE24" s="61"/>
      <c r="BF24" s="64"/>
      <c r="BG24" s="59">
        <v>7.4140529114376302E-7</v>
      </c>
      <c r="BH24" s="60"/>
      <c r="BI24" s="61"/>
      <c r="BJ24" s="64"/>
      <c r="BK24" s="59">
        <v>6.3608582030300301E-7</v>
      </c>
      <c r="BL24" s="60"/>
      <c r="BM24" s="61"/>
      <c r="BN24" s="64"/>
    </row>
    <row r="25" spans="1:66" x14ac:dyDescent="0.25">
      <c r="A25" s="40" t="s">
        <v>42</v>
      </c>
      <c r="B25" s="46" t="s">
        <v>127</v>
      </c>
      <c r="C25" s="47">
        <v>2020</v>
      </c>
      <c r="D25" s="73">
        <f t="shared" si="0"/>
        <v>6.6336351697799652E-6</v>
      </c>
      <c r="E25" s="73">
        <f t="shared" si="1"/>
        <v>7.2314330357142864E-6</v>
      </c>
      <c r="F25" s="39">
        <f t="shared" si="2"/>
        <v>1.4153846153846155E-6</v>
      </c>
      <c r="G25" s="39">
        <f t="shared" si="3"/>
        <v>1.3312824242424244E-5</v>
      </c>
      <c r="H25" s="39">
        <f t="shared" si="4"/>
        <v>10</v>
      </c>
      <c r="I25" s="40"/>
      <c r="J25" s="56"/>
      <c r="K25" s="59">
        <v>3.4250000000000002E-6</v>
      </c>
      <c r="L25" s="60"/>
      <c r="M25" s="61">
        <v>2011</v>
      </c>
      <c r="N25" s="64"/>
      <c r="O25" s="70">
        <v>2.7549999999999999E-6</v>
      </c>
      <c r="P25" s="60"/>
      <c r="Q25" s="61">
        <v>2011</v>
      </c>
      <c r="R25" s="64"/>
      <c r="S25" s="70">
        <v>3.9249999999999997E-6</v>
      </c>
      <c r="T25" s="60"/>
      <c r="U25" s="61">
        <v>2011</v>
      </c>
      <c r="V25" s="64"/>
      <c r="W25" s="70"/>
      <c r="X25" s="60"/>
      <c r="Y25" s="61"/>
      <c r="Z25" s="64"/>
      <c r="AA25">
        <v>1.3312824242424244E-5</v>
      </c>
      <c r="AB25" s="60"/>
      <c r="AC25" s="61" t="s">
        <v>152</v>
      </c>
      <c r="AD25" s="64"/>
      <c r="AE25">
        <v>6.7493375000000008E-6</v>
      </c>
      <c r="AF25" s="60"/>
      <c r="AG25" s="61" t="s">
        <v>152</v>
      </c>
      <c r="AH25" s="64"/>
      <c r="AI25">
        <v>7.9455692307692315E-6</v>
      </c>
      <c r="AJ25" s="60"/>
      <c r="AK25" s="61" t="s">
        <v>152</v>
      </c>
      <c r="AL25" s="64"/>
      <c r="AM25">
        <v>9.1710206896551714E-6</v>
      </c>
      <c r="AN25" s="60"/>
      <c r="AO25" s="61" t="s">
        <v>152</v>
      </c>
      <c r="AP25" s="64"/>
      <c r="AQ25">
        <v>7.7135285714285719E-6</v>
      </c>
      <c r="AR25" s="60"/>
      <c r="AS25" s="61" t="s">
        <v>152</v>
      </c>
      <c r="AT25" s="64"/>
      <c r="AU25">
        <v>9.92368684813782E-6</v>
      </c>
      <c r="AV25" s="60"/>
      <c r="AW25" s="61">
        <v>2017</v>
      </c>
      <c r="AX25" s="64"/>
      <c r="AY25">
        <v>1.4153846153846155E-6</v>
      </c>
      <c r="AZ25" s="60"/>
      <c r="BA25" s="61">
        <v>2010</v>
      </c>
      <c r="BB25" s="64"/>
      <c r="BD25" s="60"/>
      <c r="BE25" s="61"/>
      <c r="BF25" s="64"/>
      <c r="BG25" s="59">
        <v>1.06744591687905E-6</v>
      </c>
      <c r="BH25" s="60"/>
      <c r="BI25" s="61"/>
      <c r="BJ25" s="64"/>
      <c r="BK25" s="59">
        <v>9.1312667831567699E-7</v>
      </c>
      <c r="BL25" s="60"/>
      <c r="BM25" s="61"/>
      <c r="BN25" s="64"/>
    </row>
    <row r="26" spans="1:66" x14ac:dyDescent="0.25">
      <c r="A26" s="40" t="s">
        <v>131</v>
      </c>
      <c r="B26" s="46" t="s">
        <v>127</v>
      </c>
      <c r="C26" s="47">
        <v>2020</v>
      </c>
      <c r="D26" s="73">
        <f t="shared" si="0"/>
        <v>2.51061660362031E-5</v>
      </c>
      <c r="E26" s="73">
        <f t="shared" si="1"/>
        <v>2.6118255625000001E-5</v>
      </c>
      <c r="F26" s="39">
        <f t="shared" si="2"/>
        <v>5.0625000000000002E-7</v>
      </c>
      <c r="G26" s="39">
        <f t="shared" si="3"/>
        <v>5.2565311724137933E-5</v>
      </c>
      <c r="H26" s="39">
        <f t="shared" si="4"/>
        <v>9</v>
      </c>
      <c r="I26" s="40"/>
      <c r="J26" s="56"/>
      <c r="K26" s="59">
        <v>5.0625000000000002E-7</v>
      </c>
      <c r="L26" s="60"/>
      <c r="M26" s="61">
        <v>2011</v>
      </c>
      <c r="N26" s="64"/>
      <c r="O26" s="70">
        <v>2.0049999999999999E-6</v>
      </c>
      <c r="P26" s="60"/>
      <c r="Q26" s="61">
        <v>2011</v>
      </c>
      <c r="R26" s="64"/>
      <c r="S26" s="70">
        <v>1.2350000000000002E-6</v>
      </c>
      <c r="T26" s="60"/>
      <c r="U26" s="61">
        <v>2011</v>
      </c>
      <c r="V26" s="64"/>
      <c r="W26" s="70">
        <v>1.8545454545454545E-5</v>
      </c>
      <c r="X26" s="60"/>
      <c r="Y26" s="61">
        <v>2012</v>
      </c>
      <c r="Z26" s="64"/>
      <c r="AA26">
        <v>5.0396016969696973E-5</v>
      </c>
      <c r="AB26" s="60"/>
      <c r="AC26" s="61" t="s">
        <v>152</v>
      </c>
      <c r="AD26" s="64"/>
      <c r="AE26">
        <v>2.6118255625000001E-5</v>
      </c>
      <c r="AF26" s="60"/>
      <c r="AG26" s="61" t="s">
        <v>152</v>
      </c>
      <c r="AH26" s="64"/>
      <c r="AI26">
        <v>4.4734770461538456E-5</v>
      </c>
      <c r="AJ26" s="60"/>
      <c r="AK26" s="61" t="s">
        <v>152</v>
      </c>
      <c r="AL26" s="64"/>
      <c r="AM26">
        <v>5.2565311724137933E-5</v>
      </c>
      <c r="AN26" s="60"/>
      <c r="AO26" s="61" t="s">
        <v>152</v>
      </c>
      <c r="AP26" s="64"/>
      <c r="AQ26">
        <v>2.9849435000000002E-5</v>
      </c>
      <c r="AR26" s="60"/>
      <c r="AS26" s="61" t="s">
        <v>152</v>
      </c>
      <c r="AT26" s="64"/>
      <c r="AV26" s="60"/>
      <c r="AW26" s="61"/>
      <c r="AX26" s="64"/>
      <c r="AZ26" s="60"/>
      <c r="BA26" s="61"/>
      <c r="BB26" s="64"/>
      <c r="BD26" s="60"/>
      <c r="BE26" s="61"/>
      <c r="BF26" s="64"/>
      <c r="BG26" s="59">
        <v>6.2575290204191098E-6</v>
      </c>
      <c r="BH26" s="60"/>
      <c r="BI26" s="61"/>
      <c r="BJ26" s="64"/>
      <c r="BK26" s="59">
        <v>6.3758675374972199E-6</v>
      </c>
      <c r="BL26" s="60"/>
      <c r="BM26" s="61"/>
      <c r="BN26" s="64"/>
    </row>
    <row r="27" spans="1:66" x14ac:dyDescent="0.25">
      <c r="A27" s="40" t="s">
        <v>144</v>
      </c>
      <c r="B27" s="46" t="s">
        <v>127</v>
      </c>
      <c r="C27" s="47">
        <v>2020</v>
      </c>
      <c r="D27" s="73">
        <f t="shared" si="0"/>
        <v>2.5721313763133422E-7</v>
      </c>
      <c r="E27" s="73">
        <f t="shared" si="1"/>
        <v>2.8484061538461533E-7</v>
      </c>
      <c r="F27" s="39">
        <f t="shared" si="2"/>
        <v>1.5528750000000002E-7</v>
      </c>
      <c r="G27" s="39">
        <f t="shared" si="3"/>
        <v>3.450006896551724E-7</v>
      </c>
      <c r="H27" s="39">
        <f t="shared" si="4"/>
        <v>5</v>
      </c>
      <c r="I27" s="40"/>
      <c r="J27" s="56"/>
      <c r="K27" s="59"/>
      <c r="L27" s="60"/>
      <c r="M27" s="61"/>
      <c r="N27" s="64"/>
      <c r="O27" s="70"/>
      <c r="P27" s="60"/>
      <c r="Q27" s="61"/>
      <c r="R27" s="64"/>
      <c r="S27" s="70"/>
      <c r="T27" s="60"/>
      <c r="U27" s="61"/>
      <c r="V27" s="64"/>
      <c r="W27" s="70"/>
      <c r="X27" s="60"/>
      <c r="Y27" s="61"/>
      <c r="Z27" s="64"/>
      <c r="AA27">
        <v>3.2346545454545459E-7</v>
      </c>
      <c r="AB27" s="60"/>
      <c r="AC27" s="61" t="s">
        <v>152</v>
      </c>
      <c r="AD27" s="64"/>
      <c r="AE27">
        <v>1.5528750000000002E-7</v>
      </c>
      <c r="AF27" s="60"/>
      <c r="AG27" s="61" t="s">
        <v>152</v>
      </c>
      <c r="AH27" s="64"/>
      <c r="AI27">
        <v>2.8484061538461533E-7</v>
      </c>
      <c r="AJ27" s="60"/>
      <c r="AK27" s="61" t="s">
        <v>152</v>
      </c>
      <c r="AL27" s="64"/>
      <c r="AM27">
        <v>3.450006896551724E-7</v>
      </c>
      <c r="AN27" s="60"/>
      <c r="AO27" s="61" t="s">
        <v>152</v>
      </c>
      <c r="AP27" s="64"/>
      <c r="AQ27">
        <v>1.774714285714286E-7</v>
      </c>
      <c r="AR27" s="60"/>
      <c r="AS27" s="61" t="s">
        <v>152</v>
      </c>
      <c r="AT27" s="64"/>
      <c r="AV27" s="60"/>
      <c r="AW27" s="61"/>
      <c r="AX27" s="64"/>
      <c r="AZ27" s="60"/>
      <c r="BA27" s="61"/>
      <c r="BB27" s="64"/>
      <c r="BD27" s="60"/>
      <c r="BE27" s="61"/>
      <c r="BF27" s="64"/>
      <c r="BG27" s="59">
        <v>2.313515529733E-8</v>
      </c>
      <c r="BH27" s="60"/>
      <c r="BI27" s="61"/>
      <c r="BJ27" s="64"/>
      <c r="BK27" s="59">
        <v>2.3228921134503499E-8</v>
      </c>
      <c r="BL27" s="60"/>
      <c r="BM27" s="61"/>
      <c r="BN27" s="64"/>
    </row>
    <row r="28" spans="1:66" x14ac:dyDescent="0.25">
      <c r="A28" s="40" t="s">
        <v>132</v>
      </c>
      <c r="B28" s="46" t="s">
        <v>127</v>
      </c>
      <c r="C28" s="47">
        <v>2020</v>
      </c>
      <c r="D28" s="73">
        <f t="shared" si="0"/>
        <v>5.416666666666668E-9</v>
      </c>
      <c r="E28" s="73">
        <f t="shared" si="1"/>
        <v>5.0000000000000001E-9</v>
      </c>
      <c r="F28" s="39">
        <f t="shared" si="2"/>
        <v>5.0000000000000001E-9</v>
      </c>
      <c r="G28" s="39">
        <f t="shared" si="3"/>
        <v>6.2500000000000005E-9</v>
      </c>
      <c r="H28" s="39">
        <f t="shared" si="4"/>
        <v>3</v>
      </c>
      <c r="I28" s="40"/>
      <c r="J28" s="56"/>
      <c r="K28" s="59">
        <v>6.2500000000000005E-9</v>
      </c>
      <c r="L28" s="60"/>
      <c r="M28" s="61">
        <v>2011</v>
      </c>
      <c r="N28" s="64"/>
      <c r="O28" s="70">
        <v>5.0000000000000001E-9</v>
      </c>
      <c r="P28" s="60"/>
      <c r="Q28" s="61">
        <v>2011</v>
      </c>
      <c r="R28" s="64"/>
      <c r="S28" s="70">
        <v>5.0000000000000001E-9</v>
      </c>
      <c r="T28" s="60"/>
      <c r="U28" s="61">
        <v>2011</v>
      </c>
      <c r="V28" s="64"/>
      <c r="W28" s="70"/>
      <c r="X28" s="60"/>
      <c r="Y28" s="61"/>
      <c r="Z28" s="64"/>
      <c r="AA28" s="70"/>
      <c r="AB28" s="60"/>
      <c r="AC28" s="61"/>
      <c r="AD28" s="64"/>
      <c r="AE28" s="70"/>
      <c r="AF28" s="60"/>
      <c r="AG28" s="61"/>
      <c r="AH28" s="64"/>
      <c r="AI28" s="70"/>
      <c r="AJ28" s="60"/>
      <c r="AK28" s="61"/>
      <c r="AL28" s="64"/>
      <c r="AM28" s="70"/>
      <c r="AN28" s="60"/>
      <c r="AO28" s="61"/>
      <c r="AP28" s="64"/>
      <c r="AQ28" s="70"/>
      <c r="AR28" s="60"/>
      <c r="AS28" s="61"/>
      <c r="AT28" s="64"/>
      <c r="AU28" s="70"/>
      <c r="AV28" s="60"/>
      <c r="AW28" s="61"/>
      <c r="AX28" s="64"/>
      <c r="AY28" s="70"/>
      <c r="AZ28" s="60"/>
      <c r="BA28" s="61"/>
      <c r="BB28" s="64"/>
      <c r="BC28" s="70"/>
      <c r="BD28" s="60"/>
      <c r="BE28" s="61"/>
      <c r="BF28" s="64"/>
      <c r="BG28" s="70">
        <v>1.3959631951183299E-7</v>
      </c>
      <c r="BH28" s="60"/>
      <c r="BI28" s="61"/>
      <c r="BJ28" s="64"/>
      <c r="BK28" s="70">
        <v>1.1939384199634201E-7</v>
      </c>
      <c r="BL28" s="60"/>
      <c r="BM28" s="61"/>
      <c r="BN28" s="64"/>
    </row>
    <row r="29" spans="1:66" x14ac:dyDescent="0.25">
      <c r="A29" s="40" t="s">
        <v>146</v>
      </c>
      <c r="B29" s="46" t="s">
        <v>127</v>
      </c>
      <c r="C29" s="47">
        <v>2020</v>
      </c>
      <c r="D29" s="73">
        <f t="shared" si="0"/>
        <v>2.886339945365267E-6</v>
      </c>
      <c r="E29" s="73">
        <f t="shared" si="1"/>
        <v>3.4426498461538462E-6</v>
      </c>
      <c r="F29" s="39">
        <f t="shared" si="2"/>
        <v>1.6943668750000005E-6</v>
      </c>
      <c r="G29" s="39">
        <f t="shared" si="3"/>
        <v>3.7567206896551723E-6</v>
      </c>
      <c r="H29" s="39">
        <f t="shared" si="4"/>
        <v>5</v>
      </c>
      <c r="I29" s="40"/>
      <c r="J29" s="56"/>
      <c r="K29" s="59"/>
      <c r="L29" s="60"/>
      <c r="M29" s="61"/>
      <c r="N29" s="64"/>
      <c r="O29" s="70"/>
      <c r="P29" s="60"/>
      <c r="Q29" s="61"/>
      <c r="R29" s="64"/>
      <c r="S29" s="70"/>
      <c r="T29" s="60"/>
      <c r="U29" s="61"/>
      <c r="V29" s="64"/>
      <c r="W29" s="70"/>
      <c r="X29" s="60"/>
      <c r="Y29" s="61"/>
      <c r="Z29" s="64"/>
      <c r="AA29">
        <v>3.6015430303030305E-6</v>
      </c>
      <c r="AB29" s="60"/>
      <c r="AC29" s="61" t="s">
        <v>152</v>
      </c>
      <c r="AD29" s="64"/>
      <c r="AE29">
        <v>1.6943668750000005E-6</v>
      </c>
      <c r="AF29" s="60"/>
      <c r="AG29" s="61" t="s">
        <v>152</v>
      </c>
      <c r="AH29" s="64"/>
      <c r="AI29">
        <v>3.4426498461538462E-6</v>
      </c>
      <c r="AJ29" s="60"/>
      <c r="AK29" s="61" t="s">
        <v>152</v>
      </c>
      <c r="AL29" s="64"/>
      <c r="AM29">
        <v>3.7567206896551723E-6</v>
      </c>
      <c r="AN29" s="60"/>
      <c r="AO29" s="61" t="s">
        <v>152</v>
      </c>
      <c r="AP29" s="64"/>
      <c r="AQ29">
        <v>1.9364192857142861E-6</v>
      </c>
      <c r="AR29" s="60"/>
      <c r="AS29" s="61" t="s">
        <v>152</v>
      </c>
      <c r="AT29" s="64"/>
      <c r="AV29" s="60"/>
      <c r="AW29" s="61"/>
      <c r="AX29" s="64"/>
      <c r="AZ29" s="60"/>
      <c r="BA29" s="61"/>
      <c r="BB29" s="64"/>
      <c r="BD29" s="60"/>
      <c r="BE29" s="61"/>
      <c r="BF29" s="64"/>
      <c r="BG29" s="59"/>
      <c r="BH29" s="60"/>
      <c r="BI29" s="61"/>
      <c r="BJ29" s="64"/>
      <c r="BK29" s="59"/>
      <c r="BL29" s="60"/>
      <c r="BM29" s="61"/>
      <c r="BN29" s="64"/>
    </row>
    <row r="30" spans="1:66" x14ac:dyDescent="0.25">
      <c r="A30" s="40" t="s">
        <v>143</v>
      </c>
      <c r="B30" s="46" t="s">
        <v>127</v>
      </c>
      <c r="C30" s="47">
        <v>2020</v>
      </c>
      <c r="D30" s="73">
        <f t="shared" si="0"/>
        <v>4.3424408979775969E-6</v>
      </c>
      <c r="E30" s="73">
        <f t="shared" si="1"/>
        <v>4.3359858461538459E-6</v>
      </c>
      <c r="F30" s="39">
        <f t="shared" si="2"/>
        <v>2.5496881249999999E-6</v>
      </c>
      <c r="G30" s="39">
        <f t="shared" si="3"/>
        <v>6.3247551724137921E-6</v>
      </c>
      <c r="H30" s="39">
        <f t="shared" si="4"/>
        <v>5</v>
      </c>
      <c r="I30" s="40"/>
      <c r="J30" s="56"/>
      <c r="K30" s="59"/>
      <c r="L30" s="60"/>
      <c r="M30" s="61"/>
      <c r="N30" s="64"/>
      <c r="O30" s="70"/>
      <c r="P30" s="60"/>
      <c r="Q30" s="61"/>
      <c r="R30" s="64"/>
      <c r="S30" s="70"/>
      <c r="T30" s="60"/>
      <c r="U30" s="61"/>
      <c r="V30" s="64"/>
      <c r="W30" s="70"/>
      <c r="X30" s="60"/>
      <c r="Y30" s="61"/>
      <c r="Z30" s="64"/>
      <c r="AA30">
        <v>5.5878460606060604E-6</v>
      </c>
      <c r="AB30" s="60"/>
      <c r="AC30" s="61" t="s">
        <v>152</v>
      </c>
      <c r="AD30" s="64"/>
      <c r="AE30">
        <v>2.5496881249999999E-6</v>
      </c>
      <c r="AF30" s="60"/>
      <c r="AG30" s="61" t="s">
        <v>152</v>
      </c>
      <c r="AH30" s="64"/>
      <c r="AI30">
        <v>4.3359858461538459E-6</v>
      </c>
      <c r="AJ30" s="60"/>
      <c r="AK30" s="61" t="s">
        <v>152</v>
      </c>
      <c r="AL30" s="64"/>
      <c r="AM30">
        <v>6.3247551724137921E-6</v>
      </c>
      <c r="AN30" s="60"/>
      <c r="AO30" s="61" t="s">
        <v>152</v>
      </c>
      <c r="AP30" s="64"/>
      <c r="AQ30">
        <v>2.9139292857142859E-6</v>
      </c>
      <c r="AR30" s="60"/>
      <c r="AS30" s="61" t="s">
        <v>152</v>
      </c>
      <c r="AT30" s="64"/>
      <c r="AV30" s="60"/>
      <c r="AW30" s="61"/>
      <c r="AX30" s="64"/>
      <c r="AZ30" s="60"/>
      <c r="BA30" s="61"/>
      <c r="BB30" s="64"/>
      <c r="BD30" s="60"/>
      <c r="BE30" s="61"/>
      <c r="BF30" s="64"/>
      <c r="BG30" s="59"/>
      <c r="BH30" s="60"/>
      <c r="BI30" s="61"/>
      <c r="BJ30" s="64"/>
      <c r="BK30" s="59"/>
      <c r="BL30" s="60"/>
      <c r="BM30" s="61"/>
      <c r="BN30" s="64"/>
    </row>
    <row r="31" spans="1:66" x14ac:dyDescent="0.25">
      <c r="A31" s="40" t="s">
        <v>133</v>
      </c>
      <c r="B31" s="46" t="s">
        <v>127</v>
      </c>
      <c r="C31" s="47">
        <v>2020</v>
      </c>
      <c r="D31" s="73">
        <f t="shared" si="0"/>
        <v>1.4997616709030113E-6</v>
      </c>
      <c r="E31" s="73">
        <f t="shared" si="1"/>
        <v>1.4595378571428571E-6</v>
      </c>
      <c r="F31" s="39">
        <f t="shared" si="2"/>
        <v>2.6874999999999997E-7</v>
      </c>
      <c r="G31" s="39">
        <f t="shared" si="3"/>
        <v>2.8249124137931035E-6</v>
      </c>
      <c r="H31" s="39">
        <f t="shared" si="4"/>
        <v>9</v>
      </c>
      <c r="I31" s="40"/>
      <c r="J31" s="56"/>
      <c r="K31" s="59">
        <v>2.6874999999999997E-7</v>
      </c>
      <c r="L31" s="60"/>
      <c r="M31" s="61">
        <v>2011</v>
      </c>
      <c r="N31" s="64"/>
      <c r="O31" s="70">
        <v>6.9999999999999997E-7</v>
      </c>
      <c r="P31" s="60"/>
      <c r="Q31" s="61">
        <v>2011</v>
      </c>
      <c r="R31" s="64"/>
      <c r="S31" s="70">
        <v>3.65E-7</v>
      </c>
      <c r="T31" s="60"/>
      <c r="U31" s="61">
        <v>2011</v>
      </c>
      <c r="V31" s="64"/>
      <c r="W31" s="70">
        <v>1.9636363636363636E-6</v>
      </c>
      <c r="X31" s="60"/>
      <c r="Y31" s="61">
        <v>2012</v>
      </c>
      <c r="Z31" s="64"/>
      <c r="AA31">
        <v>2.5518193939393941E-6</v>
      </c>
      <c r="AB31" s="60"/>
      <c r="AC31" s="61" t="s">
        <v>152</v>
      </c>
      <c r="AD31" s="64"/>
      <c r="AE31">
        <v>1.2770956249999999E-6</v>
      </c>
      <c r="AF31" s="60"/>
      <c r="AG31" s="61" t="s">
        <v>152</v>
      </c>
      <c r="AH31" s="64"/>
      <c r="AI31">
        <v>2.0871033846153846E-6</v>
      </c>
      <c r="AJ31" s="60"/>
      <c r="AK31" s="61" t="s">
        <v>152</v>
      </c>
      <c r="AL31" s="64"/>
      <c r="AM31">
        <v>2.8249124137931035E-6</v>
      </c>
      <c r="AN31" s="60"/>
      <c r="AO31" s="61" t="s">
        <v>152</v>
      </c>
      <c r="AP31" s="64"/>
      <c r="AQ31">
        <v>1.4595378571428571E-6</v>
      </c>
      <c r="AR31" s="60"/>
      <c r="AS31" s="61" t="s">
        <v>152</v>
      </c>
      <c r="AT31" s="64"/>
      <c r="AV31" s="60"/>
      <c r="AW31" s="61"/>
      <c r="AX31" s="64"/>
      <c r="AZ31" s="60"/>
      <c r="BA31" s="61"/>
      <c r="BB31" s="64"/>
      <c r="BD31" s="60"/>
      <c r="BE31" s="61"/>
      <c r="BF31" s="64"/>
      <c r="BG31" s="59">
        <v>8.71151733502487E-7</v>
      </c>
      <c r="BH31" s="60"/>
      <c r="BI31" s="61"/>
      <c r="BJ31" s="64"/>
      <c r="BK31" s="59">
        <v>8.8145674129016695E-7</v>
      </c>
      <c r="BL31" s="60"/>
      <c r="BM31" s="61"/>
      <c r="BN31" s="64"/>
    </row>
    <row r="32" spans="1:66" x14ac:dyDescent="0.25">
      <c r="A32" s="40" t="s">
        <v>45</v>
      </c>
      <c r="B32" s="46" t="s">
        <v>127</v>
      </c>
      <c r="C32" s="47">
        <v>2020</v>
      </c>
      <c r="D32" s="73">
        <f t="shared" si="0"/>
        <v>6.8181818181818191E-7</v>
      </c>
      <c r="E32" s="73">
        <f t="shared" si="1"/>
        <v>6.8181818181818191E-7</v>
      </c>
      <c r="F32" s="39">
        <f t="shared" si="2"/>
        <v>6.8181818181818191E-7</v>
      </c>
      <c r="G32" s="39">
        <f t="shared" si="3"/>
        <v>6.8181818181818191E-7</v>
      </c>
      <c r="H32" s="39">
        <f t="shared" si="4"/>
        <v>1</v>
      </c>
      <c r="I32" s="40"/>
      <c r="J32" s="56"/>
      <c r="K32" s="59"/>
      <c r="L32" s="60"/>
      <c r="M32" s="61"/>
      <c r="N32" s="64"/>
      <c r="O32" s="70"/>
      <c r="P32" s="60"/>
      <c r="Q32" s="61"/>
      <c r="R32" s="64"/>
      <c r="S32" s="70"/>
      <c r="T32" s="60"/>
      <c r="U32" s="61"/>
      <c r="V32" s="64"/>
      <c r="W32" s="70">
        <v>6.8181818181818191E-7</v>
      </c>
      <c r="X32" s="60"/>
      <c r="Y32" s="61">
        <v>2012</v>
      </c>
      <c r="Z32" s="64"/>
      <c r="AB32" s="60"/>
      <c r="AC32" s="61"/>
      <c r="AD32" s="64"/>
      <c r="AF32" s="60"/>
      <c r="AG32" s="61"/>
      <c r="AH32" s="64"/>
      <c r="AJ32" s="60"/>
      <c r="AK32" s="61"/>
      <c r="AL32" s="64"/>
      <c r="AN32" s="60"/>
      <c r="AO32" s="61"/>
      <c r="AP32" s="64"/>
      <c r="AR32" s="60"/>
      <c r="AS32" s="61"/>
      <c r="AT32" s="64"/>
      <c r="AV32" s="60"/>
      <c r="AW32" s="61"/>
      <c r="AX32" s="64"/>
      <c r="AZ32" s="60"/>
      <c r="BA32" s="61"/>
      <c r="BB32" s="64"/>
      <c r="BD32" s="60"/>
      <c r="BE32" s="61"/>
      <c r="BF32" s="64"/>
      <c r="BG32" s="59">
        <v>8.6433508988360203E-8</v>
      </c>
      <c r="BH32" s="60"/>
      <c r="BI32" s="61"/>
      <c r="BJ32" s="64"/>
      <c r="BK32" s="59">
        <v>8.87254658209883E-8</v>
      </c>
      <c r="BL32" s="60"/>
      <c r="BM32" s="61"/>
      <c r="BN32" s="64"/>
    </row>
    <row r="33" spans="1:66" x14ac:dyDescent="0.25">
      <c r="A33" s="40" t="s">
        <v>48</v>
      </c>
      <c r="B33" s="46" t="s">
        <v>127</v>
      </c>
      <c r="C33" s="47">
        <v>2020</v>
      </c>
      <c r="D33" s="73">
        <f t="shared" si="0"/>
        <v>7.6722835419269775E-4</v>
      </c>
      <c r="E33" s="73">
        <f t="shared" si="1"/>
        <v>8.0603015938461521E-4</v>
      </c>
      <c r="F33" s="39">
        <f t="shared" si="2"/>
        <v>4.6644386562499999E-4</v>
      </c>
      <c r="G33" s="39">
        <f t="shared" si="3"/>
        <v>1.0753658096551723E-3</v>
      </c>
      <c r="H33" s="39">
        <f t="shared" si="4"/>
        <v>5</v>
      </c>
      <c r="I33" s="40"/>
      <c r="J33" s="56"/>
      <c r="K33" s="59"/>
      <c r="L33" s="60"/>
      <c r="M33" s="61"/>
      <c r="N33" s="64"/>
      <c r="O33" s="70"/>
      <c r="P33" s="60"/>
      <c r="Q33" s="61"/>
      <c r="R33" s="64"/>
      <c r="S33" s="70"/>
      <c r="T33" s="60"/>
      <c r="U33" s="61"/>
      <c r="V33" s="64"/>
      <c r="W33" s="70"/>
      <c r="X33" s="60"/>
      <c r="Y33" s="61"/>
      <c r="Z33" s="64"/>
      <c r="AA33">
        <v>9.5522323272727284E-4</v>
      </c>
      <c r="AB33" s="60"/>
      <c r="AC33" s="61" t="s">
        <v>152</v>
      </c>
      <c r="AD33" s="64"/>
      <c r="AE33">
        <v>4.6644386562499999E-4</v>
      </c>
      <c r="AF33" s="60"/>
      <c r="AG33" s="61" t="s">
        <v>152</v>
      </c>
      <c r="AH33" s="64"/>
      <c r="AI33">
        <v>8.0603015938461521E-4</v>
      </c>
      <c r="AJ33" s="60"/>
      <c r="AK33" s="61" t="s">
        <v>152</v>
      </c>
      <c r="AL33" s="64"/>
      <c r="AM33">
        <v>1.0753658096551723E-3</v>
      </c>
      <c r="AN33" s="60"/>
      <c r="AO33" s="61" t="s">
        <v>152</v>
      </c>
      <c r="AP33" s="64"/>
      <c r="AQ33">
        <v>5.3307870357142853E-4</v>
      </c>
      <c r="AR33" s="60"/>
      <c r="AS33" s="61" t="s">
        <v>152</v>
      </c>
      <c r="AT33" s="64"/>
      <c r="AV33" s="60"/>
      <c r="AW33" s="61"/>
      <c r="AX33" s="64"/>
      <c r="AZ33" s="60"/>
      <c r="BA33" s="61"/>
      <c r="BB33" s="64"/>
      <c r="BD33" s="60"/>
      <c r="BE33" s="61"/>
      <c r="BF33" s="64"/>
      <c r="BG33" s="59">
        <v>3.2406107453837103E-5</v>
      </c>
      <c r="BH33" s="60"/>
      <c r="BI33" s="61"/>
      <c r="BJ33" s="64"/>
      <c r="BK33" s="59">
        <v>3.2019235197707799E-5</v>
      </c>
      <c r="BL33" s="60"/>
      <c r="BM33" s="61"/>
      <c r="BN33" s="64"/>
    </row>
    <row r="34" spans="1:66" x14ac:dyDescent="0.25">
      <c r="A34" s="40" t="s">
        <v>49</v>
      </c>
      <c r="B34" s="46" t="s">
        <v>127</v>
      </c>
      <c r="C34" s="47">
        <v>2020</v>
      </c>
      <c r="D34" s="73">
        <f t="shared" si="0"/>
        <v>7.093537564142742E-2</v>
      </c>
      <c r="E34" s="73">
        <f t="shared" si="1"/>
        <v>8.2639155511034484E-2</v>
      </c>
      <c r="F34" s="39">
        <f t="shared" si="2"/>
        <v>4.5495953189374994E-2</v>
      </c>
      <c r="G34" s="39">
        <f t="shared" si="3"/>
        <v>8.730359164484848E-2</v>
      </c>
      <c r="H34" s="39">
        <f t="shared" si="4"/>
        <v>5</v>
      </c>
      <c r="I34" s="40"/>
      <c r="J34" s="56"/>
      <c r="K34" s="59"/>
      <c r="L34" s="60"/>
      <c r="M34" s="61"/>
      <c r="N34" s="64"/>
      <c r="O34" s="70"/>
      <c r="P34" s="60"/>
      <c r="Q34" s="61"/>
      <c r="R34" s="64"/>
      <c r="S34" s="70"/>
      <c r="T34" s="60"/>
      <c r="U34" s="61"/>
      <c r="V34" s="64"/>
      <c r="W34" s="70"/>
      <c r="X34" s="60"/>
      <c r="Y34" s="61"/>
      <c r="Z34" s="64"/>
      <c r="AA34">
        <v>8.730359164484848E-2</v>
      </c>
      <c r="AB34" s="60"/>
      <c r="AC34" s="61" t="s">
        <v>152</v>
      </c>
      <c r="AD34" s="64"/>
      <c r="AE34">
        <v>4.5495953189374994E-2</v>
      </c>
      <c r="AF34" s="60"/>
      <c r="AG34" s="61" t="s">
        <v>152</v>
      </c>
      <c r="AH34" s="64"/>
      <c r="AI34">
        <v>8.7242802788307705E-2</v>
      </c>
      <c r="AJ34" s="60"/>
      <c r="AK34" s="61" t="s">
        <v>152</v>
      </c>
      <c r="AL34" s="64"/>
      <c r="AM34">
        <v>8.2639155511034484E-2</v>
      </c>
      <c r="AN34" s="60"/>
      <c r="AO34" s="61" t="s">
        <v>152</v>
      </c>
      <c r="AP34" s="64"/>
      <c r="AQ34">
        <v>5.1995375073571423E-2</v>
      </c>
      <c r="AR34" s="39"/>
      <c r="AS34" s="61" t="s">
        <v>152</v>
      </c>
      <c r="AT34" s="64"/>
      <c r="AV34" s="60"/>
      <c r="AW34" s="61"/>
      <c r="AX34" s="64"/>
      <c r="AZ34" s="39"/>
      <c r="BA34" s="61"/>
      <c r="BB34" s="64"/>
      <c r="BD34" s="60"/>
      <c r="BE34" s="61"/>
      <c r="BF34" s="64"/>
      <c r="BG34" s="59">
        <v>2.9242293744744701E-6</v>
      </c>
      <c r="BH34" s="60"/>
      <c r="BI34" s="61"/>
      <c r="BJ34" s="64"/>
      <c r="BK34" s="59">
        <v>2.6675115222592801E-6</v>
      </c>
      <c r="BL34" s="60"/>
      <c r="BM34" s="61"/>
      <c r="BN34" s="64"/>
    </row>
    <row r="35" spans="1:66" x14ac:dyDescent="0.25">
      <c r="A35" s="40" t="s">
        <v>51</v>
      </c>
      <c r="B35" s="46" t="s">
        <v>127</v>
      </c>
      <c r="C35" s="47">
        <v>2020</v>
      </c>
      <c r="D35" s="73">
        <f t="shared" si="0"/>
        <v>3.0099348579102475E-4</v>
      </c>
      <c r="E35" s="73">
        <f t="shared" si="1"/>
        <v>3.331489888392857E-4</v>
      </c>
      <c r="F35" s="39">
        <f t="shared" si="2"/>
        <v>3.4950000000000004E-6</v>
      </c>
      <c r="G35" s="39">
        <f t="shared" si="3"/>
        <v>7.0269493655172421E-4</v>
      </c>
      <c r="H35" s="39">
        <f t="shared" si="4"/>
        <v>8</v>
      </c>
      <c r="I35" s="40"/>
      <c r="J35" s="56"/>
      <c r="K35" s="59">
        <v>3.6437500000000001E-6</v>
      </c>
      <c r="L35" s="60"/>
      <c r="M35" s="61">
        <v>2011</v>
      </c>
      <c r="N35" s="64"/>
      <c r="O35" s="70">
        <v>5.4149999999999998E-6</v>
      </c>
      <c r="P35" s="60"/>
      <c r="Q35" s="61">
        <v>2011</v>
      </c>
      <c r="R35" s="64"/>
      <c r="S35" s="70">
        <v>3.4950000000000004E-6</v>
      </c>
      <c r="T35" s="60"/>
      <c r="U35" s="61">
        <v>2011</v>
      </c>
      <c r="V35" s="64"/>
      <c r="W35" s="70"/>
      <c r="X35" s="60"/>
      <c r="Y35" s="61"/>
      <c r="Z35" s="64"/>
      <c r="AA35">
        <v>5.9608096363636366E-4</v>
      </c>
      <c r="AB35" s="60"/>
      <c r="AC35" s="61" t="s">
        <v>152</v>
      </c>
      <c r="AD35" s="64"/>
      <c r="AE35">
        <v>3.1093905624999998E-4</v>
      </c>
      <c r="AF35" s="60"/>
      <c r="AG35" s="61" t="s">
        <v>152</v>
      </c>
      <c r="AH35" s="64"/>
      <c r="AI35">
        <v>4.3032025846153845E-4</v>
      </c>
      <c r="AJ35" s="60"/>
      <c r="AK35" s="61" t="s">
        <v>152</v>
      </c>
      <c r="AL35" s="64"/>
      <c r="AM35">
        <v>7.0269493655172421E-4</v>
      </c>
      <c r="AN35" s="60"/>
      <c r="AO35" s="61" t="s">
        <v>152</v>
      </c>
      <c r="AP35" s="64"/>
      <c r="AQ35">
        <v>3.5535892142857142E-4</v>
      </c>
      <c r="AR35" s="60"/>
      <c r="AS35" s="61" t="s">
        <v>152</v>
      </c>
      <c r="AT35" s="64"/>
      <c r="AV35" s="60"/>
      <c r="AW35" s="61"/>
      <c r="AX35" s="64"/>
      <c r="AZ35" s="60"/>
      <c r="BA35" s="61"/>
      <c r="BB35" s="64"/>
      <c r="BD35" s="60"/>
      <c r="BE35" s="61"/>
      <c r="BF35" s="64"/>
      <c r="BG35" s="59">
        <v>6.5584020640986805E-5</v>
      </c>
      <c r="BH35" s="60"/>
      <c r="BI35" s="61"/>
      <c r="BJ35" s="64"/>
      <c r="BK35" s="59">
        <v>6.9825303136086602E-5</v>
      </c>
      <c r="BL35" s="60"/>
      <c r="BM35" s="61"/>
      <c r="BN35" s="64"/>
    </row>
    <row r="36" spans="1:66" x14ac:dyDescent="0.25">
      <c r="A36" s="40" t="s">
        <v>52</v>
      </c>
      <c r="B36" s="46" t="s">
        <v>127</v>
      </c>
      <c r="C36" s="47">
        <v>2020</v>
      </c>
      <c r="D36" s="73">
        <f t="shared" si="0"/>
        <v>1.3068893035783181E-6</v>
      </c>
      <c r="E36" s="73">
        <f t="shared" si="1"/>
        <v>1.4493163076923074E-6</v>
      </c>
      <c r="F36" s="39">
        <f t="shared" si="2"/>
        <v>7.9014937500000003E-7</v>
      </c>
      <c r="G36" s="39">
        <f t="shared" si="3"/>
        <v>1.7479420689655169E-6</v>
      </c>
      <c r="H36" s="39">
        <f t="shared" si="4"/>
        <v>5</v>
      </c>
      <c r="I36" s="40"/>
      <c r="J36" s="56"/>
      <c r="K36" s="59"/>
      <c r="L36" s="60"/>
      <c r="M36" s="61"/>
      <c r="N36" s="64"/>
      <c r="O36" s="70"/>
      <c r="P36" s="60"/>
      <c r="Q36" s="61"/>
      <c r="R36" s="64"/>
      <c r="S36" s="70"/>
      <c r="T36" s="60"/>
      <c r="U36" s="61"/>
      <c r="V36" s="64"/>
      <c r="W36" s="70"/>
      <c r="X36" s="60"/>
      <c r="Y36" s="61"/>
      <c r="Z36" s="64"/>
      <c r="AA36">
        <v>1.644010909090909E-6</v>
      </c>
      <c r="AB36" s="60"/>
      <c r="AC36" s="61" t="s">
        <v>152</v>
      </c>
      <c r="AD36" s="64"/>
      <c r="AE36">
        <v>7.9014937500000003E-7</v>
      </c>
      <c r="AF36" s="60"/>
      <c r="AG36" s="61" t="s">
        <v>152</v>
      </c>
      <c r="AH36" s="64"/>
      <c r="AI36">
        <v>1.4493163076923074E-6</v>
      </c>
      <c r="AJ36" s="60"/>
      <c r="AK36" s="61" t="s">
        <v>152</v>
      </c>
      <c r="AL36" s="64"/>
      <c r="AM36">
        <v>1.7479420689655169E-6</v>
      </c>
      <c r="AN36" s="60"/>
      <c r="AO36" s="61" t="s">
        <v>152</v>
      </c>
      <c r="AP36" s="64"/>
      <c r="AQ36">
        <v>9.030278571428572E-7</v>
      </c>
      <c r="AR36" s="60"/>
      <c r="AS36" s="61" t="s">
        <v>152</v>
      </c>
      <c r="AT36" s="64"/>
      <c r="AV36" s="60"/>
      <c r="AW36" s="61"/>
      <c r="AX36" s="64"/>
      <c r="AZ36" s="60"/>
      <c r="BA36" s="61"/>
      <c r="BB36" s="64"/>
      <c r="BD36" s="60"/>
      <c r="BE36" s="61"/>
      <c r="BF36" s="64"/>
      <c r="BG36" s="59">
        <v>3.2088209091245198E-6</v>
      </c>
      <c r="BH36" s="60"/>
      <c r="BI36" s="61"/>
      <c r="BJ36" s="64"/>
      <c r="BK36" s="59">
        <v>3.2218640786681802E-6</v>
      </c>
      <c r="BL36" s="60"/>
      <c r="BM36" s="61"/>
      <c r="BN36" s="64"/>
    </row>
    <row r="37" spans="1:66" x14ac:dyDescent="0.25">
      <c r="A37" s="40" t="s">
        <v>134</v>
      </c>
      <c r="B37" s="46" t="s">
        <v>127</v>
      </c>
      <c r="C37" s="47">
        <v>2020</v>
      </c>
      <c r="D37" s="73">
        <f t="shared" si="0"/>
        <v>3.7139942753804305E-6</v>
      </c>
      <c r="E37" s="73">
        <f t="shared" si="1"/>
        <v>3.4418942857142859E-6</v>
      </c>
      <c r="F37" s="39">
        <f t="shared" si="2"/>
        <v>0</v>
      </c>
      <c r="G37" s="39">
        <f t="shared" si="3"/>
        <v>9.9299999999999998E-6</v>
      </c>
      <c r="H37" s="39">
        <f t="shared" si="4"/>
        <v>9</v>
      </c>
      <c r="I37" s="40"/>
      <c r="J37" s="56"/>
      <c r="K37" s="59">
        <v>6.2500000000000005E-9</v>
      </c>
      <c r="L37" s="60"/>
      <c r="M37" s="61">
        <v>2011</v>
      </c>
      <c r="N37" s="64"/>
      <c r="O37" s="70">
        <v>9.9299999999999998E-6</v>
      </c>
      <c r="P37" s="60"/>
      <c r="Q37" s="61">
        <v>2011</v>
      </c>
      <c r="R37" s="64"/>
      <c r="S37" s="70">
        <v>0</v>
      </c>
      <c r="T37" s="60"/>
      <c r="U37" s="61">
        <v>2011</v>
      </c>
      <c r="V37" s="64"/>
      <c r="W37" s="70">
        <v>6.2727272727272732E-10</v>
      </c>
      <c r="X37" s="60"/>
      <c r="Y37" s="61">
        <v>2012</v>
      </c>
      <c r="Z37" s="64"/>
      <c r="AA37">
        <v>5.8387066666666674E-6</v>
      </c>
      <c r="AB37" s="60"/>
      <c r="AC37" s="61" t="s">
        <v>152</v>
      </c>
      <c r="AD37" s="64"/>
      <c r="AE37">
        <v>3.0116575000000003E-6</v>
      </c>
      <c r="AF37" s="60"/>
      <c r="AG37" s="61" t="s">
        <v>152</v>
      </c>
      <c r="AH37" s="64"/>
      <c r="AI37">
        <v>4.7664886153846147E-6</v>
      </c>
      <c r="AJ37" s="60"/>
      <c r="AK37" s="61" t="s">
        <v>152</v>
      </c>
      <c r="AL37" s="64"/>
      <c r="AM37">
        <v>6.4303241379310339E-6</v>
      </c>
      <c r="AN37" s="60"/>
      <c r="AO37" s="61" t="s">
        <v>152</v>
      </c>
      <c r="AP37" s="64"/>
      <c r="AQ37">
        <v>3.4418942857142859E-6</v>
      </c>
      <c r="AR37" s="60"/>
      <c r="AS37" s="61" t="s">
        <v>152</v>
      </c>
      <c r="AT37" s="64"/>
      <c r="AV37" s="60"/>
      <c r="AW37" s="61"/>
      <c r="AX37" s="64"/>
      <c r="AZ37" s="60"/>
      <c r="BA37" s="61"/>
      <c r="BB37" s="64"/>
      <c r="BD37" s="60"/>
      <c r="BE37" s="61"/>
      <c r="BF37" s="64"/>
      <c r="BG37" s="59">
        <v>8.9663513349742106E-9</v>
      </c>
      <c r="BH37" s="60"/>
      <c r="BI37" s="61"/>
      <c r="BJ37" s="64"/>
      <c r="BK37" s="59">
        <v>8.2678692923423702E-9</v>
      </c>
      <c r="BL37" s="60"/>
      <c r="BM37" s="61"/>
      <c r="BN37" s="64"/>
    </row>
    <row r="38" spans="1:66" x14ac:dyDescent="0.25">
      <c r="A38" s="40" t="s">
        <v>145</v>
      </c>
      <c r="B38" s="46" t="s">
        <v>127</v>
      </c>
      <c r="C38" s="47">
        <v>2020</v>
      </c>
      <c r="D38" s="73">
        <f t="shared" si="0"/>
        <v>2.6209198926386394E-2</v>
      </c>
      <c r="E38" s="73">
        <f t="shared" si="1"/>
        <v>2.5020319003076923E-2</v>
      </c>
      <c r="F38" s="39">
        <f t="shared" si="2"/>
        <v>1.6558113900000001E-2</v>
      </c>
      <c r="G38" s="39">
        <f t="shared" si="3"/>
        <v>3.7882607234482758E-2</v>
      </c>
      <c r="H38" s="39">
        <f t="shared" si="4"/>
        <v>5</v>
      </c>
      <c r="I38" s="40"/>
      <c r="J38" s="56"/>
      <c r="K38" s="59"/>
      <c r="L38" s="60"/>
      <c r="M38" s="61"/>
      <c r="N38" s="64"/>
      <c r="O38" s="70"/>
      <c r="P38" s="60"/>
      <c r="Q38" s="61"/>
      <c r="R38" s="64"/>
      <c r="S38" s="70"/>
      <c r="T38" s="60"/>
      <c r="U38" s="61"/>
      <c r="V38" s="64"/>
      <c r="W38" s="70"/>
      <c r="X38" s="60"/>
      <c r="Y38" s="61"/>
      <c r="Z38" s="64"/>
      <c r="AA38">
        <v>3.2661395751515158E-2</v>
      </c>
      <c r="AB38" s="60"/>
      <c r="AC38" s="61" t="s">
        <v>152</v>
      </c>
      <c r="AD38" s="64"/>
      <c r="AE38">
        <v>1.6558113900000001E-2</v>
      </c>
      <c r="AF38" s="60"/>
      <c r="AG38" s="61" t="s">
        <v>152</v>
      </c>
      <c r="AH38" s="64"/>
      <c r="AI38">
        <v>2.5020319003076923E-2</v>
      </c>
      <c r="AJ38" s="60"/>
      <c r="AK38" s="61" t="s">
        <v>152</v>
      </c>
      <c r="AL38" s="64"/>
      <c r="AM38">
        <v>3.7882607234482758E-2</v>
      </c>
      <c r="AN38" s="60"/>
      <c r="AO38" s="61" t="s">
        <v>152</v>
      </c>
      <c r="AP38" s="64"/>
      <c r="AQ38">
        <v>1.8923558742857144E-2</v>
      </c>
      <c r="AR38" s="60"/>
      <c r="AS38" s="61" t="s">
        <v>152</v>
      </c>
      <c r="AT38" s="64"/>
      <c r="AV38" s="60"/>
      <c r="AW38" s="61"/>
      <c r="AX38" s="64"/>
      <c r="AZ38" s="60"/>
      <c r="BA38" s="61"/>
      <c r="BB38" s="64"/>
      <c r="BD38" s="60"/>
      <c r="BE38" s="61"/>
      <c r="BF38" s="64"/>
      <c r="BG38" s="59">
        <v>1.3604195919905601E-4</v>
      </c>
      <c r="BH38" s="60"/>
      <c r="BI38" s="61"/>
      <c r="BJ38" s="64"/>
      <c r="BK38" s="59">
        <v>1.44585731097517E-4</v>
      </c>
      <c r="BL38" s="60"/>
      <c r="BM38" s="61"/>
      <c r="BN38" s="64"/>
    </row>
    <row r="39" spans="1:66" x14ac:dyDescent="0.25">
      <c r="A39" s="40" t="s">
        <v>54</v>
      </c>
      <c r="B39" s="46" t="s">
        <v>127</v>
      </c>
      <c r="C39" s="47">
        <v>2020</v>
      </c>
      <c r="D39" s="73">
        <f t="shared" si="0"/>
        <v>1.522002756863022E-5</v>
      </c>
      <c r="E39" s="73">
        <f t="shared" si="1"/>
        <v>1.6388899692307694E-5</v>
      </c>
      <c r="F39" s="39">
        <f t="shared" si="2"/>
        <v>9.6448175000000008E-6</v>
      </c>
      <c r="G39" s="39">
        <f t="shared" si="3"/>
        <v>2.0081089655172412E-5</v>
      </c>
      <c r="H39" s="39">
        <f t="shared" si="4"/>
        <v>5</v>
      </c>
      <c r="I39" s="40"/>
      <c r="J39" s="56"/>
      <c r="K39" s="59"/>
      <c r="L39" s="60"/>
      <c r="M39" s="61"/>
      <c r="N39" s="64"/>
      <c r="O39" s="70"/>
      <c r="P39" s="60"/>
      <c r="Q39" s="61"/>
      <c r="R39" s="64"/>
      <c r="S39" s="70"/>
      <c r="T39" s="60"/>
      <c r="U39" s="61"/>
      <c r="V39" s="64"/>
      <c r="W39" s="70"/>
      <c r="X39" s="60"/>
      <c r="Y39" s="61"/>
      <c r="Z39" s="64"/>
      <c r="AA39">
        <v>1.8962682424242426E-5</v>
      </c>
      <c r="AB39" s="60"/>
      <c r="AC39" s="61" t="s">
        <v>152</v>
      </c>
      <c r="AD39" s="64"/>
      <c r="AE39">
        <v>9.6448175000000008E-6</v>
      </c>
      <c r="AF39" s="60"/>
      <c r="AG39" s="61" t="s">
        <v>152</v>
      </c>
      <c r="AH39" s="64"/>
      <c r="AI39">
        <v>1.6388899692307694E-5</v>
      </c>
      <c r="AJ39" s="60"/>
      <c r="AK39" s="61" t="s">
        <v>152</v>
      </c>
      <c r="AL39" s="64"/>
      <c r="AM39">
        <v>2.0081089655172412E-5</v>
      </c>
      <c r="AN39" s="60"/>
      <c r="AO39" s="61" t="s">
        <v>152</v>
      </c>
      <c r="AP39" s="64"/>
      <c r="AQ39">
        <v>1.1022648571428572E-5</v>
      </c>
      <c r="AR39" s="60"/>
      <c r="AS39" s="61" t="s">
        <v>152</v>
      </c>
      <c r="AT39" s="64"/>
      <c r="AV39" s="60"/>
      <c r="AW39" s="61"/>
      <c r="AX39" s="64"/>
      <c r="AZ39" s="60"/>
      <c r="BA39" s="61"/>
      <c r="BB39" s="64"/>
      <c r="BD39" s="60"/>
      <c r="BE39" s="61"/>
      <c r="BF39" s="64"/>
      <c r="BG39" s="59">
        <v>0</v>
      </c>
      <c r="BH39" s="60"/>
      <c r="BI39" s="61"/>
      <c r="BJ39" s="64"/>
      <c r="BK39" s="59">
        <v>0</v>
      </c>
      <c r="BL39" s="60"/>
      <c r="BM39" s="61"/>
      <c r="BN39" s="64"/>
    </row>
    <row r="40" spans="1:66" x14ac:dyDescent="0.25">
      <c r="A40" s="40" t="s">
        <v>135</v>
      </c>
      <c r="B40" s="46" t="s">
        <v>127</v>
      </c>
      <c r="C40" s="47">
        <v>2020</v>
      </c>
      <c r="D40" s="73">
        <f t="shared" si="0"/>
        <v>4.5259090909090913E-8</v>
      </c>
      <c r="E40" s="73">
        <f t="shared" si="1"/>
        <v>4.0518181818181815E-8</v>
      </c>
      <c r="F40" s="39">
        <f t="shared" si="2"/>
        <v>0</v>
      </c>
      <c r="G40" s="39">
        <f t="shared" si="3"/>
        <v>1.0000000000000001E-7</v>
      </c>
      <c r="H40" s="39">
        <f t="shared" si="4"/>
        <v>4</v>
      </c>
      <c r="I40" s="40"/>
      <c r="J40" s="56"/>
      <c r="K40" s="59">
        <v>1.0000000000000001E-7</v>
      </c>
      <c r="L40" s="60"/>
      <c r="M40" s="61">
        <v>2011</v>
      </c>
      <c r="N40" s="64"/>
      <c r="O40" s="70">
        <v>8.0000000000000002E-8</v>
      </c>
      <c r="P40" s="60"/>
      <c r="Q40" s="61">
        <v>2011</v>
      </c>
      <c r="R40" s="64"/>
      <c r="S40" s="70">
        <v>0</v>
      </c>
      <c r="T40" s="60"/>
      <c r="U40" s="61">
        <v>2011</v>
      </c>
      <c r="V40" s="64"/>
      <c r="W40" s="70">
        <v>1.0363636363636365E-9</v>
      </c>
      <c r="X40" s="60"/>
      <c r="Y40" s="61">
        <v>2012</v>
      </c>
      <c r="Z40" s="64"/>
      <c r="AA40" s="70"/>
      <c r="AB40" s="60"/>
      <c r="AC40" s="61"/>
      <c r="AD40" s="64"/>
      <c r="AE40" s="70"/>
      <c r="AF40" s="60"/>
      <c r="AG40" s="61"/>
      <c r="AH40" s="64"/>
      <c r="AI40" s="70"/>
      <c r="AJ40" s="60"/>
      <c r="AK40" s="61"/>
      <c r="AL40" s="64"/>
      <c r="AM40" s="70"/>
      <c r="AN40" s="60"/>
      <c r="AO40" s="61"/>
      <c r="AP40" s="64"/>
      <c r="AQ40" s="70"/>
      <c r="AR40" s="60"/>
      <c r="AS40" s="61"/>
      <c r="AT40" s="64"/>
      <c r="AU40" s="70"/>
      <c r="AV40" s="60"/>
      <c r="AW40" s="61"/>
      <c r="AX40" s="64"/>
      <c r="AY40" s="70"/>
      <c r="AZ40" s="60"/>
      <c r="BA40" s="61"/>
      <c r="BB40" s="64"/>
      <c r="BC40" s="70"/>
      <c r="BD40" s="60"/>
      <c r="BE40" s="61"/>
      <c r="BF40" s="64"/>
      <c r="BG40" s="70"/>
      <c r="BH40" s="60"/>
      <c r="BI40" s="61"/>
      <c r="BJ40" s="64"/>
      <c r="BL40" s="60"/>
      <c r="BM40" s="61"/>
      <c r="BN40" s="64"/>
    </row>
    <row r="41" spans="1:66" x14ac:dyDescent="0.25">
      <c r="A41" s="40" t="s">
        <v>56</v>
      </c>
      <c r="B41" s="46" t="s">
        <v>127</v>
      </c>
      <c r="C41" s="47">
        <v>2020</v>
      </c>
      <c r="D41" s="73">
        <f t="shared" si="0"/>
        <v>3.5902350928573028E-5</v>
      </c>
      <c r="E41" s="73">
        <f t="shared" si="1"/>
        <v>4.5265376250000002E-5</v>
      </c>
      <c r="F41" s="39">
        <f t="shared" si="2"/>
        <v>1E-8</v>
      </c>
      <c r="G41" s="39">
        <f t="shared" si="3"/>
        <v>8.7415855757575753E-5</v>
      </c>
      <c r="H41" s="39">
        <f t="shared" si="4"/>
        <v>9</v>
      </c>
      <c r="I41" s="40"/>
      <c r="J41" s="56"/>
      <c r="K41" s="59">
        <v>1.3750000000000001E-7</v>
      </c>
      <c r="L41" s="60"/>
      <c r="M41" s="61">
        <v>2011</v>
      </c>
      <c r="N41" s="64"/>
      <c r="O41" s="70">
        <v>1.15E-7</v>
      </c>
      <c r="P41" s="60"/>
      <c r="Q41" s="61">
        <v>2011</v>
      </c>
      <c r="R41" s="64"/>
      <c r="S41" s="70">
        <v>1E-8</v>
      </c>
      <c r="T41" s="60"/>
      <c r="U41" s="61">
        <v>2011</v>
      </c>
      <c r="V41" s="64"/>
      <c r="W41" s="70">
        <v>3.5454545454545458E-7</v>
      </c>
      <c r="X41" s="60"/>
      <c r="Y41" s="61">
        <v>2012</v>
      </c>
      <c r="Z41" s="64"/>
      <c r="AA41">
        <v>8.7415855757575753E-5</v>
      </c>
      <c r="AB41" s="60"/>
      <c r="AC41" s="61" t="s">
        <v>152</v>
      </c>
      <c r="AD41" s="64"/>
      <c r="AE41">
        <v>4.5265376250000002E-5</v>
      </c>
      <c r="AF41" s="60"/>
      <c r="AG41" s="61" t="s">
        <v>152</v>
      </c>
      <c r="AH41" s="64"/>
      <c r="AI41">
        <v>5.6173466461538468E-5</v>
      </c>
      <c r="AJ41" s="60"/>
      <c r="AK41" s="61" t="s">
        <v>152</v>
      </c>
      <c r="AL41" s="64"/>
      <c r="AM41">
        <v>8.1917555862068975E-5</v>
      </c>
      <c r="AN41" s="60"/>
      <c r="AO41" s="61" t="s">
        <v>152</v>
      </c>
      <c r="AP41" s="64"/>
      <c r="AQ41">
        <v>5.1731858571428576E-5</v>
      </c>
      <c r="AR41" s="60"/>
      <c r="AS41" s="61" t="s">
        <v>152</v>
      </c>
      <c r="AT41" s="64"/>
      <c r="AV41" s="60"/>
      <c r="AW41" s="61"/>
      <c r="AX41" s="64"/>
      <c r="AZ41" s="60"/>
      <c r="BA41" s="61"/>
      <c r="BB41" s="64"/>
      <c r="BD41" s="60"/>
      <c r="BE41" s="61"/>
      <c r="BF41" s="64"/>
      <c r="BG41" s="59">
        <v>5.4794370595887499E-8</v>
      </c>
      <c r="BH41" s="60"/>
      <c r="BI41" s="61"/>
      <c r="BJ41" s="64"/>
      <c r="BK41" s="70">
        <v>5.0525869120417201E-8</v>
      </c>
      <c r="BL41" s="60"/>
      <c r="BM41" s="61"/>
      <c r="BN41" s="64"/>
    </row>
    <row r="42" spans="1:66" x14ac:dyDescent="0.25">
      <c r="A42" s="40" t="s">
        <v>58</v>
      </c>
      <c r="B42" s="46" t="s">
        <v>127</v>
      </c>
      <c r="C42" s="47">
        <v>2020</v>
      </c>
      <c r="D42" s="73">
        <f t="shared" si="0"/>
        <v>9.1184770468896487E-4</v>
      </c>
      <c r="E42" s="73">
        <f t="shared" si="1"/>
        <v>7.863159999999999E-4</v>
      </c>
      <c r="F42" s="39">
        <f t="shared" si="2"/>
        <v>6.4424111562499996E-4</v>
      </c>
      <c r="G42" s="39">
        <f t="shared" si="3"/>
        <v>1.2417878484848486E-3</v>
      </c>
      <c r="H42" s="39">
        <f t="shared" si="4"/>
        <v>5</v>
      </c>
      <c r="I42" s="40"/>
      <c r="J42" s="56"/>
      <c r="K42" s="59"/>
      <c r="L42" s="60"/>
      <c r="M42" s="61"/>
      <c r="N42" s="64"/>
      <c r="O42" s="70"/>
      <c r="P42" s="60"/>
      <c r="Q42" s="61"/>
      <c r="R42" s="64"/>
      <c r="S42" s="70"/>
      <c r="T42" s="60"/>
      <c r="U42" s="61"/>
      <c r="V42" s="64"/>
      <c r="W42" s="70"/>
      <c r="X42" s="60"/>
      <c r="Y42" s="61"/>
      <c r="Z42" s="64"/>
      <c r="AA42">
        <v>1.2417878484848486E-3</v>
      </c>
      <c r="AB42" s="60"/>
      <c r="AC42" s="61" t="s">
        <v>152</v>
      </c>
      <c r="AD42" s="64"/>
      <c r="AE42">
        <v>6.4424111562499996E-4</v>
      </c>
      <c r="AF42" s="60"/>
      <c r="AG42" s="61" t="s">
        <v>152</v>
      </c>
      <c r="AH42" s="64"/>
      <c r="AI42">
        <v>7.863159999999999E-4</v>
      </c>
      <c r="AJ42" s="60"/>
      <c r="AK42" s="61" t="s">
        <v>152</v>
      </c>
      <c r="AL42" s="64"/>
      <c r="AM42">
        <v>1.1506179986206897E-3</v>
      </c>
      <c r="AN42" s="60"/>
      <c r="AO42" s="61" t="s">
        <v>152</v>
      </c>
      <c r="AP42" s="64"/>
      <c r="AQ42">
        <v>7.3627556071428565E-4</v>
      </c>
      <c r="AR42" s="60"/>
      <c r="AS42" s="61" t="s">
        <v>152</v>
      </c>
      <c r="AT42" s="64"/>
      <c r="AV42" s="60"/>
      <c r="AW42" s="61"/>
      <c r="AX42" s="64"/>
      <c r="AZ42" s="60"/>
      <c r="BA42" s="61"/>
      <c r="BB42" s="64"/>
      <c r="BD42" s="60"/>
      <c r="BE42" s="61"/>
      <c r="BF42" s="64"/>
      <c r="BG42" s="59">
        <v>7.3600498012690602E-4</v>
      </c>
      <c r="BH42" s="60"/>
      <c r="BI42" s="61"/>
      <c r="BJ42" s="64"/>
      <c r="BK42" s="59">
        <v>7.77565119677282E-4</v>
      </c>
      <c r="BL42" s="60"/>
      <c r="BM42" s="61"/>
      <c r="BN42" s="64"/>
    </row>
    <row r="43" spans="1:66" x14ac:dyDescent="0.25">
      <c r="A43" s="41"/>
      <c r="B43" s="48"/>
      <c r="C43" s="48"/>
      <c r="D43" s="41"/>
      <c r="E43" s="41"/>
      <c r="F43" s="41"/>
      <c r="G43" s="41"/>
      <c r="H43" s="52"/>
      <c r="I43" s="41"/>
      <c r="J43" s="57"/>
      <c r="K43" s="41"/>
      <c r="L43" s="41"/>
      <c r="M43" s="52"/>
      <c r="N43" s="57"/>
      <c r="O43" s="41"/>
      <c r="P43" s="41"/>
      <c r="Q43" s="52"/>
      <c r="R43" s="57"/>
      <c r="S43" s="41"/>
      <c r="T43" s="41"/>
      <c r="U43" s="52"/>
      <c r="V43" s="57"/>
      <c r="W43" s="41"/>
      <c r="X43" s="41"/>
      <c r="Y43" s="52"/>
      <c r="Z43" s="57"/>
      <c r="AA43" s="41"/>
      <c r="AB43" s="41"/>
      <c r="AC43" s="52"/>
      <c r="AD43" s="57"/>
      <c r="AE43" s="41"/>
      <c r="AF43" s="41"/>
      <c r="AG43" s="52"/>
      <c r="AH43" s="57"/>
      <c r="AI43" s="41"/>
      <c r="AJ43" s="41"/>
      <c r="AK43" s="52"/>
      <c r="AL43" s="57"/>
      <c r="AM43" s="41"/>
      <c r="AN43" s="41"/>
      <c r="AO43" s="52"/>
      <c r="AP43" s="57"/>
      <c r="AQ43" s="41"/>
      <c r="AR43" s="41"/>
      <c r="AS43" s="52"/>
      <c r="AT43" s="57"/>
      <c r="AU43" s="41"/>
      <c r="AV43" s="41"/>
      <c r="AW43" s="52"/>
      <c r="AX43" s="57"/>
      <c r="AY43" s="41"/>
      <c r="AZ43" s="41"/>
      <c r="BA43" s="52"/>
      <c r="BB43" s="57"/>
      <c r="BC43" s="41"/>
      <c r="BD43" s="41"/>
      <c r="BE43" s="52"/>
      <c r="BF43" s="57"/>
      <c r="BG43" s="41"/>
      <c r="BH43" s="41"/>
      <c r="BI43" s="52"/>
      <c r="BJ43" s="57"/>
      <c r="BK43" s="41"/>
      <c r="BL43" s="41"/>
      <c r="BM43" s="52"/>
      <c r="BN43" s="57"/>
    </row>
  </sheetData>
  <mergeCells count="28">
    <mergeCell ref="W1:Z1"/>
    <mergeCell ref="W2:Z2"/>
    <mergeCell ref="AE2:AH2"/>
    <mergeCell ref="AE1:AH1"/>
    <mergeCell ref="D1:J1"/>
    <mergeCell ref="K1:N1"/>
    <mergeCell ref="O1:R1"/>
    <mergeCell ref="S1:V1"/>
    <mergeCell ref="K2:N2"/>
    <mergeCell ref="O2:R2"/>
    <mergeCell ref="S2:V2"/>
    <mergeCell ref="AU1:AX1"/>
    <mergeCell ref="AQ2:AT2"/>
    <mergeCell ref="AU2:AX2"/>
    <mergeCell ref="AA1:AD1"/>
    <mergeCell ref="AA2:AD2"/>
    <mergeCell ref="AI1:AL1"/>
    <mergeCell ref="AM1:AP1"/>
    <mergeCell ref="AI2:AL2"/>
    <mergeCell ref="AM2:AP2"/>
    <mergeCell ref="AQ1:AT1"/>
    <mergeCell ref="AY2:BB2"/>
    <mergeCell ref="BG1:BJ1"/>
    <mergeCell ref="BG2:BJ2"/>
    <mergeCell ref="BK1:BN1"/>
    <mergeCell ref="BK2:BN2"/>
    <mergeCell ref="BC1:BF1"/>
    <mergeCell ref="BC2:BF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BV7"/>
  <sheetViews>
    <sheetView workbookViewId="0">
      <pane xSplit="1" topLeftCell="B1" activePane="topRight" state="frozen"/>
      <selection pane="topRight" activeCell="H6" sqref="H6"/>
    </sheetView>
  </sheetViews>
  <sheetFormatPr defaultRowHeight="15" x14ac:dyDescent="0.25"/>
  <sheetData>
    <row r="1" spans="1:7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365</v>
      </c>
      <c r="L1" s="121"/>
      <c r="M1" s="121"/>
      <c r="N1" s="122"/>
      <c r="O1" s="114" t="s">
        <v>367</v>
      </c>
      <c r="P1" s="115"/>
      <c r="Q1" s="115"/>
      <c r="R1" s="116"/>
      <c r="S1" s="120" t="s">
        <v>368</v>
      </c>
      <c r="T1" s="121"/>
      <c r="U1" s="121"/>
      <c r="V1" s="122"/>
      <c r="W1" s="114" t="s">
        <v>369</v>
      </c>
      <c r="X1" s="115"/>
      <c r="Y1" s="115"/>
      <c r="Z1" s="116"/>
      <c r="AA1" s="120" t="s">
        <v>372</v>
      </c>
      <c r="AB1" s="121"/>
      <c r="AC1" s="121"/>
      <c r="AD1" s="122"/>
      <c r="AE1" s="114" t="s">
        <v>191</v>
      </c>
      <c r="AF1" s="115"/>
      <c r="AG1" s="115"/>
      <c r="AH1" s="116"/>
      <c r="AI1" s="120" t="s">
        <v>334</v>
      </c>
      <c r="AJ1" s="121"/>
      <c r="AK1" s="121"/>
      <c r="AL1" s="122"/>
      <c r="AM1" s="114" t="s">
        <v>373</v>
      </c>
      <c r="AN1" s="115"/>
      <c r="AO1" s="115"/>
      <c r="AP1" s="116"/>
      <c r="AQ1" s="120" t="s">
        <v>374</v>
      </c>
      <c r="AR1" s="121"/>
      <c r="AS1" s="121"/>
      <c r="AT1" s="122"/>
      <c r="AU1" s="114" t="s">
        <v>375</v>
      </c>
      <c r="AV1" s="115"/>
      <c r="AW1" s="115"/>
      <c r="AX1" s="116"/>
      <c r="AY1" s="120" t="s">
        <v>348</v>
      </c>
      <c r="AZ1" s="121"/>
      <c r="BA1" s="121"/>
      <c r="BB1" s="122"/>
      <c r="BC1" s="114" t="s">
        <v>377</v>
      </c>
      <c r="BD1" s="115"/>
      <c r="BE1" s="115"/>
      <c r="BF1" s="116"/>
      <c r="BG1" s="120" t="s">
        <v>380</v>
      </c>
      <c r="BH1" s="121"/>
      <c r="BI1" s="121"/>
      <c r="BJ1" s="122"/>
      <c r="BK1" s="114" t="s">
        <v>358</v>
      </c>
      <c r="BL1" s="115"/>
      <c r="BM1" s="115"/>
      <c r="BN1" s="116"/>
      <c r="BO1" s="120" t="s">
        <v>381</v>
      </c>
      <c r="BP1" s="121"/>
      <c r="BQ1" s="121"/>
      <c r="BR1" s="122"/>
      <c r="BS1" s="114" t="s">
        <v>382</v>
      </c>
      <c r="BT1" s="115"/>
      <c r="BU1" s="115"/>
      <c r="BV1" s="116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366</v>
      </c>
      <c r="L2" s="130"/>
      <c r="M2" s="130"/>
      <c r="N2" s="131"/>
      <c r="O2" s="123" t="s">
        <v>366</v>
      </c>
      <c r="P2" s="124"/>
      <c r="Q2" s="124"/>
      <c r="R2" s="125"/>
      <c r="S2" s="129" t="s">
        <v>366</v>
      </c>
      <c r="T2" s="130"/>
      <c r="U2" s="130"/>
      <c r="V2" s="131"/>
      <c r="W2" s="123" t="s">
        <v>366</v>
      </c>
      <c r="X2" s="124"/>
      <c r="Y2" s="124"/>
      <c r="Z2" s="125"/>
      <c r="AA2" s="129" t="s">
        <v>366</v>
      </c>
      <c r="AB2" s="130"/>
      <c r="AC2" s="130"/>
      <c r="AD2" s="131"/>
      <c r="AE2" s="123" t="s">
        <v>366</v>
      </c>
      <c r="AF2" s="124"/>
      <c r="AG2" s="124"/>
      <c r="AH2" s="125"/>
      <c r="AI2" s="129" t="s">
        <v>366</v>
      </c>
      <c r="AJ2" s="130"/>
      <c r="AK2" s="130"/>
      <c r="AL2" s="131"/>
      <c r="AM2" s="123" t="s">
        <v>366</v>
      </c>
      <c r="AN2" s="124"/>
      <c r="AO2" s="124"/>
      <c r="AP2" s="125"/>
      <c r="AQ2" s="129" t="s">
        <v>366</v>
      </c>
      <c r="AR2" s="130"/>
      <c r="AS2" s="130"/>
      <c r="AT2" s="131"/>
      <c r="AU2" s="123" t="s">
        <v>366</v>
      </c>
      <c r="AV2" s="124"/>
      <c r="AW2" s="124"/>
      <c r="AX2" s="125"/>
      <c r="AY2" s="129" t="s">
        <v>366</v>
      </c>
      <c r="AZ2" s="130"/>
      <c r="BA2" s="130"/>
      <c r="BB2" s="131"/>
      <c r="BC2" s="123" t="s">
        <v>366</v>
      </c>
      <c r="BD2" s="124"/>
      <c r="BE2" s="124"/>
      <c r="BF2" s="125"/>
      <c r="BG2" s="129" t="s">
        <v>366</v>
      </c>
      <c r="BH2" s="130"/>
      <c r="BI2" s="130"/>
      <c r="BJ2" s="131"/>
      <c r="BK2" s="123" t="s">
        <v>366</v>
      </c>
      <c r="BL2" s="124"/>
      <c r="BM2" s="124"/>
      <c r="BN2" s="125"/>
      <c r="BO2" s="129" t="s">
        <v>366</v>
      </c>
      <c r="BP2" s="130"/>
      <c r="BQ2" s="130"/>
      <c r="BR2" s="131"/>
      <c r="BS2" s="123" t="s">
        <v>366</v>
      </c>
      <c r="BT2" s="124"/>
      <c r="BU2" s="124"/>
      <c r="BV2" s="125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2" t="s">
        <v>12</v>
      </c>
      <c r="B5" s="46" t="s">
        <v>197</v>
      </c>
      <c r="C5" s="47">
        <v>2020</v>
      </c>
      <c r="D5" s="89">
        <f>AVERAGE(K5,O5,S5,W5,AA5,AE5,AI5,AM5,AQ5,AU5,AY5,BC5,BG5,BK5,BO5,BS5,BW5,CA5)</f>
        <v>100</v>
      </c>
      <c r="E5" s="89">
        <f>MEDIAN(K5,O5,S5,W5,AA5,AE5,AI5,AM5,AQ5,AU5,AY5,BC5,BG5,BK5,BO5,BS5,BW5,CA5)</f>
        <v>100</v>
      </c>
      <c r="F5" s="89">
        <f>MIN(K5,O5,S5,W5,AA5,AE5,AI5,AM5,AQ5,AU5,AY5,BC5,BG5,BK5,BO5,BS5,BW5,CA5)</f>
        <v>100</v>
      </c>
      <c r="G5" s="89">
        <f>MAX(K5,O5,S5,W5,AA5,AE5,AI5,AM5,AQ5,AU5,AY5,BC5,BG5,BK5,BO5,BS5,BW5,CA5)</f>
        <v>100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>
        <v>100</v>
      </c>
      <c r="BP5" s="39"/>
      <c r="BQ5" s="39"/>
      <c r="BR5" s="63"/>
      <c r="BS5" s="39"/>
      <c r="BT5" s="39"/>
      <c r="BU5" s="39"/>
      <c r="BV5" s="63"/>
    </row>
    <row r="6" spans="1:74" x14ac:dyDescent="0.25">
      <c r="A6" t="s">
        <v>42</v>
      </c>
      <c r="B6" s="46" t="s">
        <v>197</v>
      </c>
      <c r="C6" s="47">
        <v>2020</v>
      </c>
      <c r="D6" s="89">
        <f>AVERAGE(K6,O6,S6,W6,AA6,AE6,AI6,AM6,AQ6,AU6,AY6,BC6,BG6,BK6,BO6,BS6,BW6,CA6)</f>
        <v>0.42990064102564102</v>
      </c>
      <c r="E6" s="89">
        <f>MEDIAN(K6,O6,S6,W6,AA6,AE6,AI6,AM6,AQ6,AU6,AY6,BC6,BG6,BK6,BO6,BS6,BW6,CA6)</f>
        <v>0.44500000000000001</v>
      </c>
      <c r="F6" s="89">
        <f>MIN(K6,O6,S6,W6,AA6,AE6,AI6,AM6,AQ6,AU6,AY6,BC6,BG6,BK6,BO6,BS6,BW6,CA6)</f>
        <v>0.10633333333333334</v>
      </c>
      <c r="G6" s="89">
        <f>MAX(K6,O6,S6,W6,AA6,AE6,AI6,AM6,AQ6,AU6,AY6,BC6,BG6,BK6,BO6,BS6,BW6,CA6)</f>
        <v>0.92307692307692302</v>
      </c>
      <c r="H6" s="39">
        <f>COUNT(K6,O6,S6,W6,AA6,AE6,AI6,AM6,AQ6,AU6,AY6,BC6,BG6,BK6,BO6,BS6,BW6,CA6,CE6)</f>
        <v>16</v>
      </c>
      <c r="I6" s="39"/>
      <c r="J6" s="63"/>
      <c r="K6" s="39">
        <v>0.28999999999999998</v>
      </c>
      <c r="L6" s="39"/>
      <c r="M6" s="61"/>
      <c r="N6" s="64"/>
      <c r="O6" s="39">
        <v>0.10633333333333334</v>
      </c>
      <c r="P6" s="39"/>
      <c r="Q6" s="61"/>
      <c r="R6" s="64"/>
      <c r="S6" s="39">
        <v>0.19</v>
      </c>
      <c r="T6" s="39"/>
      <c r="U6" s="61"/>
      <c r="V6" s="64"/>
      <c r="W6" s="39">
        <v>0.17899999999999999</v>
      </c>
      <c r="X6" s="39"/>
      <c r="Y6" s="61"/>
      <c r="Z6" s="64"/>
      <c r="AA6" s="39">
        <v>0.92307692307692302</v>
      </c>
      <c r="AB6" s="39"/>
      <c r="AC6" s="61"/>
      <c r="AD6" s="64"/>
      <c r="AE6" s="39">
        <v>0.65</v>
      </c>
      <c r="AF6" s="39"/>
      <c r="AG6" s="61"/>
      <c r="AH6" s="64"/>
      <c r="AI6" s="39">
        <v>0.25</v>
      </c>
      <c r="AJ6" s="39"/>
      <c r="AK6" s="61"/>
      <c r="AL6" s="64"/>
      <c r="AM6" s="39">
        <v>0.5</v>
      </c>
      <c r="AN6" s="39"/>
      <c r="AO6" s="61"/>
      <c r="AP6" s="64"/>
      <c r="AQ6" s="39">
        <v>0.39</v>
      </c>
      <c r="AR6" s="39"/>
      <c r="AS6" s="61"/>
      <c r="AT6" s="64"/>
      <c r="AU6" s="39">
        <v>0.25</v>
      </c>
      <c r="AV6" s="39"/>
      <c r="AW6" s="61"/>
      <c r="AX6" s="64"/>
      <c r="AY6" s="39">
        <v>0.5</v>
      </c>
      <c r="AZ6" s="39"/>
      <c r="BA6" s="61"/>
      <c r="BB6" s="64"/>
      <c r="BC6" s="39">
        <v>0.55000000000000004</v>
      </c>
      <c r="BD6" s="39"/>
      <c r="BE6" s="61"/>
      <c r="BF6" s="64"/>
      <c r="BG6" s="39">
        <v>0.6</v>
      </c>
      <c r="BH6" s="39"/>
      <c r="BI6" s="61"/>
      <c r="BJ6" s="64"/>
      <c r="BK6" s="39">
        <v>0.5</v>
      </c>
      <c r="BL6" s="39"/>
      <c r="BM6" s="61"/>
      <c r="BN6" s="64"/>
      <c r="BO6" s="39">
        <v>0.75</v>
      </c>
      <c r="BP6" s="39"/>
      <c r="BQ6" s="61"/>
      <c r="BR6" s="64"/>
      <c r="BS6" s="39">
        <v>0.25</v>
      </c>
      <c r="BT6" s="39"/>
      <c r="BU6" s="61"/>
      <c r="BV6" s="64"/>
    </row>
    <row r="7" spans="1:74" x14ac:dyDescent="0.25">
      <c r="A7" s="41"/>
      <c r="B7" s="48"/>
      <c r="C7" s="48"/>
      <c r="D7" s="41"/>
      <c r="E7" s="41"/>
      <c r="F7" s="41"/>
      <c r="G7" s="41"/>
      <c r="H7" s="52"/>
      <c r="I7" s="41"/>
      <c r="J7" s="57"/>
      <c r="K7" s="41"/>
      <c r="L7" s="41"/>
      <c r="M7" s="52"/>
      <c r="N7" s="57"/>
      <c r="O7" s="41"/>
      <c r="P7" s="41"/>
      <c r="Q7" s="52"/>
      <c r="R7" s="57"/>
      <c r="S7" s="41"/>
      <c r="T7" s="41"/>
      <c r="U7" s="52"/>
      <c r="V7" s="57"/>
      <c r="W7" s="41"/>
      <c r="X7" s="41"/>
      <c r="Y7" s="52"/>
      <c r="Z7" s="57"/>
      <c r="AA7" s="41"/>
      <c r="AB7" s="41"/>
      <c r="AC7" s="52"/>
      <c r="AD7" s="57"/>
      <c r="AE7" s="41"/>
      <c r="AF7" s="41"/>
      <c r="AG7" s="52"/>
      <c r="AH7" s="57"/>
      <c r="AI7" s="41"/>
      <c r="AJ7" s="41"/>
      <c r="AK7" s="52"/>
      <c r="AL7" s="57"/>
      <c r="AM7" s="41"/>
      <c r="AN7" s="41"/>
      <c r="AO7" s="52"/>
      <c r="AP7" s="57"/>
      <c r="AQ7" s="41"/>
      <c r="AR7" s="41"/>
      <c r="AS7" s="52"/>
      <c r="AT7" s="57"/>
      <c r="AU7" s="41"/>
      <c r="AV7" s="41"/>
      <c r="AW7" s="52"/>
      <c r="AX7" s="57"/>
      <c r="AY7" s="41"/>
      <c r="AZ7" s="41"/>
      <c r="BA7" s="52"/>
      <c r="BB7" s="57"/>
      <c r="BC7" s="41"/>
      <c r="BD7" s="41"/>
      <c r="BE7" s="52"/>
      <c r="BF7" s="57"/>
      <c r="BG7" s="41"/>
      <c r="BH7" s="41"/>
      <c r="BI7" s="52"/>
      <c r="BJ7" s="57"/>
      <c r="BK7" s="41"/>
      <c r="BL7" s="41"/>
      <c r="BM7" s="52"/>
      <c r="BN7" s="57"/>
      <c r="BO7" s="41"/>
      <c r="BP7" s="41"/>
      <c r="BQ7" s="52"/>
      <c r="BR7" s="57"/>
      <c r="BS7" s="41"/>
      <c r="BT7" s="41"/>
      <c r="BU7" s="52"/>
      <c r="BV7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H21"/>
  <sheetViews>
    <sheetView workbookViewId="0">
      <pane xSplit="1" topLeftCell="B1" activePane="topRight" state="frozen"/>
      <selection pane="topRight" activeCell="C18" sqref="C18"/>
    </sheetView>
  </sheetViews>
  <sheetFormatPr defaultRowHeight="15" x14ac:dyDescent="0.25"/>
  <cols>
    <col min="1" max="1" width="10.85546875" bestFit="1" customWidth="1"/>
  </cols>
  <sheetData>
    <row r="1" spans="1:3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314</v>
      </c>
      <c r="L1" s="121"/>
      <c r="M1" s="121"/>
      <c r="N1" s="122"/>
      <c r="O1" s="114" t="s">
        <v>191</v>
      </c>
      <c r="P1" s="115"/>
      <c r="Q1" s="115"/>
      <c r="R1" s="116"/>
      <c r="S1" s="120" t="s">
        <v>348</v>
      </c>
      <c r="T1" s="121"/>
      <c r="U1" s="121"/>
      <c r="V1" s="122"/>
      <c r="W1" s="114" t="s">
        <v>377</v>
      </c>
      <c r="X1" s="115"/>
      <c r="Y1" s="115"/>
      <c r="Z1" s="116"/>
      <c r="AA1" s="120"/>
      <c r="AB1" s="121"/>
      <c r="AC1" s="121"/>
      <c r="AD1" s="122"/>
      <c r="AE1" s="114"/>
      <c r="AF1" s="115"/>
      <c r="AG1" s="115"/>
      <c r="AH1" s="116"/>
    </row>
    <row r="2" spans="1:3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370</v>
      </c>
      <c r="L2" s="130"/>
      <c r="M2" s="130"/>
      <c r="N2" s="131"/>
      <c r="O2" s="123" t="s">
        <v>370</v>
      </c>
      <c r="P2" s="124"/>
      <c r="Q2" s="124"/>
      <c r="R2" s="125"/>
      <c r="S2" s="129" t="s">
        <v>370</v>
      </c>
      <c r="T2" s="130"/>
      <c r="U2" s="130"/>
      <c r="V2" s="131"/>
      <c r="W2" s="123" t="s">
        <v>378</v>
      </c>
      <c r="X2" s="124"/>
      <c r="Y2" s="124"/>
      <c r="Z2" s="125"/>
      <c r="AA2" s="129"/>
      <c r="AB2" s="130"/>
      <c r="AC2" s="130"/>
      <c r="AD2" s="131"/>
      <c r="AE2" s="123"/>
      <c r="AF2" s="124"/>
      <c r="AG2" s="124"/>
      <c r="AH2" s="125"/>
    </row>
    <row r="3" spans="1:3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</row>
    <row r="4" spans="1:3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</row>
    <row r="5" spans="1:34" x14ac:dyDescent="0.25">
      <c r="A5" s="103" t="s">
        <v>3</v>
      </c>
      <c r="B5" s="46" t="s">
        <v>197</v>
      </c>
      <c r="C5" s="47">
        <v>2020</v>
      </c>
      <c r="D5" s="73">
        <f t="shared" ref="D5:D19" si="0">AVERAGE(K5,O5,S5,W5,AA5,AE5,AI5,AM5,AQ5,AU5,AY5,BC5,BG5,BK5,BO5,BS5,BW5,CA5)</f>
        <v>25625</v>
      </c>
      <c r="E5" s="73">
        <f t="shared" ref="E5:E19" si="1">MEDIAN(K5,O5,S5,W5,AA5,AE5,AI5,AM5,AQ5,AU5,AY5,BC5,BG5,BK5,BO5,BS5,BW5,CA5)</f>
        <v>25625</v>
      </c>
      <c r="F5" s="73">
        <f t="shared" ref="F5:F19" si="2">MIN(K5,O5,S5,W5,AA5,AE5,AI5,AM5,AQ5,AU5,AY5,BC5,BG5,BK5,BO5,BS5,BW5,CA5)</f>
        <v>1250</v>
      </c>
      <c r="G5" s="73">
        <f t="shared" ref="G5:G19" si="3">MAX(K5,O5,S5,W5,AA5,AE5,AI5,AM5,AQ5,AU5,AY5,BC5,BG5,BK5,BO5,BS5,BW5,CA5)</f>
        <v>50000</v>
      </c>
      <c r="H5" s="39">
        <f t="shared" ref="H5:H19" si="4">COUNT(K5,O5,S5,W5,AA5,AE5,AI5,AM5,AQ5,AU5,AY5,BC5,BG5,BK5,BO5,BS5,BW5,CA5,CE5)</f>
        <v>2</v>
      </c>
      <c r="I5" s="39"/>
      <c r="J5" s="63"/>
      <c r="K5" s="39">
        <v>1250</v>
      </c>
      <c r="L5" s="39"/>
      <c r="M5" s="39"/>
      <c r="N5" s="63"/>
      <c r="O5" s="39"/>
      <c r="P5" s="39"/>
      <c r="Q5" s="39"/>
      <c r="R5" s="63"/>
      <c r="S5" s="39">
        <v>50000</v>
      </c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</row>
    <row r="6" spans="1:34" x14ac:dyDescent="0.25">
      <c r="A6" s="103" t="s">
        <v>11</v>
      </c>
      <c r="B6" s="46" t="s">
        <v>197</v>
      </c>
      <c r="C6" s="47">
        <v>2020</v>
      </c>
      <c r="D6" s="73">
        <f t="shared" ref="D6" si="5">AVERAGE(K6,O6,S6,W6,AA6,AE6,AI6,AM6,AQ6,AU6,AY6,BC6,BG6,BK6,BO6,BS6,BW6,CA6)</f>
        <v>26.5</v>
      </c>
      <c r="E6" s="73">
        <f t="shared" ref="E6" si="6">MEDIAN(K6,O6,S6,W6,AA6,AE6,AI6,AM6,AQ6,AU6,AY6,BC6,BG6,BK6,BO6,BS6,BW6,CA6)</f>
        <v>26.5</v>
      </c>
      <c r="F6" s="73">
        <f t="shared" ref="F6" si="7">MIN(K6,O6,S6,W6,AA6,AE6,AI6,AM6,AQ6,AU6,AY6,BC6,BG6,BK6,BO6,BS6,BW6,CA6)</f>
        <v>2</v>
      </c>
      <c r="G6" s="73">
        <f t="shared" ref="G6" si="8">MAX(K6,O6,S6,W6,AA6,AE6,AI6,AM6,AQ6,AU6,AY6,BC6,BG6,BK6,BO6,BS6,BW6,CA6)</f>
        <v>51</v>
      </c>
      <c r="H6" s="39">
        <f t="shared" ref="H6" si="9">COUNT(K6,O6,S6,W6,AA6,AE6,AI6,AM6,AQ6,AU6,AY6,BC6,BG6,BK6,BO6,BS6,BW6,CA6,CE6)</f>
        <v>2</v>
      </c>
      <c r="I6" s="39"/>
      <c r="J6" s="63"/>
      <c r="K6" s="39"/>
      <c r="L6" s="39"/>
      <c r="M6" s="39"/>
      <c r="N6" s="63"/>
      <c r="O6" s="39">
        <v>2</v>
      </c>
      <c r="P6" s="39"/>
      <c r="Q6" s="39"/>
      <c r="R6" s="63"/>
      <c r="S6" s="39">
        <v>51</v>
      </c>
      <c r="T6" s="39"/>
      <c r="U6" s="39"/>
      <c r="V6" s="63"/>
      <c r="W6" s="39"/>
      <c r="X6" s="39"/>
      <c r="Y6" s="39"/>
      <c r="Z6" s="63"/>
      <c r="AA6" s="39"/>
      <c r="AB6" s="39"/>
      <c r="AC6" s="39"/>
      <c r="AD6" s="63"/>
      <c r="AE6" s="39"/>
      <c r="AF6" s="39"/>
      <c r="AG6" s="39"/>
      <c r="AH6" s="63"/>
    </row>
    <row r="7" spans="1:34" x14ac:dyDescent="0.25">
      <c r="A7" s="103" t="s">
        <v>12</v>
      </c>
      <c r="B7" s="46" t="s">
        <v>197</v>
      </c>
      <c r="C7" s="47">
        <v>2020</v>
      </c>
      <c r="D7" s="73">
        <f t="shared" si="0"/>
        <v>8375</v>
      </c>
      <c r="E7" s="73">
        <f t="shared" si="1"/>
        <v>8375</v>
      </c>
      <c r="F7" s="73">
        <f t="shared" si="2"/>
        <v>1750</v>
      </c>
      <c r="G7" s="73">
        <f t="shared" si="3"/>
        <v>15000</v>
      </c>
      <c r="H7" s="39">
        <f t="shared" si="4"/>
        <v>2</v>
      </c>
      <c r="I7" s="39"/>
      <c r="J7" s="63"/>
      <c r="K7" s="39">
        <v>1750</v>
      </c>
      <c r="L7" s="39"/>
      <c r="M7" s="39"/>
      <c r="N7" s="63"/>
      <c r="O7" s="39"/>
      <c r="P7" s="39"/>
      <c r="Q7" s="39"/>
      <c r="R7" s="63"/>
      <c r="S7" s="39">
        <v>15000</v>
      </c>
      <c r="T7" s="39"/>
      <c r="U7" s="39"/>
      <c r="V7" s="63"/>
      <c r="W7" s="39"/>
      <c r="X7" s="39"/>
      <c r="Y7" s="39"/>
      <c r="Z7" s="63"/>
      <c r="AA7" s="39"/>
      <c r="AB7" s="39"/>
      <c r="AC7" s="39"/>
      <c r="AD7" s="63"/>
      <c r="AE7" s="39"/>
      <c r="AF7" s="39"/>
      <c r="AG7" s="39"/>
      <c r="AH7" s="63"/>
    </row>
    <row r="8" spans="1:34" x14ac:dyDescent="0.25">
      <c r="A8" s="103" t="s">
        <v>13</v>
      </c>
      <c r="B8" s="46" t="s">
        <v>197</v>
      </c>
      <c r="C8" s="47">
        <v>2020</v>
      </c>
      <c r="D8" s="73">
        <f t="shared" ref="D8" si="10">AVERAGE(K8,O8,S8,W8,AA8,AE8,AI8,AM8,AQ8,AU8,AY8,BC8,BG8,BK8,BO8,BS8,BW8,CA8)</f>
        <v>30</v>
      </c>
      <c r="E8" s="73">
        <f t="shared" ref="E8" si="11">MEDIAN(K8,O8,S8,W8,AA8,AE8,AI8,AM8,AQ8,AU8,AY8,BC8,BG8,BK8,BO8,BS8,BW8,CA8)</f>
        <v>30</v>
      </c>
      <c r="F8" s="73">
        <f t="shared" ref="F8" si="12">MIN(K8,O8,S8,W8,AA8,AE8,AI8,AM8,AQ8,AU8,AY8,BC8,BG8,BK8,BO8,BS8,BW8,CA8)</f>
        <v>30</v>
      </c>
      <c r="G8" s="73">
        <f t="shared" ref="G8" si="13">MAX(K8,O8,S8,W8,AA8,AE8,AI8,AM8,AQ8,AU8,AY8,BC8,BG8,BK8,BO8,BS8,BW8,CA8)</f>
        <v>30</v>
      </c>
      <c r="H8" s="39">
        <f t="shared" ref="H8" si="14">COUNT(K8,O8,S8,W8,AA8,AE8,AI8,AM8,AQ8,AU8,AY8,BC8,BG8,BK8,BO8,BS8,BW8,CA8,CE8)</f>
        <v>1</v>
      </c>
      <c r="I8" s="39"/>
      <c r="J8" s="63"/>
      <c r="K8" s="39"/>
      <c r="L8" s="39"/>
      <c r="M8" s="39"/>
      <c r="N8" s="63"/>
      <c r="O8" s="39">
        <v>30</v>
      </c>
      <c r="P8" s="39"/>
      <c r="Q8" s="39"/>
      <c r="R8" s="63"/>
      <c r="S8" s="39"/>
      <c r="T8" s="39"/>
      <c r="U8" s="39"/>
      <c r="V8" s="63"/>
      <c r="W8" s="39"/>
      <c r="X8" s="39"/>
      <c r="Y8" s="39"/>
      <c r="Z8" s="63"/>
      <c r="AA8" s="39"/>
      <c r="AB8" s="39"/>
      <c r="AC8" s="39"/>
      <c r="AD8" s="63"/>
      <c r="AE8" s="39"/>
      <c r="AF8" s="39"/>
      <c r="AG8" s="39"/>
      <c r="AH8" s="63"/>
    </row>
    <row r="9" spans="1:34" x14ac:dyDescent="0.25">
      <c r="A9" s="103" t="s">
        <v>15</v>
      </c>
      <c r="B9" s="46" t="s">
        <v>197</v>
      </c>
      <c r="C9" s="47">
        <v>2020</v>
      </c>
      <c r="D9" s="73">
        <f t="shared" si="0"/>
        <v>0</v>
      </c>
      <c r="E9" s="73">
        <f t="shared" si="1"/>
        <v>0</v>
      </c>
      <c r="F9" s="73">
        <f t="shared" si="2"/>
        <v>0</v>
      </c>
      <c r="G9" s="73">
        <f t="shared" si="3"/>
        <v>0</v>
      </c>
      <c r="H9" s="39">
        <f t="shared" si="4"/>
        <v>1</v>
      </c>
      <c r="I9" s="39"/>
      <c r="J9" s="63"/>
      <c r="K9" s="39">
        <v>0</v>
      </c>
      <c r="L9" s="39"/>
      <c r="M9" s="39"/>
      <c r="N9" s="63"/>
      <c r="O9" s="39"/>
      <c r="P9" s="39"/>
      <c r="Q9" s="39"/>
      <c r="R9" s="63"/>
      <c r="S9" s="39"/>
      <c r="T9" s="39"/>
      <c r="U9" s="39"/>
      <c r="V9" s="63"/>
      <c r="W9" s="39"/>
      <c r="X9" s="39"/>
      <c r="Y9" s="39"/>
      <c r="Z9" s="63"/>
      <c r="AA9" s="39"/>
      <c r="AB9" s="39"/>
      <c r="AC9" s="39"/>
      <c r="AD9" s="63"/>
      <c r="AE9" s="39"/>
      <c r="AF9" s="39"/>
      <c r="AG9" s="39"/>
      <c r="AH9" s="63"/>
    </row>
    <row r="10" spans="1:34" x14ac:dyDescent="0.25">
      <c r="A10" s="103" t="s">
        <v>18</v>
      </c>
      <c r="B10" s="46" t="s">
        <v>197</v>
      </c>
      <c r="C10" s="47">
        <v>2020</v>
      </c>
      <c r="D10" s="73">
        <f t="shared" ref="D10" si="15">AVERAGE(K10,O10,S10,W10,AA10,AE10,AI10,AM10,AQ10,AU10,AY10,BC10,BG10,BK10,BO10,BS10,BW10,CA10)</f>
        <v>13</v>
      </c>
      <c r="E10" s="73">
        <f t="shared" ref="E10" si="16">MEDIAN(K10,O10,S10,W10,AA10,AE10,AI10,AM10,AQ10,AU10,AY10,BC10,BG10,BK10,BO10,BS10,BW10,CA10)</f>
        <v>13</v>
      </c>
      <c r="F10" s="73">
        <f t="shared" ref="F10" si="17">MIN(K10,O10,S10,W10,AA10,AE10,AI10,AM10,AQ10,AU10,AY10,BC10,BG10,BK10,BO10,BS10,BW10,CA10)</f>
        <v>13</v>
      </c>
      <c r="G10" s="73">
        <f t="shared" ref="G10" si="18">MAX(K10,O10,S10,W10,AA10,AE10,AI10,AM10,AQ10,AU10,AY10,BC10,BG10,BK10,BO10,BS10,BW10,CA10)</f>
        <v>13</v>
      </c>
      <c r="H10" s="39">
        <f t="shared" ref="H10" si="19">COUNT(K10,O10,S10,W10,AA10,AE10,AI10,AM10,AQ10,AU10,AY10,BC10,BG10,BK10,BO10,BS10,BW10,CA10,CE10)</f>
        <v>1</v>
      </c>
      <c r="I10" s="39"/>
      <c r="J10" s="63"/>
      <c r="K10" s="39"/>
      <c r="L10" s="39"/>
      <c r="M10" s="39"/>
      <c r="N10" s="63"/>
      <c r="O10" s="39"/>
      <c r="P10" s="39"/>
      <c r="Q10" s="39"/>
      <c r="R10" s="63"/>
      <c r="S10" s="39">
        <v>13</v>
      </c>
      <c r="T10" s="39"/>
      <c r="U10" s="39"/>
      <c r="V10" s="63"/>
      <c r="W10" s="39"/>
      <c r="X10" s="39"/>
      <c r="Y10" s="39"/>
      <c r="Z10" s="63"/>
      <c r="AA10" s="39"/>
      <c r="AB10" s="39"/>
      <c r="AC10" s="39"/>
      <c r="AD10" s="63"/>
      <c r="AE10" s="39"/>
      <c r="AF10" s="39"/>
      <c r="AG10" s="39"/>
      <c r="AH10" s="63"/>
    </row>
    <row r="11" spans="1:34" x14ac:dyDescent="0.25">
      <c r="A11" s="103" t="s">
        <v>28</v>
      </c>
      <c r="B11" s="46" t="s">
        <v>197</v>
      </c>
      <c r="C11" s="47">
        <v>2020</v>
      </c>
      <c r="D11" s="73">
        <f t="shared" si="0"/>
        <v>579.33333333333337</v>
      </c>
      <c r="E11" s="73">
        <f t="shared" si="1"/>
        <v>213</v>
      </c>
      <c r="F11" s="73">
        <f t="shared" si="2"/>
        <v>20</v>
      </c>
      <c r="G11" s="73">
        <f t="shared" si="3"/>
        <v>1505</v>
      </c>
      <c r="H11" s="39">
        <f t="shared" si="4"/>
        <v>3</v>
      </c>
      <c r="I11" s="39"/>
      <c r="J11" s="63"/>
      <c r="K11" s="39">
        <v>1505</v>
      </c>
      <c r="L11" s="39"/>
      <c r="M11" s="39"/>
      <c r="N11" s="63"/>
      <c r="O11" s="39">
        <v>20</v>
      </c>
      <c r="P11" s="39"/>
      <c r="Q11" s="39"/>
      <c r="R11" s="63"/>
      <c r="S11" s="39">
        <v>213</v>
      </c>
      <c r="T11" s="39"/>
      <c r="U11" s="39"/>
      <c r="V11" s="63"/>
      <c r="W11" s="39"/>
      <c r="X11" s="39"/>
      <c r="Y11" s="39"/>
      <c r="Z11" s="63"/>
      <c r="AA11" s="39"/>
      <c r="AB11" s="39"/>
      <c r="AC11" s="39"/>
      <c r="AD11" s="63"/>
      <c r="AE11" s="39"/>
      <c r="AF11" s="39"/>
      <c r="AG11" s="39"/>
      <c r="AH11" s="63"/>
    </row>
    <row r="12" spans="1:34" x14ac:dyDescent="0.25">
      <c r="A12" s="103" t="s">
        <v>33</v>
      </c>
      <c r="B12" s="46" t="s">
        <v>197</v>
      </c>
      <c r="C12" s="47">
        <v>2020</v>
      </c>
      <c r="D12" s="73">
        <f t="shared" si="0"/>
        <v>505</v>
      </c>
      <c r="E12" s="73">
        <f t="shared" si="1"/>
        <v>505</v>
      </c>
      <c r="F12" s="73">
        <f t="shared" si="2"/>
        <v>505</v>
      </c>
      <c r="G12" s="73">
        <f t="shared" si="3"/>
        <v>505</v>
      </c>
      <c r="H12" s="39">
        <f t="shared" si="4"/>
        <v>1</v>
      </c>
      <c r="I12" s="39"/>
      <c r="J12" s="63"/>
      <c r="K12" s="39">
        <v>505</v>
      </c>
      <c r="L12" s="39"/>
      <c r="M12" s="39"/>
      <c r="N12" s="63"/>
      <c r="O12" s="39"/>
      <c r="P12" s="39"/>
      <c r="Q12" s="39"/>
      <c r="R12" s="63"/>
      <c r="S12" s="39"/>
      <c r="T12" s="39"/>
      <c r="U12" s="39"/>
      <c r="V12" s="63"/>
      <c r="W12" s="39"/>
      <c r="X12" s="39"/>
      <c r="Y12" s="39"/>
      <c r="Z12" s="63"/>
      <c r="AA12" s="39"/>
      <c r="AB12" s="39"/>
      <c r="AC12" s="39"/>
      <c r="AD12" s="63"/>
      <c r="AE12" s="39"/>
      <c r="AF12" s="39"/>
      <c r="AG12" s="39"/>
      <c r="AH12" s="63"/>
    </row>
    <row r="13" spans="1:34" x14ac:dyDescent="0.25">
      <c r="A13" s="103" t="s">
        <v>34</v>
      </c>
      <c r="B13" s="46" t="s">
        <v>197</v>
      </c>
      <c r="C13" s="47">
        <v>2020</v>
      </c>
      <c r="D13" s="73">
        <f t="shared" si="0"/>
        <v>0</v>
      </c>
      <c r="E13" s="73">
        <f t="shared" si="1"/>
        <v>0</v>
      </c>
      <c r="F13" s="73">
        <f t="shared" si="2"/>
        <v>0</v>
      </c>
      <c r="G13" s="73">
        <f t="shared" si="3"/>
        <v>0</v>
      </c>
      <c r="H13" s="39">
        <f t="shared" si="4"/>
        <v>1</v>
      </c>
      <c r="I13" s="39"/>
      <c r="J13" s="63"/>
      <c r="K13" s="39">
        <v>0</v>
      </c>
      <c r="L13" s="39"/>
      <c r="M13" s="39"/>
      <c r="N13" s="63"/>
      <c r="O13" s="39"/>
      <c r="P13" s="39"/>
      <c r="Q13" s="39"/>
      <c r="R13" s="63"/>
      <c r="S13" s="39"/>
      <c r="T13" s="39"/>
      <c r="U13" s="39"/>
      <c r="V13" s="63"/>
      <c r="W13" s="39"/>
      <c r="X13" s="39"/>
      <c r="Y13" s="39"/>
      <c r="Z13" s="63"/>
      <c r="AA13" s="39"/>
      <c r="AB13" s="39"/>
      <c r="AC13" s="39"/>
      <c r="AD13" s="63"/>
      <c r="AE13" s="39"/>
      <c r="AF13" s="39"/>
      <c r="AG13" s="39"/>
      <c r="AH13" s="63"/>
    </row>
    <row r="14" spans="1:34" x14ac:dyDescent="0.25">
      <c r="A14" s="103" t="s">
        <v>38</v>
      </c>
      <c r="B14" s="46" t="s">
        <v>197</v>
      </c>
      <c r="C14" s="47">
        <v>2020</v>
      </c>
      <c r="D14" s="73">
        <f t="shared" si="0"/>
        <v>3500</v>
      </c>
      <c r="E14" s="73">
        <f t="shared" si="1"/>
        <v>3500</v>
      </c>
      <c r="F14" s="73">
        <f t="shared" si="2"/>
        <v>3500</v>
      </c>
      <c r="G14" s="73">
        <f t="shared" si="3"/>
        <v>3500</v>
      </c>
      <c r="H14" s="39">
        <f t="shared" si="4"/>
        <v>1</v>
      </c>
      <c r="I14" s="39"/>
      <c r="J14" s="63"/>
      <c r="K14" s="39">
        <v>3500</v>
      </c>
      <c r="L14" s="39"/>
      <c r="M14" s="39"/>
      <c r="N14" s="63"/>
      <c r="O14" s="39"/>
      <c r="P14" s="39"/>
      <c r="Q14" s="39"/>
      <c r="R14" s="63"/>
      <c r="S14" s="39"/>
      <c r="T14" s="39"/>
      <c r="U14" s="39"/>
      <c r="V14" s="63"/>
      <c r="W14" s="39"/>
      <c r="X14" s="39"/>
      <c r="Y14" s="39"/>
      <c r="Z14" s="63"/>
      <c r="AA14" s="39"/>
      <c r="AB14" s="39"/>
      <c r="AC14" s="39"/>
      <c r="AD14" s="63"/>
      <c r="AE14" s="39"/>
      <c r="AF14" s="39"/>
      <c r="AG14" s="39"/>
      <c r="AH14" s="63"/>
    </row>
    <row r="15" spans="1:34" x14ac:dyDescent="0.25">
      <c r="A15" s="103" t="s">
        <v>130</v>
      </c>
      <c r="B15" s="46" t="s">
        <v>197</v>
      </c>
      <c r="C15" s="47">
        <v>2020</v>
      </c>
      <c r="D15" s="73">
        <f t="shared" si="0"/>
        <v>0</v>
      </c>
      <c r="E15" s="73">
        <f t="shared" si="1"/>
        <v>0</v>
      </c>
      <c r="F15" s="73">
        <f t="shared" si="2"/>
        <v>0</v>
      </c>
      <c r="G15" s="73">
        <f t="shared" si="3"/>
        <v>0</v>
      </c>
      <c r="H15" s="39">
        <f t="shared" si="4"/>
        <v>1</v>
      </c>
      <c r="I15" s="39"/>
      <c r="J15" s="63"/>
      <c r="K15" s="39">
        <v>0</v>
      </c>
      <c r="L15" s="39"/>
      <c r="M15" s="39"/>
      <c r="N15" s="63"/>
      <c r="O15" s="39"/>
      <c r="P15" s="39"/>
      <c r="Q15" s="39"/>
      <c r="R15" s="63"/>
      <c r="S15" s="39"/>
      <c r="T15" s="39"/>
      <c r="U15" s="39"/>
      <c r="V15" s="63"/>
      <c r="W15" s="39"/>
      <c r="X15" s="39"/>
      <c r="Y15" s="39"/>
      <c r="Z15" s="63"/>
      <c r="AA15" s="39"/>
      <c r="AB15" s="39"/>
      <c r="AC15" s="39"/>
      <c r="AD15" s="63"/>
      <c r="AE15" s="39"/>
      <c r="AF15" s="39"/>
      <c r="AG15" s="39"/>
      <c r="AH15" s="63"/>
    </row>
    <row r="16" spans="1:34" x14ac:dyDescent="0.25">
      <c r="A16" s="103" t="s">
        <v>42</v>
      </c>
      <c r="B16" s="46" t="s">
        <v>197</v>
      </c>
      <c r="C16" s="47">
        <v>2020</v>
      </c>
      <c r="D16" s="73">
        <f t="shared" si="0"/>
        <v>0</v>
      </c>
      <c r="E16" s="73">
        <f t="shared" si="1"/>
        <v>0</v>
      </c>
      <c r="F16" s="73">
        <f t="shared" si="2"/>
        <v>0</v>
      </c>
      <c r="G16" s="73">
        <f t="shared" si="3"/>
        <v>0</v>
      </c>
      <c r="H16" s="39">
        <f t="shared" si="4"/>
        <v>1</v>
      </c>
      <c r="I16" s="39"/>
      <c r="J16" s="63"/>
      <c r="K16" s="39">
        <v>0</v>
      </c>
      <c r="L16" s="39"/>
      <c r="M16" s="39"/>
      <c r="N16" s="63"/>
      <c r="O16" s="39"/>
      <c r="P16" s="39"/>
      <c r="Q16" s="39"/>
      <c r="R16" s="63"/>
      <c r="S16" s="39"/>
      <c r="T16" s="39"/>
      <c r="U16" s="39"/>
      <c r="V16" s="63"/>
      <c r="W16" s="39"/>
      <c r="X16" s="39"/>
      <c r="Y16" s="39"/>
      <c r="Z16" s="63"/>
      <c r="AA16" s="39"/>
      <c r="AB16" s="39"/>
      <c r="AC16" s="39"/>
      <c r="AD16" s="63"/>
      <c r="AE16" s="39"/>
      <c r="AF16" s="39"/>
      <c r="AG16" s="39"/>
      <c r="AH16" s="63"/>
    </row>
    <row r="17" spans="1:34" x14ac:dyDescent="0.25">
      <c r="A17" s="103" t="s">
        <v>133</v>
      </c>
      <c r="B17" s="46" t="s">
        <v>197</v>
      </c>
      <c r="C17" s="47">
        <v>2020</v>
      </c>
      <c r="D17" s="73" t="e">
        <f t="shared" ref="D17" si="20">AVERAGE(K17,O17,S17,W17,AA17,AE17,AI17,AM17,AQ17,AU17,AY17,BC17,BG17,BK17,BO17,BS17,BW17,CA17)</f>
        <v>#DIV/0!</v>
      </c>
      <c r="E17" s="73" t="e">
        <f t="shared" ref="E17" si="21">MEDIAN(K17,O17,S17,W17,AA17,AE17,AI17,AM17,AQ17,AU17,AY17,BC17,BG17,BK17,BO17,BS17,BW17,CA17)</f>
        <v>#NUM!</v>
      </c>
      <c r="F17" s="73">
        <f t="shared" ref="F17" si="22">MIN(K17,O17,S17,W17,AA17,AE17,AI17,AM17,AQ17,AU17,AY17,BC17,BG17,BK17,BO17,BS17,BW17,CA17)</f>
        <v>0</v>
      </c>
      <c r="G17" s="73">
        <f t="shared" ref="G17" si="23">MAX(K17,O17,S17,W17,AA17,AE17,AI17,AM17,AQ17,AU17,AY17,BC17,BG17,BK17,BO17,BS17,BW17,CA17)</f>
        <v>0</v>
      </c>
      <c r="H17" s="39">
        <f t="shared" ref="H17" si="24">COUNT(K17,O17,S17,W17,AA17,AE17,AI17,AM17,AQ17,AU17,AY17,BC17,BG17,BK17,BO17,BS17,BW17,CA17,CE17)</f>
        <v>0</v>
      </c>
      <c r="I17" s="39"/>
      <c r="J17" s="63"/>
      <c r="K17" s="39"/>
      <c r="L17" s="39"/>
      <c r="M17" s="39"/>
      <c r="N17" s="63"/>
      <c r="O17" s="39"/>
      <c r="P17" s="39"/>
      <c r="Q17" s="39"/>
      <c r="R17" s="63"/>
      <c r="S17" s="39"/>
      <c r="T17" s="39"/>
      <c r="U17" s="39"/>
      <c r="V17" s="63"/>
      <c r="W17" s="39"/>
      <c r="X17" s="39"/>
      <c r="Y17" s="39"/>
      <c r="Z17" s="63"/>
      <c r="AA17" s="39"/>
      <c r="AB17" s="39"/>
      <c r="AC17" s="39"/>
      <c r="AD17" s="63"/>
      <c r="AE17" s="39"/>
      <c r="AF17" s="39"/>
      <c r="AG17" s="39"/>
      <c r="AH17" s="63"/>
    </row>
    <row r="18" spans="1:34" x14ac:dyDescent="0.25">
      <c r="A18" s="103" t="s">
        <v>56</v>
      </c>
      <c r="B18" s="46" t="s">
        <v>197</v>
      </c>
      <c r="C18" s="47">
        <v>2020</v>
      </c>
      <c r="D18" s="73">
        <f t="shared" si="0"/>
        <v>103.5</v>
      </c>
      <c r="E18" s="73">
        <f t="shared" si="1"/>
        <v>75</v>
      </c>
      <c r="F18" s="73">
        <f t="shared" si="2"/>
        <v>14</v>
      </c>
      <c r="G18" s="73">
        <f t="shared" si="3"/>
        <v>250</v>
      </c>
      <c r="H18" s="39">
        <f t="shared" si="4"/>
        <v>4</v>
      </c>
      <c r="I18" s="39"/>
      <c r="J18" s="63"/>
      <c r="K18" s="39">
        <v>250</v>
      </c>
      <c r="L18" s="39"/>
      <c r="M18" s="39"/>
      <c r="N18" s="63"/>
      <c r="O18" s="39">
        <v>40</v>
      </c>
      <c r="P18" s="39"/>
      <c r="Q18" s="39"/>
      <c r="R18" s="63"/>
      <c r="S18" s="39">
        <v>14</v>
      </c>
      <c r="T18" s="39"/>
      <c r="U18" s="39"/>
      <c r="V18" s="63"/>
      <c r="W18" s="39">
        <v>110</v>
      </c>
      <c r="X18" s="39"/>
      <c r="Y18" s="39"/>
      <c r="Z18" s="63"/>
      <c r="AA18" s="39"/>
      <c r="AB18" s="39"/>
      <c r="AC18" s="39"/>
      <c r="AD18" s="63"/>
      <c r="AE18" s="39"/>
      <c r="AF18" s="39"/>
      <c r="AG18" s="39"/>
      <c r="AH18" s="63"/>
    </row>
    <row r="19" spans="1:34" x14ac:dyDescent="0.25">
      <c r="A19" s="103" t="s">
        <v>58</v>
      </c>
      <c r="B19" s="46" t="s">
        <v>197</v>
      </c>
      <c r="C19" s="47">
        <v>2020</v>
      </c>
      <c r="D19" s="73">
        <f t="shared" si="0"/>
        <v>975</v>
      </c>
      <c r="E19" s="73">
        <f t="shared" si="1"/>
        <v>975</v>
      </c>
      <c r="F19" s="73">
        <f t="shared" si="2"/>
        <v>400</v>
      </c>
      <c r="G19" s="73">
        <f t="shared" si="3"/>
        <v>1550</v>
      </c>
      <c r="H19" s="39">
        <f t="shared" si="4"/>
        <v>2</v>
      </c>
      <c r="I19" s="39"/>
      <c r="J19" s="63"/>
      <c r="K19" s="39">
        <v>1550</v>
      </c>
      <c r="L19" s="39"/>
      <c r="M19" s="39"/>
      <c r="N19" s="63"/>
      <c r="O19" s="39"/>
      <c r="P19" s="39"/>
      <c r="Q19" s="39"/>
      <c r="R19" s="63"/>
      <c r="S19" s="39">
        <v>400</v>
      </c>
      <c r="T19" s="39"/>
      <c r="U19" s="39"/>
      <c r="V19" s="63"/>
      <c r="W19" s="39"/>
      <c r="X19" s="39"/>
      <c r="Y19" s="39"/>
      <c r="Z19" s="63"/>
      <c r="AA19" s="39"/>
      <c r="AB19" s="39"/>
      <c r="AC19" s="39"/>
      <c r="AD19" s="63"/>
      <c r="AE19" s="39"/>
      <c r="AF19" s="39"/>
      <c r="AG19" s="39"/>
      <c r="AH19" s="63"/>
    </row>
    <row r="20" spans="1:34" x14ac:dyDescent="0.25">
      <c r="A20" s="104" t="s">
        <v>57</v>
      </c>
      <c r="B20" s="46" t="s">
        <v>197</v>
      </c>
      <c r="C20" s="47">
        <v>2020</v>
      </c>
      <c r="D20" s="73">
        <f>AVERAGE(K20,O20,S20,W20,AA20,AE20,AI20,AM20,AQ20,AU20,AY20,BC20,BG20,BK20,BO20,BS20,BW20,CA20)</f>
        <v>505</v>
      </c>
      <c r="E20" s="73">
        <f>MEDIAN(K20,O20,S20,W20,AA20,AE20,AI20,AM20,AQ20,AU20,AY20,BC20,BG20,BK20,BO20,BS20,BW20,CA20)</f>
        <v>505</v>
      </c>
      <c r="F20" s="73">
        <f>MIN(K20,O20,S20,W20,AA20,AE20,AI20,AM20,AQ20,AU20,AY20,BC20,BG20,BK20,BO20,BS20,BW20,CA20)</f>
        <v>505</v>
      </c>
      <c r="G20" s="73">
        <f>MAX(K20,O20,S20,W20,AA20,AE20,AI20,AM20,AQ20,AU20,AY20,BC20,BG20,BK20,BO20,BS20,BW20,CA20)</f>
        <v>505</v>
      </c>
      <c r="H20" s="39">
        <f>COUNT(K20,O20,S20,W20,AA20,AE20,AI20,AM20,AQ20,AU20,AY20,BC20,BG20,BK20,BO20,BS20,BW20,CA20,CE20)</f>
        <v>1</v>
      </c>
      <c r="I20" s="39"/>
      <c r="J20" s="63"/>
      <c r="K20" s="39">
        <v>505</v>
      </c>
      <c r="L20" s="39"/>
      <c r="M20" s="61"/>
      <c r="N20" s="64"/>
      <c r="O20" s="39"/>
      <c r="P20" s="39"/>
      <c r="Q20" s="61"/>
      <c r="R20" s="64"/>
      <c r="S20" s="39"/>
      <c r="T20" s="39"/>
      <c r="U20" s="61"/>
      <c r="V20" s="64"/>
      <c r="W20" s="39"/>
      <c r="X20" s="39"/>
      <c r="Y20" s="61"/>
      <c r="Z20" s="64"/>
      <c r="AA20" s="39"/>
      <c r="AB20" s="39"/>
      <c r="AC20" s="61"/>
      <c r="AD20" s="64"/>
      <c r="AE20" s="39"/>
      <c r="AF20" s="39"/>
      <c r="AG20" s="61"/>
      <c r="AH20" s="64"/>
    </row>
    <row r="21" spans="1:3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  <c r="AA21" s="41"/>
      <c r="AB21" s="41"/>
      <c r="AC21" s="52"/>
      <c r="AD21" s="57"/>
      <c r="AE21" s="41"/>
      <c r="AF21" s="41"/>
      <c r="AG21" s="52"/>
      <c r="AH21" s="57"/>
    </row>
  </sheetData>
  <mergeCells count="13">
    <mergeCell ref="AA1:AD1"/>
    <mergeCell ref="AE1:AH1"/>
    <mergeCell ref="AA2:AD2"/>
    <mergeCell ref="AE2:AH2"/>
    <mergeCell ref="D1:J1"/>
    <mergeCell ref="K1:N1"/>
    <mergeCell ref="O1:R1"/>
    <mergeCell ref="S1:V1"/>
    <mergeCell ref="W1:Z1"/>
    <mergeCell ref="K2:N2"/>
    <mergeCell ref="O2:R2"/>
    <mergeCell ref="S2:V2"/>
    <mergeCell ref="W2:Z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R21"/>
  <sheetViews>
    <sheetView tabSelected="1" workbookViewId="0">
      <selection activeCell="J18" sqref="J18"/>
    </sheetView>
  </sheetViews>
  <sheetFormatPr defaultRowHeight="15" x14ac:dyDescent="0.25"/>
  <cols>
    <col min="1" max="1" width="10.85546875" bestFit="1" customWidth="1"/>
  </cols>
  <sheetData>
    <row r="1" spans="1:18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348</v>
      </c>
      <c r="L1" s="121"/>
      <c r="M1" s="121"/>
      <c r="N1" s="122"/>
      <c r="O1" s="114"/>
      <c r="P1" s="115"/>
      <c r="Q1" s="115"/>
      <c r="R1" s="116"/>
    </row>
    <row r="2" spans="1:1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370</v>
      </c>
      <c r="L2" s="130"/>
      <c r="M2" s="130"/>
      <c r="N2" s="131"/>
      <c r="O2" s="123"/>
      <c r="P2" s="124"/>
      <c r="Q2" s="124"/>
      <c r="R2" s="125"/>
    </row>
    <row r="3" spans="1:1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</row>
    <row r="4" spans="1:1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</row>
    <row r="5" spans="1:18" x14ac:dyDescent="0.25">
      <c r="A5" s="103" t="s">
        <v>3</v>
      </c>
      <c r="B5" s="46" t="s">
        <v>197</v>
      </c>
      <c r="C5" s="47">
        <v>2020</v>
      </c>
      <c r="D5" s="73">
        <f>AVERAGE(K5,O5,S5,W5,AA5,AE5,AI5,AM5,AQ5,AU5,AY5,BC5,BG5,BK5,BO5,BS5)</f>
        <v>50000</v>
      </c>
      <c r="E5" s="73">
        <f>MEDIAN(K5,O5,S5,W5,AA5,AE5,AI5,AM5,AQ5,AU5,AY5,BC5,BG5,BK5,BO5,BS5)</f>
        <v>50000</v>
      </c>
      <c r="F5" s="73">
        <f>MIN(K5,O5,S5,W5,AA5,AE5,AI5,AM5,AQ5,AU5,AY5,BC5,BG5,BK5,BO5,BS5)</f>
        <v>50000</v>
      </c>
      <c r="G5" s="73">
        <f>MAX(K5,O5,S5,W5,AA5,AE5,AI5,AM5,AQ5,AU5,AY5,BC5,BG5,BK5,BO5,BS5)</f>
        <v>50000</v>
      </c>
      <c r="H5" s="39">
        <f>COUNT(#REF!,#REF!,K5,O5,S5,W5,AA5,AE5,AI5,AM5,AQ5,AU5,AY5,BC5,BG5,BK5,BO5,BS5,BW5)</f>
        <v>1</v>
      </c>
      <c r="I5" s="39"/>
      <c r="J5" s="63"/>
      <c r="K5" s="39">
        <v>50000</v>
      </c>
      <c r="L5" s="39"/>
      <c r="M5" s="39"/>
      <c r="N5" s="63"/>
      <c r="O5" s="39"/>
      <c r="P5" s="39"/>
      <c r="Q5" s="39"/>
      <c r="R5" s="63"/>
    </row>
    <row r="6" spans="1:18" x14ac:dyDescent="0.25">
      <c r="A6" s="103" t="s">
        <v>11</v>
      </c>
      <c r="B6" s="46" t="s">
        <v>197</v>
      </c>
      <c r="C6" s="47">
        <v>2020</v>
      </c>
      <c r="D6" s="73">
        <f t="shared" ref="D6:D20" si="0">AVERAGE(K6,O6,S6,W6,AA6,AE6,AI6,AM6,AQ6,AU6,AY6,BC6,BG6,BK6,BO6,BS6)</f>
        <v>51</v>
      </c>
      <c r="E6" s="73">
        <f t="shared" ref="E6:E20" si="1">MEDIAN(K6,O6,S6,W6,AA6,AE6,AI6,AM6,AQ6,AU6,AY6,BC6,BG6,BK6,BO6,BS6)</f>
        <v>51</v>
      </c>
      <c r="F6" s="73">
        <f t="shared" ref="F6:F20" si="2">MIN(K6,O6,S6,W6,AA6,AE6,AI6,AM6,AQ6,AU6,AY6,BC6,BG6,BK6,BO6,BS6)</f>
        <v>51</v>
      </c>
      <c r="G6" s="73">
        <f t="shared" ref="G6:G20" si="3">MAX(K6,O6,S6,W6,AA6,AE6,AI6,AM6,AQ6,AU6,AY6,BC6,BG6,BK6,BO6,BS6)</f>
        <v>51</v>
      </c>
      <c r="H6" s="39">
        <f>COUNT(#REF!,#REF!,K6,O6,S6,W6,AA6,AE6,AI6,AM6,AQ6,AU6,AY6,BC6,BG6,BK6,BO6,BS6,BW6)</f>
        <v>1</v>
      </c>
      <c r="I6" s="39"/>
      <c r="J6" s="63"/>
      <c r="K6" s="39">
        <v>51</v>
      </c>
      <c r="L6" s="39"/>
      <c r="M6" s="39"/>
      <c r="N6" s="63"/>
      <c r="O6" s="39"/>
      <c r="P6" s="39"/>
      <c r="Q6" s="39"/>
      <c r="R6" s="63"/>
    </row>
    <row r="7" spans="1:18" x14ac:dyDescent="0.25">
      <c r="A7" s="103" t="s">
        <v>12</v>
      </c>
      <c r="B7" s="46" t="s">
        <v>197</v>
      </c>
      <c r="C7" s="47">
        <v>2020</v>
      </c>
      <c r="D7" s="73">
        <f t="shared" si="0"/>
        <v>15000</v>
      </c>
      <c r="E7" s="73">
        <f t="shared" si="1"/>
        <v>15000</v>
      </c>
      <c r="F7" s="73">
        <f t="shared" si="2"/>
        <v>15000</v>
      </c>
      <c r="G7" s="73">
        <f t="shared" si="3"/>
        <v>15000</v>
      </c>
      <c r="H7" s="39">
        <f>COUNT(#REF!,#REF!,K7,O7,S7,W7,AA7,AE7,AI7,AM7,AQ7,AU7,AY7,BC7,BG7,BK7,BO7,BS7,BW7)</f>
        <v>1</v>
      </c>
      <c r="I7" s="39"/>
      <c r="J7" s="63"/>
      <c r="K7" s="39">
        <v>15000</v>
      </c>
      <c r="L7" s="39"/>
      <c r="M7" s="39"/>
      <c r="N7" s="63"/>
      <c r="O7" s="39"/>
      <c r="P7" s="39"/>
      <c r="Q7" s="39"/>
      <c r="R7" s="63"/>
    </row>
    <row r="8" spans="1:18" x14ac:dyDescent="0.25">
      <c r="A8" s="103" t="s">
        <v>13</v>
      </c>
      <c r="B8" s="46" t="s">
        <v>197</v>
      </c>
      <c r="C8" s="47">
        <v>2020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>COUNT(#REF!,#REF!,K8,O8,S8,W8,AA8,AE8,AI8,AM8,AQ8,AU8,AY8,BC8,BG8,BK8,BO8,BS8,BW8)</f>
        <v>0</v>
      </c>
      <c r="I8" s="39"/>
      <c r="J8" s="63"/>
      <c r="K8" s="39"/>
      <c r="L8" s="39"/>
      <c r="M8" s="39"/>
      <c r="N8" s="63"/>
      <c r="O8" s="39"/>
      <c r="P8" s="39"/>
      <c r="Q8" s="39"/>
      <c r="R8" s="63"/>
    </row>
    <row r="9" spans="1:18" x14ac:dyDescent="0.25">
      <c r="A9" s="103" t="s">
        <v>15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>COUNT(#REF!,#REF!,K9,O9,S9,W9,AA9,AE9,AI9,AM9,AQ9,AU9,AY9,BC9,BG9,BK9,BO9,BS9,BW9)</f>
        <v>0</v>
      </c>
      <c r="I9" s="39"/>
      <c r="J9" s="63"/>
      <c r="K9" s="39"/>
      <c r="L9" s="39"/>
      <c r="M9" s="39"/>
      <c r="N9" s="63"/>
      <c r="O9" s="39"/>
      <c r="P9" s="39"/>
      <c r="Q9" s="39"/>
      <c r="R9" s="63"/>
    </row>
    <row r="10" spans="1:18" x14ac:dyDescent="0.25">
      <c r="A10" s="103" t="s">
        <v>18</v>
      </c>
      <c r="B10" s="46" t="s">
        <v>197</v>
      </c>
      <c r="C10" s="47">
        <v>2020</v>
      </c>
      <c r="D10" s="73">
        <f t="shared" si="0"/>
        <v>13</v>
      </c>
      <c r="E10" s="73">
        <f t="shared" si="1"/>
        <v>13</v>
      </c>
      <c r="F10" s="73">
        <f t="shared" si="2"/>
        <v>13</v>
      </c>
      <c r="G10" s="73">
        <f t="shared" si="3"/>
        <v>13</v>
      </c>
      <c r="H10" s="39">
        <f>COUNT(#REF!,#REF!,K10,O10,S10,W10,AA10,AE10,AI10,AM10,AQ10,AU10,AY10,BC10,BG10,BK10,BO10,BS10,BW10)</f>
        <v>1</v>
      </c>
      <c r="I10" s="39"/>
      <c r="J10" s="63"/>
      <c r="K10" s="39">
        <v>13</v>
      </c>
      <c r="L10" s="39"/>
      <c r="M10" s="39"/>
      <c r="N10" s="63"/>
      <c r="O10" s="39"/>
      <c r="P10" s="39"/>
      <c r="Q10" s="39"/>
      <c r="R10" s="63"/>
    </row>
    <row r="11" spans="1:18" x14ac:dyDescent="0.25">
      <c r="A11" s="103" t="s">
        <v>28</v>
      </c>
      <c r="B11" s="46" t="s">
        <v>197</v>
      </c>
      <c r="C11" s="47">
        <v>2020</v>
      </c>
      <c r="D11" s="73">
        <f t="shared" si="0"/>
        <v>213</v>
      </c>
      <c r="E11" s="73">
        <f t="shared" si="1"/>
        <v>213</v>
      </c>
      <c r="F11" s="73">
        <f t="shared" si="2"/>
        <v>213</v>
      </c>
      <c r="G11" s="73">
        <f t="shared" si="3"/>
        <v>213</v>
      </c>
      <c r="H11" s="39">
        <f>COUNT(#REF!,#REF!,K11,O11,S11,W11,AA11,AE11,AI11,AM11,AQ11,AU11,AY11,BC11,BG11,BK11,BO11,BS11,BW11)</f>
        <v>1</v>
      </c>
      <c r="I11" s="39"/>
      <c r="J11" s="63"/>
      <c r="K11" s="39">
        <v>213</v>
      </c>
      <c r="L11" s="39"/>
      <c r="M11" s="39"/>
      <c r="N11" s="63"/>
      <c r="O11" s="39"/>
      <c r="P11" s="39"/>
      <c r="Q11" s="39"/>
      <c r="R11" s="63"/>
    </row>
    <row r="12" spans="1:18" x14ac:dyDescent="0.25">
      <c r="A12" s="103" t="s">
        <v>33</v>
      </c>
      <c r="B12" s="46" t="s">
        <v>197</v>
      </c>
      <c r="C12" s="47">
        <v>2020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>COUNT(#REF!,#REF!,K12,O12,S12,W12,AA12,AE12,AI12,AM12,AQ12,AU12,AY12,BC12,BG12,BK12,BO12,BS12,BW12)</f>
        <v>0</v>
      </c>
      <c r="I12" s="39"/>
      <c r="J12" s="63"/>
      <c r="K12" s="39"/>
      <c r="L12" s="39"/>
      <c r="M12" s="39"/>
      <c r="N12" s="63"/>
      <c r="O12" s="39"/>
      <c r="P12" s="39"/>
      <c r="Q12" s="39"/>
      <c r="R12" s="63"/>
    </row>
    <row r="13" spans="1:18" x14ac:dyDescent="0.25">
      <c r="A13" s="103" t="s">
        <v>34</v>
      </c>
      <c r="B13" s="46" t="s">
        <v>197</v>
      </c>
      <c r="C13" s="47">
        <v>2020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>COUNT(#REF!,#REF!,K13,O13,S13,W13,AA13,AE13,AI13,AM13,AQ13,AU13,AY13,BC13,BG13,BK13,BO13,BS13,BW13)</f>
        <v>0</v>
      </c>
      <c r="I13" s="39"/>
      <c r="J13" s="63"/>
      <c r="K13" s="39"/>
      <c r="L13" s="39"/>
      <c r="M13" s="39"/>
      <c r="N13" s="63"/>
      <c r="O13" s="39"/>
      <c r="P13" s="39"/>
      <c r="Q13" s="39"/>
      <c r="R13" s="63"/>
    </row>
    <row r="14" spans="1:18" x14ac:dyDescent="0.25">
      <c r="A14" s="103" t="s">
        <v>38</v>
      </c>
      <c r="B14" s="46" t="s">
        <v>197</v>
      </c>
      <c r="C14" s="47">
        <v>2020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>COUNT(#REF!,#REF!,K14,O14,S14,W14,AA14,AE14,AI14,AM14,AQ14,AU14,AY14,BC14,BG14,BK14,BO14,BS14,BW14)</f>
        <v>0</v>
      </c>
      <c r="I14" s="39"/>
      <c r="J14" s="63"/>
      <c r="K14" s="39"/>
      <c r="L14" s="39"/>
      <c r="M14" s="39"/>
      <c r="N14" s="63"/>
      <c r="O14" s="39"/>
      <c r="P14" s="39"/>
      <c r="Q14" s="39"/>
      <c r="R14" s="63"/>
    </row>
    <row r="15" spans="1:18" x14ac:dyDescent="0.25">
      <c r="A15" s="103" t="s">
        <v>130</v>
      </c>
      <c r="B15" s="46" t="s">
        <v>197</v>
      </c>
      <c r="C15" s="47">
        <v>2020</v>
      </c>
      <c r="D15" s="73" t="e">
        <f t="shared" si="0"/>
        <v>#DIV/0!</v>
      </c>
      <c r="E15" s="73" t="e">
        <f t="shared" si="1"/>
        <v>#NUM!</v>
      </c>
      <c r="F15" s="73">
        <f t="shared" si="2"/>
        <v>0</v>
      </c>
      <c r="G15" s="73">
        <f t="shared" si="3"/>
        <v>0</v>
      </c>
      <c r="H15" s="39">
        <f>COUNT(#REF!,#REF!,K15,O15,S15,W15,AA15,AE15,AI15,AM15,AQ15,AU15,AY15,BC15,BG15,BK15,BO15,BS15,BW15)</f>
        <v>0</v>
      </c>
      <c r="I15" s="39"/>
      <c r="J15" s="63"/>
      <c r="K15" s="39"/>
      <c r="L15" s="39"/>
      <c r="M15" s="39"/>
      <c r="N15" s="63"/>
      <c r="O15" s="39"/>
      <c r="P15" s="39"/>
      <c r="Q15" s="39"/>
      <c r="R15" s="63"/>
    </row>
    <row r="16" spans="1:18" x14ac:dyDescent="0.25">
      <c r="A16" s="103" t="s">
        <v>42</v>
      </c>
      <c r="B16" s="46" t="s">
        <v>197</v>
      </c>
      <c r="C16" s="47">
        <v>2020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>COUNT(#REF!,#REF!,K16,O16,S16,W16,AA16,AE16,AI16,AM16,AQ16,AU16,AY16,BC16,BG16,BK16,BO16,BS16,BW16)</f>
        <v>0</v>
      </c>
      <c r="I16" s="39"/>
      <c r="J16" s="63"/>
      <c r="K16" s="39"/>
      <c r="L16" s="39"/>
      <c r="M16" s="39"/>
      <c r="N16" s="63"/>
      <c r="O16" s="39"/>
      <c r="P16" s="39"/>
      <c r="Q16" s="39"/>
      <c r="R16" s="63"/>
    </row>
    <row r="17" spans="1:18" x14ac:dyDescent="0.25">
      <c r="A17" s="103" t="s">
        <v>45</v>
      </c>
      <c r="B17" s="46" t="s">
        <v>197</v>
      </c>
      <c r="C17" s="47">
        <v>2020</v>
      </c>
      <c r="D17" s="73">
        <f t="shared" si="0"/>
        <v>23</v>
      </c>
      <c r="E17" s="73">
        <f t="shared" si="1"/>
        <v>23</v>
      </c>
      <c r="F17" s="73">
        <f t="shared" si="2"/>
        <v>23</v>
      </c>
      <c r="G17" s="73">
        <f t="shared" si="3"/>
        <v>23</v>
      </c>
      <c r="H17" s="39">
        <f>COUNT(#REF!,#REF!,K17,O17,S17,W17,AA17,AE17,AI17,AM17,AQ17,AU17,AY17,BC17,BG17,BK17,BO17,BS17,BW17)</f>
        <v>1</v>
      </c>
      <c r="I17" s="39"/>
      <c r="J17" s="63"/>
      <c r="K17" s="39">
        <v>23</v>
      </c>
      <c r="L17" s="39"/>
      <c r="M17" s="39"/>
      <c r="N17" s="63"/>
      <c r="O17" s="39"/>
      <c r="P17" s="39"/>
      <c r="Q17" s="39"/>
      <c r="R17" s="63"/>
    </row>
    <row r="18" spans="1:18" x14ac:dyDescent="0.25">
      <c r="A18" s="103" t="s">
        <v>56</v>
      </c>
      <c r="B18" s="46" t="s">
        <v>197</v>
      </c>
      <c r="C18" s="47">
        <v>2020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>COUNT(#REF!,#REF!,K18,O18,S18,W18,AA18,AE18,AI18,AM18,AQ18,AU18,AY18,BC18,BG18,BK18,BO18,BS18,BW18)</f>
        <v>0</v>
      </c>
      <c r="I18" s="39"/>
      <c r="J18" s="63"/>
      <c r="K18" s="39"/>
      <c r="L18" s="39"/>
      <c r="M18" s="39"/>
      <c r="N18" s="63"/>
      <c r="O18" s="39"/>
      <c r="P18" s="39"/>
      <c r="Q18" s="39"/>
      <c r="R18" s="63"/>
    </row>
    <row r="19" spans="1:18" x14ac:dyDescent="0.25">
      <c r="A19" s="103" t="s">
        <v>58</v>
      </c>
      <c r="B19" s="46" t="s">
        <v>197</v>
      </c>
      <c r="C19" s="47">
        <v>2020</v>
      </c>
      <c r="D19" s="73">
        <f t="shared" si="0"/>
        <v>400</v>
      </c>
      <c r="E19" s="73">
        <f t="shared" si="1"/>
        <v>400</v>
      </c>
      <c r="F19" s="73">
        <f t="shared" si="2"/>
        <v>400</v>
      </c>
      <c r="G19" s="73">
        <f t="shared" si="3"/>
        <v>400</v>
      </c>
      <c r="H19" s="39">
        <f>COUNT(#REF!,#REF!,K19,O19,S19,W19,AA19,AE19,AI19,AM19,AQ19,AU19,AY19,BC19,BG19,BK19,BO19,BS19,BW19)</f>
        <v>1</v>
      </c>
      <c r="I19" s="39"/>
      <c r="J19" s="63"/>
      <c r="K19" s="39">
        <v>400</v>
      </c>
      <c r="L19" s="39"/>
      <c r="M19" s="39"/>
      <c r="N19" s="63"/>
      <c r="O19" s="39"/>
      <c r="P19" s="39"/>
      <c r="Q19" s="39"/>
      <c r="R19" s="63"/>
    </row>
    <row r="20" spans="1:18" x14ac:dyDescent="0.25">
      <c r="A20" s="104" t="s">
        <v>57</v>
      </c>
      <c r="B20" s="46" t="s">
        <v>197</v>
      </c>
      <c r="C20" s="47">
        <v>2020</v>
      </c>
      <c r="D20" s="73" t="e">
        <f t="shared" si="0"/>
        <v>#DIV/0!</v>
      </c>
      <c r="E20" s="73" t="e">
        <f t="shared" si="1"/>
        <v>#NUM!</v>
      </c>
      <c r="F20" s="73">
        <f t="shared" si="2"/>
        <v>0</v>
      </c>
      <c r="G20" s="73">
        <f t="shared" si="3"/>
        <v>0</v>
      </c>
      <c r="H20" s="39">
        <f>COUNT(#REF!,#REF!,K20,O20,S20,W20,AA20,AE20,AI20,AM20,AQ20,AU20,AY20,BC20,BG20,BK20,BO20,BS20,BW20)</f>
        <v>0</v>
      </c>
      <c r="I20" s="39"/>
      <c r="J20" s="63"/>
      <c r="K20" s="39"/>
      <c r="L20" s="39"/>
      <c r="M20" s="61"/>
      <c r="N20" s="64"/>
      <c r="O20" s="39"/>
      <c r="P20" s="39"/>
      <c r="Q20" s="61"/>
      <c r="R20" s="64"/>
    </row>
    <row r="21" spans="1:18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</row>
  </sheetData>
  <mergeCells count="5">
    <mergeCell ref="D1:J1"/>
    <mergeCell ref="K1:N1"/>
    <mergeCell ref="O1:R1"/>
    <mergeCell ref="K2:N2"/>
    <mergeCell ref="O2:R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Z17"/>
  <sheetViews>
    <sheetView workbookViewId="0">
      <selection activeCell="H16" sqref="H16"/>
    </sheetView>
  </sheetViews>
  <sheetFormatPr defaultRowHeight="15" x14ac:dyDescent="0.25"/>
  <cols>
    <col min="1" max="1" width="10.85546875" bestFit="1" customWidth="1"/>
  </cols>
  <sheetData>
    <row r="1" spans="1:26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314</v>
      </c>
      <c r="L1" s="121"/>
      <c r="M1" s="121"/>
      <c r="N1" s="122"/>
      <c r="O1" s="114" t="s">
        <v>376</v>
      </c>
      <c r="P1" s="115"/>
      <c r="Q1" s="115"/>
      <c r="R1" s="116"/>
      <c r="S1" s="120" t="s">
        <v>379</v>
      </c>
      <c r="T1" s="121"/>
      <c r="U1" s="121"/>
      <c r="V1" s="122"/>
      <c r="W1" s="114"/>
      <c r="X1" s="115"/>
      <c r="Y1" s="115"/>
      <c r="Z1" s="116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371</v>
      </c>
      <c r="L2" s="130"/>
      <c r="M2" s="130"/>
      <c r="N2" s="131"/>
      <c r="O2" s="123" t="s">
        <v>371</v>
      </c>
      <c r="P2" s="124"/>
      <c r="Q2" s="124"/>
      <c r="R2" s="125"/>
      <c r="S2" s="129" t="s">
        <v>371</v>
      </c>
      <c r="T2" s="130"/>
      <c r="U2" s="130"/>
      <c r="V2" s="131"/>
      <c r="W2" s="123"/>
      <c r="X2" s="124"/>
      <c r="Y2" s="124"/>
      <c r="Z2" s="125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s="71" t="s">
        <v>3</v>
      </c>
      <c r="B5" s="46" t="s">
        <v>197</v>
      </c>
      <c r="C5" s="47">
        <v>2020</v>
      </c>
      <c r="D5" s="73">
        <f t="shared" ref="D5:D15" si="0">AVERAGE(K5,O5,S5,W5,AA5,AE5,AI5,AM5,AQ5,AU5,AY5,BC5,BG5,BK5,BO5,BS5,BW5,CA5)</f>
        <v>1037.5</v>
      </c>
      <c r="E5" s="73">
        <f t="shared" ref="E5:E15" si="1">MEDIAN(K5,O5,S5,W5,AA5,AE5,AI5,AM5,AQ5,AU5,AY5,BC5,BG5,BK5,BO5,BS5,BW5,CA5)</f>
        <v>1037.5</v>
      </c>
      <c r="F5" s="73">
        <f t="shared" ref="F5:F15" si="2">MIN(K5,O5,S5,W5,AA5,AE5,AI5,AM5,AQ5,AU5,AY5,BC5,BG5,BK5,BO5,BS5,BW5,CA5)</f>
        <v>1000</v>
      </c>
      <c r="G5" s="73">
        <f t="shared" ref="G5:G15" si="3">MAX(K5,O5,S5,W5,AA5,AE5,AI5,AM5,AQ5,AU5,AY5,BC5,BG5,BK5,BO5,BS5,BW5,CA5)</f>
        <v>1075</v>
      </c>
      <c r="H5" s="39">
        <f t="shared" ref="H5:H15" si="4">COUNT(K5,O5,S5,W5,AA5,AE5,AI5,AM5,AQ5,AU5,AY5,BC5,BG5,BK5,BO5,BS5,BW5,CA5,CE5)</f>
        <v>2</v>
      </c>
      <c r="I5" s="39"/>
      <c r="J5" s="63"/>
      <c r="K5" s="39">
        <v>1000</v>
      </c>
      <c r="L5" s="39"/>
      <c r="M5" s="39"/>
      <c r="N5" s="63"/>
      <c r="O5" s="39"/>
      <c r="P5" s="39"/>
      <c r="Q5" s="39"/>
      <c r="R5" s="63"/>
      <c r="S5" s="39">
        <v>1075</v>
      </c>
      <c r="T5" s="39"/>
      <c r="U5" s="39"/>
      <c r="V5" s="63"/>
      <c r="W5" s="39"/>
      <c r="X5" s="39"/>
      <c r="Y5" s="39"/>
      <c r="Z5" s="63"/>
    </row>
    <row r="6" spans="1:26" x14ac:dyDescent="0.25">
      <c r="A6" s="72" t="s">
        <v>12</v>
      </c>
      <c r="B6" s="46" t="s">
        <v>197</v>
      </c>
      <c r="C6" s="47">
        <v>2020</v>
      </c>
      <c r="D6" s="73">
        <f t="shared" si="0"/>
        <v>5000</v>
      </c>
      <c r="E6" s="73">
        <f t="shared" si="1"/>
        <v>5000</v>
      </c>
      <c r="F6" s="73">
        <f t="shared" si="2"/>
        <v>5000</v>
      </c>
      <c r="G6" s="73">
        <f t="shared" si="3"/>
        <v>5000</v>
      </c>
      <c r="H6" s="39">
        <f t="shared" si="4"/>
        <v>1</v>
      </c>
      <c r="I6" s="39"/>
      <c r="J6" s="63"/>
      <c r="K6" s="39">
        <v>5000</v>
      </c>
      <c r="L6" s="39"/>
      <c r="M6" s="39"/>
      <c r="N6" s="63"/>
      <c r="O6" s="39"/>
      <c r="P6" s="39"/>
      <c r="Q6" s="39"/>
      <c r="R6" s="63"/>
      <c r="S6" s="39"/>
      <c r="T6" s="39"/>
      <c r="U6" s="39"/>
      <c r="V6" s="63"/>
      <c r="W6" s="39"/>
      <c r="X6" s="39"/>
      <c r="Y6" s="39"/>
      <c r="Z6" s="63"/>
    </row>
    <row r="7" spans="1:26" x14ac:dyDescent="0.25">
      <c r="A7" s="72" t="s">
        <v>15</v>
      </c>
      <c r="B7" s="46" t="s">
        <v>197</v>
      </c>
      <c r="C7" s="47">
        <v>2020</v>
      </c>
      <c r="D7" s="73">
        <f t="shared" si="0"/>
        <v>5500</v>
      </c>
      <c r="E7" s="73">
        <f t="shared" si="1"/>
        <v>5500</v>
      </c>
      <c r="F7" s="73">
        <f t="shared" si="2"/>
        <v>5500</v>
      </c>
      <c r="G7" s="73">
        <f t="shared" si="3"/>
        <v>5500</v>
      </c>
      <c r="H7" s="39">
        <f t="shared" si="4"/>
        <v>1</v>
      </c>
      <c r="I7" s="39"/>
      <c r="J7" s="63"/>
      <c r="K7" s="39">
        <v>5500</v>
      </c>
      <c r="L7" s="39"/>
      <c r="M7" s="39"/>
      <c r="N7" s="63"/>
      <c r="O7" s="39"/>
      <c r="P7" s="39"/>
      <c r="Q7" s="39"/>
      <c r="R7" s="63"/>
      <c r="S7" s="39"/>
      <c r="T7" s="39"/>
      <c r="U7" s="39"/>
      <c r="V7" s="63"/>
      <c r="W7" s="39"/>
      <c r="X7" s="39"/>
      <c r="Y7" s="39"/>
      <c r="Z7" s="63"/>
    </row>
    <row r="8" spans="1:26" x14ac:dyDescent="0.25">
      <c r="A8" s="72" t="s">
        <v>28</v>
      </c>
      <c r="B8" s="46" t="s">
        <v>197</v>
      </c>
      <c r="C8" s="47">
        <v>2020</v>
      </c>
      <c r="D8" s="73">
        <f t="shared" si="0"/>
        <v>5.55</v>
      </c>
      <c r="E8" s="73">
        <f t="shared" si="1"/>
        <v>5.55</v>
      </c>
      <c r="F8" s="73">
        <f t="shared" si="2"/>
        <v>0</v>
      </c>
      <c r="G8" s="73">
        <f t="shared" si="3"/>
        <v>11.1</v>
      </c>
      <c r="H8" s="39">
        <f t="shared" si="4"/>
        <v>2</v>
      </c>
      <c r="I8" s="39"/>
      <c r="J8" s="63"/>
      <c r="K8" s="39">
        <v>0</v>
      </c>
      <c r="L8" s="39"/>
      <c r="M8" s="39"/>
      <c r="N8" s="63"/>
      <c r="O8" s="39"/>
      <c r="P8" s="39"/>
      <c r="Q8" s="39"/>
      <c r="R8" s="63"/>
      <c r="S8" s="39">
        <v>11.1</v>
      </c>
      <c r="T8" s="39"/>
      <c r="U8" s="39"/>
      <c r="V8" s="63"/>
      <c r="W8" s="39"/>
      <c r="X8" s="39"/>
      <c r="Y8" s="39"/>
      <c r="Z8" s="63"/>
    </row>
    <row r="9" spans="1:26" x14ac:dyDescent="0.25">
      <c r="A9" s="72" t="s">
        <v>33</v>
      </c>
      <c r="B9" s="46" t="s">
        <v>197</v>
      </c>
      <c r="C9" s="47">
        <v>2020</v>
      </c>
      <c r="D9" s="73">
        <f t="shared" si="0"/>
        <v>0</v>
      </c>
      <c r="E9" s="73">
        <f t="shared" si="1"/>
        <v>0</v>
      </c>
      <c r="F9" s="73">
        <f t="shared" si="2"/>
        <v>0</v>
      </c>
      <c r="G9" s="73">
        <f t="shared" si="3"/>
        <v>0</v>
      </c>
      <c r="H9" s="39">
        <f t="shared" si="4"/>
        <v>1</v>
      </c>
      <c r="I9" s="39"/>
      <c r="J9" s="63"/>
      <c r="K9" s="39">
        <v>0</v>
      </c>
      <c r="L9" s="39"/>
      <c r="M9" s="39"/>
      <c r="N9" s="63"/>
      <c r="O9" s="39"/>
      <c r="P9" s="39"/>
      <c r="Q9" s="39"/>
      <c r="R9" s="63"/>
      <c r="S9" s="39"/>
      <c r="T9" s="39"/>
      <c r="U9" s="39"/>
      <c r="V9" s="63"/>
      <c r="W9" s="39"/>
      <c r="X9" s="39"/>
      <c r="Y9" s="39"/>
      <c r="Z9" s="63"/>
    </row>
    <row r="10" spans="1:26" x14ac:dyDescent="0.25">
      <c r="A10" s="72" t="s">
        <v>34</v>
      </c>
      <c r="B10" s="46" t="s">
        <v>197</v>
      </c>
      <c r="C10" s="47">
        <v>2020</v>
      </c>
      <c r="D10" s="73">
        <f t="shared" si="0"/>
        <v>20</v>
      </c>
      <c r="E10" s="73">
        <f t="shared" si="1"/>
        <v>20</v>
      </c>
      <c r="F10" s="73">
        <f t="shared" si="2"/>
        <v>20</v>
      </c>
      <c r="G10" s="73">
        <f t="shared" si="3"/>
        <v>20</v>
      </c>
      <c r="H10" s="39">
        <f t="shared" si="4"/>
        <v>1</v>
      </c>
      <c r="I10" s="39"/>
      <c r="J10" s="63"/>
      <c r="K10" s="39">
        <v>20</v>
      </c>
      <c r="L10" s="39"/>
      <c r="M10" s="39"/>
      <c r="N10" s="63"/>
      <c r="O10" s="39"/>
      <c r="P10" s="39"/>
      <c r="Q10" s="39"/>
      <c r="R10" s="63"/>
      <c r="S10" s="39"/>
      <c r="T10" s="39"/>
      <c r="U10" s="39"/>
      <c r="V10" s="63"/>
      <c r="W10" s="39"/>
      <c r="X10" s="39"/>
      <c r="Y10" s="39"/>
      <c r="Z10" s="63"/>
    </row>
    <row r="11" spans="1:26" x14ac:dyDescent="0.25">
      <c r="A11" s="72" t="s">
        <v>38</v>
      </c>
      <c r="B11" s="46" t="s">
        <v>197</v>
      </c>
      <c r="C11" s="47">
        <v>2020</v>
      </c>
      <c r="D11" s="73">
        <f t="shared" si="0"/>
        <v>1700</v>
      </c>
      <c r="E11" s="73">
        <f t="shared" si="1"/>
        <v>1700</v>
      </c>
      <c r="F11" s="73">
        <f t="shared" si="2"/>
        <v>1700</v>
      </c>
      <c r="G11" s="73">
        <f t="shared" si="3"/>
        <v>1700</v>
      </c>
      <c r="H11" s="39">
        <f t="shared" si="4"/>
        <v>1</v>
      </c>
      <c r="I11" s="39"/>
      <c r="J11" s="63"/>
      <c r="K11" s="39">
        <v>1700</v>
      </c>
      <c r="L11" s="39"/>
      <c r="M11" s="39"/>
      <c r="N11" s="63"/>
      <c r="O11" s="39"/>
      <c r="P11" s="39"/>
      <c r="Q11" s="39"/>
      <c r="R11" s="63"/>
      <c r="S11" s="39"/>
      <c r="T11" s="39"/>
      <c r="U11" s="39"/>
      <c r="V11" s="63"/>
      <c r="W11" s="39"/>
      <c r="X11" s="39"/>
      <c r="Y11" s="39"/>
      <c r="Z11" s="63"/>
    </row>
    <row r="12" spans="1:26" x14ac:dyDescent="0.25">
      <c r="A12" s="72" t="s">
        <v>130</v>
      </c>
      <c r="B12" s="46" t="s">
        <v>197</v>
      </c>
      <c r="C12" s="47">
        <v>2020</v>
      </c>
      <c r="D12" s="73">
        <f t="shared" si="0"/>
        <v>0.5</v>
      </c>
      <c r="E12" s="73">
        <f t="shared" si="1"/>
        <v>0.5</v>
      </c>
      <c r="F12" s="73">
        <f t="shared" si="2"/>
        <v>0.5</v>
      </c>
      <c r="G12" s="73">
        <f t="shared" si="3"/>
        <v>0.5</v>
      </c>
      <c r="H12" s="39">
        <f t="shared" si="4"/>
        <v>1</v>
      </c>
      <c r="I12" s="39"/>
      <c r="J12" s="63"/>
      <c r="K12" s="39">
        <v>0.5</v>
      </c>
      <c r="L12" s="39"/>
      <c r="M12" s="39"/>
      <c r="N12" s="63"/>
      <c r="O12" s="39"/>
      <c r="P12" s="39"/>
      <c r="Q12" s="39"/>
      <c r="R12" s="63"/>
      <c r="S12" s="39"/>
      <c r="T12" s="39"/>
      <c r="U12" s="39"/>
      <c r="V12" s="63"/>
      <c r="W12" s="39"/>
      <c r="X12" s="39"/>
      <c r="Y12" s="39"/>
      <c r="Z12" s="63"/>
    </row>
    <row r="13" spans="1:26" x14ac:dyDescent="0.25">
      <c r="A13" s="72" t="s">
        <v>42</v>
      </c>
      <c r="B13" s="46" t="s">
        <v>197</v>
      </c>
      <c r="C13" s="47">
        <v>2020</v>
      </c>
      <c r="D13" s="73">
        <f t="shared" si="0"/>
        <v>5.7495714285714286</v>
      </c>
      <c r="E13" s="73">
        <f t="shared" si="1"/>
        <v>5</v>
      </c>
      <c r="F13" s="73">
        <f t="shared" si="2"/>
        <v>4.2857142857142865</v>
      </c>
      <c r="G13" s="73">
        <f t="shared" si="3"/>
        <v>7.9630000000000001</v>
      </c>
      <c r="H13" s="39">
        <f t="shared" si="4"/>
        <v>3</v>
      </c>
      <c r="I13" s="39"/>
      <c r="J13" s="63"/>
      <c r="K13" s="39">
        <v>5</v>
      </c>
      <c r="L13" s="39"/>
      <c r="M13" s="39"/>
      <c r="N13" s="63"/>
      <c r="O13" s="89">
        <v>4.2857142857142865</v>
      </c>
      <c r="P13" s="39"/>
      <c r="Q13" s="39"/>
      <c r="R13" s="63"/>
      <c r="S13" s="39">
        <v>7.9630000000000001</v>
      </c>
      <c r="T13" s="39"/>
      <c r="U13" s="39"/>
      <c r="V13" s="63"/>
      <c r="W13" s="39"/>
      <c r="X13" s="39"/>
      <c r="Y13" s="39"/>
      <c r="Z13" s="63"/>
    </row>
    <row r="14" spans="1:26" x14ac:dyDescent="0.25">
      <c r="A14" s="72" t="s">
        <v>56</v>
      </c>
      <c r="B14" s="46" t="s">
        <v>197</v>
      </c>
      <c r="C14" s="47">
        <v>2020</v>
      </c>
      <c r="D14" s="73">
        <f t="shared" si="0"/>
        <v>0</v>
      </c>
      <c r="E14" s="73">
        <f t="shared" si="1"/>
        <v>0</v>
      </c>
      <c r="F14" s="73">
        <f t="shared" si="2"/>
        <v>0</v>
      </c>
      <c r="G14" s="73">
        <f t="shared" si="3"/>
        <v>0</v>
      </c>
      <c r="H14" s="39">
        <f t="shared" si="4"/>
        <v>1</v>
      </c>
      <c r="I14" s="39"/>
      <c r="J14" s="63"/>
      <c r="K14" s="39">
        <v>0</v>
      </c>
      <c r="L14" s="39"/>
      <c r="M14" s="39"/>
      <c r="N14" s="63"/>
      <c r="O14" s="39"/>
      <c r="P14" s="39"/>
      <c r="Q14" s="39"/>
      <c r="R14" s="63"/>
      <c r="S14" s="39"/>
      <c r="T14" s="39"/>
      <c r="U14" s="39"/>
      <c r="V14" s="63"/>
      <c r="W14" s="39"/>
      <c r="X14" s="39"/>
      <c r="Y14" s="39"/>
      <c r="Z14" s="63"/>
    </row>
    <row r="15" spans="1:26" x14ac:dyDescent="0.25">
      <c r="A15" s="72" t="s">
        <v>58</v>
      </c>
      <c r="B15" s="46" t="s">
        <v>197</v>
      </c>
      <c r="C15" s="47">
        <v>2020</v>
      </c>
      <c r="D15" s="73">
        <f t="shared" si="0"/>
        <v>0</v>
      </c>
      <c r="E15" s="73">
        <f t="shared" si="1"/>
        <v>0</v>
      </c>
      <c r="F15" s="73">
        <f t="shared" si="2"/>
        <v>0</v>
      </c>
      <c r="G15" s="73">
        <f t="shared" si="3"/>
        <v>0</v>
      </c>
      <c r="H15" s="39">
        <f t="shared" si="4"/>
        <v>1</v>
      </c>
      <c r="I15" s="39"/>
      <c r="J15" s="63"/>
      <c r="K15" s="39">
        <v>0</v>
      </c>
      <c r="L15" s="39"/>
      <c r="M15" s="39"/>
      <c r="N15" s="63"/>
      <c r="O15" s="39"/>
      <c r="P15" s="39"/>
      <c r="Q15" s="39"/>
      <c r="R15" s="63"/>
      <c r="S15" s="39"/>
      <c r="T15" s="39"/>
      <c r="U15" s="39"/>
      <c r="V15" s="63"/>
      <c r="W15" s="39"/>
      <c r="X15" s="39"/>
      <c r="Y15" s="39"/>
      <c r="Z15" s="63"/>
    </row>
    <row r="16" spans="1:26" x14ac:dyDescent="0.25">
      <c r="A16" s="102" t="s">
        <v>57</v>
      </c>
      <c r="B16" s="46" t="s">
        <v>197</v>
      </c>
      <c r="C16" s="47">
        <v>2020</v>
      </c>
      <c r="D16" s="73">
        <f>AVERAGE(K16,O16,S16,W16,AA16,AE16,AI16,AM16,AQ16,AU16,AY16,BC16,BG16,BK16,BO16,BS16,BW16,CA16)</f>
        <v>3419.2989678053573</v>
      </c>
      <c r="E16" s="73">
        <f>MEDIAN(K16,O16,S16,W16,AA16,AE16,AI16,AM16,AQ16,AU16,AY16,BC16,BG16,BK16,BO16,BS16,BW16,CA16)</f>
        <v>3419.2989678053573</v>
      </c>
      <c r="F16" s="73">
        <f>MIN(K16,O16,S16,W16,AA16,AE16,AI16,AM16,AQ16,AU16,AY16,BC16,BG16,BK16,BO16,BS16,BW16,CA16)</f>
        <v>2300</v>
      </c>
      <c r="G16" s="73">
        <f>MAX(K16,O16,S16,W16,AA16,AE16,AI16,AM16,AQ16,AU16,AY16,BC16,BG16,BK16,BO16,BS16,BW16,CA16)</f>
        <v>4538.5979356107146</v>
      </c>
      <c r="H16" s="39">
        <f>COUNT(K16,O16,S16,W16,AA16,AE16,AI16,AM16,AQ16,AU16,AY16,BC16,BG16,BK16,BO16,BS16,BW16,CA16,CE16)</f>
        <v>2</v>
      </c>
      <c r="I16" s="39"/>
      <c r="J16" s="63"/>
      <c r="K16" s="39">
        <v>2300</v>
      </c>
      <c r="L16" s="39"/>
      <c r="M16" s="61"/>
      <c r="N16" s="64"/>
      <c r="O16" s="39"/>
      <c r="P16" s="39"/>
      <c r="Q16" s="61"/>
      <c r="R16" s="64"/>
      <c r="S16" s="39">
        <v>4538.5979356107146</v>
      </c>
      <c r="T16" s="39"/>
      <c r="U16" s="61"/>
      <c r="V16" s="64"/>
      <c r="W16" s="39"/>
      <c r="X16" s="39"/>
      <c r="Y16" s="61"/>
      <c r="Z16" s="64"/>
    </row>
    <row r="17" spans="1:26" x14ac:dyDescent="0.25">
      <c r="A17" s="41"/>
      <c r="B17" s="48"/>
      <c r="C17" s="48"/>
      <c r="D17" s="41"/>
      <c r="E17" s="41"/>
      <c r="F17" s="41"/>
      <c r="G17" s="41"/>
      <c r="H17" s="52"/>
      <c r="I17" s="41"/>
      <c r="J17" s="57"/>
      <c r="K17" s="41"/>
      <c r="L17" s="41"/>
      <c r="M17" s="52"/>
      <c r="N17" s="57"/>
      <c r="O17" s="41"/>
      <c r="P17" s="41"/>
      <c r="Q17" s="52"/>
      <c r="R17" s="57"/>
      <c r="S17" s="41"/>
      <c r="T17" s="41"/>
      <c r="U17" s="52"/>
      <c r="V17" s="57"/>
      <c r="W17" s="41"/>
      <c r="X17" s="41"/>
      <c r="Y17" s="52"/>
      <c r="Z17" s="57"/>
    </row>
  </sheetData>
  <mergeCells count="9"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12"/>
  <sheetViews>
    <sheetView workbookViewId="0">
      <pane xSplit="1" topLeftCell="B1" activePane="topRight" state="frozen"/>
      <selection pane="topRight" activeCell="U19" sqref="U19"/>
    </sheetView>
  </sheetViews>
  <sheetFormatPr defaultRowHeight="15" x14ac:dyDescent="0.25"/>
  <cols>
    <col min="1" max="1" width="10.8554687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383</v>
      </c>
      <c r="L1" s="121"/>
      <c r="M1" s="121"/>
      <c r="N1" s="122"/>
      <c r="O1" s="114" t="s">
        <v>385</v>
      </c>
      <c r="P1" s="115"/>
      <c r="Q1" s="115"/>
      <c r="R1" s="116"/>
      <c r="S1" s="120" t="s">
        <v>191</v>
      </c>
      <c r="T1" s="121"/>
      <c r="U1" s="121"/>
      <c r="V1" s="122"/>
      <c r="W1" s="114" t="s">
        <v>387</v>
      </c>
      <c r="X1" s="115"/>
      <c r="Y1" s="115"/>
      <c r="Z1" s="116"/>
      <c r="AA1" s="120" t="s">
        <v>392</v>
      </c>
      <c r="AB1" s="121"/>
      <c r="AC1" s="121"/>
      <c r="AD1" s="122"/>
      <c r="AE1" s="114" t="s">
        <v>393</v>
      </c>
      <c r="AF1" s="115"/>
      <c r="AG1" s="115"/>
      <c r="AH1" s="116"/>
      <c r="AI1" s="120" t="s">
        <v>394</v>
      </c>
      <c r="AJ1" s="121"/>
      <c r="AK1" s="121"/>
      <c r="AL1" s="122"/>
      <c r="AM1" s="114" t="s">
        <v>358</v>
      </c>
      <c r="AN1" s="115"/>
      <c r="AO1" s="115"/>
      <c r="AP1" s="116"/>
      <c r="AQ1" s="120" t="s">
        <v>400</v>
      </c>
      <c r="AR1" s="121"/>
      <c r="AS1" s="121"/>
      <c r="AT1" s="122"/>
      <c r="AU1" s="114" t="s">
        <v>401</v>
      </c>
      <c r="AV1" s="115"/>
      <c r="AW1" s="115"/>
      <c r="AX1" s="116"/>
      <c r="AY1" s="120"/>
      <c r="AZ1" s="121"/>
      <c r="BA1" s="121"/>
      <c r="BB1" s="122"/>
      <c r="BC1" s="114"/>
      <c r="BD1" s="115"/>
      <c r="BE1" s="115"/>
      <c r="BF1" s="116"/>
      <c r="BG1" s="120"/>
      <c r="BH1" s="121"/>
      <c r="BI1" s="121"/>
      <c r="BJ1" s="122"/>
      <c r="BK1" s="114"/>
      <c r="BL1" s="115"/>
      <c r="BM1" s="115"/>
      <c r="BN1" s="116"/>
      <c r="BO1" s="120"/>
      <c r="BP1" s="121"/>
      <c r="BQ1" s="121"/>
      <c r="BR1" s="122"/>
      <c r="BS1" s="114"/>
      <c r="BT1" s="115"/>
      <c r="BU1" s="115"/>
      <c r="BV1" s="116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384</v>
      </c>
      <c r="L2" s="130"/>
      <c r="M2" s="130"/>
      <c r="N2" s="131"/>
      <c r="O2" s="123" t="s">
        <v>384</v>
      </c>
      <c r="P2" s="124"/>
      <c r="Q2" s="124"/>
      <c r="R2" s="125"/>
      <c r="S2" s="129" t="s">
        <v>384</v>
      </c>
      <c r="T2" s="130"/>
      <c r="U2" s="130"/>
      <c r="V2" s="131"/>
      <c r="W2" s="123" t="s">
        <v>384</v>
      </c>
      <c r="X2" s="124"/>
      <c r="Y2" s="124"/>
      <c r="Z2" s="125"/>
      <c r="AA2" s="129" t="s">
        <v>384</v>
      </c>
      <c r="AB2" s="130"/>
      <c r="AC2" s="130"/>
      <c r="AD2" s="131"/>
      <c r="AE2" s="123" t="s">
        <v>384</v>
      </c>
      <c r="AF2" s="124"/>
      <c r="AG2" s="124"/>
      <c r="AH2" s="125"/>
      <c r="AI2" s="129" t="s">
        <v>384</v>
      </c>
      <c r="AJ2" s="130"/>
      <c r="AK2" s="130"/>
      <c r="AL2" s="131"/>
      <c r="AM2" s="123" t="s">
        <v>384</v>
      </c>
      <c r="AN2" s="124"/>
      <c r="AO2" s="124"/>
      <c r="AP2" s="125"/>
      <c r="AQ2" s="129" t="s">
        <v>384</v>
      </c>
      <c r="AR2" s="130"/>
      <c r="AS2" s="130"/>
      <c r="AT2" s="131"/>
      <c r="AU2" s="123" t="s">
        <v>384</v>
      </c>
      <c r="AV2" s="124"/>
      <c r="AW2" s="124"/>
      <c r="AX2" s="125"/>
      <c r="AY2" s="129"/>
      <c r="AZ2" s="130"/>
      <c r="BA2" s="130"/>
      <c r="BB2" s="131"/>
      <c r="BC2" s="123"/>
      <c r="BD2" s="124"/>
      <c r="BE2" s="124"/>
      <c r="BF2" s="125"/>
      <c r="BG2" s="129"/>
      <c r="BH2" s="130"/>
      <c r="BI2" s="130"/>
      <c r="BJ2" s="131"/>
      <c r="BK2" s="123"/>
      <c r="BL2" s="124"/>
      <c r="BM2" s="124"/>
      <c r="BN2" s="125"/>
      <c r="BO2" s="129"/>
      <c r="BP2" s="130"/>
      <c r="BQ2" s="130"/>
      <c r="BR2" s="131"/>
      <c r="BS2" s="123"/>
      <c r="BT2" s="124"/>
      <c r="BU2" s="124"/>
      <c r="BV2" s="125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39"/>
      <c r="B5" s="45"/>
      <c r="C5" s="46"/>
      <c r="D5" s="39"/>
      <c r="E5" s="39"/>
      <c r="F5" s="39"/>
      <c r="G5" s="39"/>
      <c r="H5" s="39"/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/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/>
      <c r="BP5" s="39"/>
      <c r="BQ5" s="39"/>
      <c r="BR5" s="63"/>
      <c r="BS5" s="39"/>
      <c r="BT5" s="39"/>
      <c r="BU5" s="39"/>
      <c r="BV5" s="63"/>
    </row>
    <row r="6" spans="1:74" x14ac:dyDescent="0.25">
      <c r="A6" s="71" t="s">
        <v>15</v>
      </c>
      <c r="B6" s="46" t="s">
        <v>197</v>
      </c>
      <c r="C6" s="47">
        <v>2020</v>
      </c>
      <c r="D6" s="89">
        <f t="shared" ref="D6:D11" si="0">AVERAGE(K6,O6,S6,W6,AA6,AE6,AI6,AM6,AQ6,AU6,AY6,BC6,BG6,BK6,BO6,BS6,BW6,CA6)</f>
        <v>700</v>
      </c>
      <c r="E6" s="89">
        <f t="shared" ref="E6:E11" si="1">MEDIAN(K6,O6,S6,W6,AA6,AE6,AI6,AM6,AQ6,AU6,AY6,BC6,BG6,BK6,BO6,BS6,BW6,CA6)</f>
        <v>700</v>
      </c>
      <c r="F6" s="89">
        <f t="shared" ref="F6:F11" si="2">MIN(K6,O6,S6,W6,AA6,AE6,AI6,AM6,AQ6,AU6,AY6,BC6,BG6,BK6,BO6,BS6,BW6,CA6)</f>
        <v>700</v>
      </c>
      <c r="G6" s="89">
        <f t="shared" ref="G6:G11" si="3">MAX(K6,O6,S6,W6,AA6,AE6,AI6,AM6,AQ6,AU6,AY6,BC6,BG6,BK6,BO6,BS6,BW6,CA6)</f>
        <v>700</v>
      </c>
      <c r="H6" s="39">
        <f t="shared" ref="H6:H11" si="4">COUNT(K6,O6,S6,W6,AA6,AE6,AI6,AM6,AQ6,AU6,AY6,BC6,BG6,BK6,BO6,BS6,BW6,CA6,CE6)</f>
        <v>1</v>
      </c>
      <c r="I6" s="39"/>
      <c r="J6" s="63"/>
      <c r="K6" s="39"/>
      <c r="L6" s="39"/>
      <c r="M6" s="39"/>
      <c r="N6" s="63"/>
      <c r="O6" s="39"/>
      <c r="P6" s="39"/>
      <c r="Q6" s="39"/>
      <c r="R6" s="63"/>
      <c r="S6" s="39"/>
      <c r="T6" s="39"/>
      <c r="U6" s="39"/>
      <c r="V6" s="63"/>
      <c r="W6" s="39"/>
      <c r="X6" s="39"/>
      <c r="Y6" s="39"/>
      <c r="Z6" s="63"/>
      <c r="AA6" s="39"/>
      <c r="AB6" s="39"/>
      <c r="AC6" s="39"/>
      <c r="AD6" s="63"/>
      <c r="AE6" s="39"/>
      <c r="AF6" s="39"/>
      <c r="AG6" s="39"/>
      <c r="AH6" s="63"/>
      <c r="AI6" s="39"/>
      <c r="AJ6" s="39"/>
      <c r="AK6" s="39"/>
      <c r="AL6" s="63"/>
      <c r="AM6" s="39">
        <v>700</v>
      </c>
      <c r="AN6" s="39"/>
      <c r="AO6" s="39"/>
      <c r="AP6" s="63"/>
      <c r="AQ6" s="39"/>
      <c r="AR6" s="39"/>
      <c r="AS6" s="39"/>
      <c r="AT6" s="63"/>
      <c r="AU6" s="39"/>
      <c r="AV6" s="39"/>
      <c r="AW6" s="39"/>
      <c r="AX6" s="63"/>
      <c r="AY6" s="39"/>
      <c r="AZ6" s="39"/>
      <c r="BA6" s="39"/>
      <c r="BB6" s="63"/>
      <c r="BC6" s="39"/>
      <c r="BD6" s="39"/>
      <c r="BE6" s="39"/>
      <c r="BF6" s="63"/>
      <c r="BG6" s="39"/>
      <c r="BH6" s="39"/>
      <c r="BI6" s="39"/>
      <c r="BJ6" s="63"/>
      <c r="BK6" s="39"/>
      <c r="BL6" s="39"/>
      <c r="BM6" s="39"/>
      <c r="BN6" s="63"/>
      <c r="BO6" s="39"/>
      <c r="BP6" s="39"/>
      <c r="BQ6" s="39"/>
      <c r="BR6" s="63"/>
      <c r="BS6" s="39"/>
      <c r="BT6" s="39"/>
      <c r="BU6" s="39"/>
      <c r="BV6" s="63"/>
    </row>
    <row r="7" spans="1:74" x14ac:dyDescent="0.25">
      <c r="A7" s="71" t="s">
        <v>26</v>
      </c>
      <c r="B7" s="46" t="s">
        <v>197</v>
      </c>
      <c r="C7" s="47">
        <v>2020</v>
      </c>
      <c r="D7" s="89">
        <f t="shared" si="0"/>
        <v>1.2238986330830393</v>
      </c>
      <c r="E7" s="89">
        <f t="shared" si="1"/>
        <v>0.73801742919389979</v>
      </c>
      <c r="F7" s="89">
        <f t="shared" si="2"/>
        <v>0.33998832293513492</v>
      </c>
      <c r="G7" s="89">
        <f t="shared" si="3"/>
        <v>4.166666666666667</v>
      </c>
      <c r="H7" s="39">
        <f t="shared" si="4"/>
        <v>10</v>
      </c>
      <c r="I7" s="39"/>
      <c r="J7" s="63"/>
      <c r="K7" s="89">
        <v>0.7407407407407407</v>
      </c>
      <c r="L7" s="39"/>
      <c r="M7" s="61"/>
      <c r="N7" s="64"/>
      <c r="O7" s="39">
        <v>0.73529411764705888</v>
      </c>
      <c r="P7" s="39"/>
      <c r="Q7" s="61"/>
      <c r="R7" s="64"/>
      <c r="S7" s="39">
        <v>4.166666666666667</v>
      </c>
      <c r="T7" s="39"/>
      <c r="U7" s="61"/>
      <c r="V7" s="64"/>
      <c r="W7" s="39">
        <v>1.1976047904191618</v>
      </c>
      <c r="X7" s="39"/>
      <c r="Y7" s="61"/>
      <c r="Z7" s="64"/>
      <c r="AA7" s="39">
        <v>1.1764705882352942</v>
      </c>
      <c r="AB7" s="39"/>
      <c r="AC7" s="61"/>
      <c r="AD7" s="64"/>
      <c r="AE7" s="39">
        <v>2.2325029064106054</v>
      </c>
      <c r="AF7" s="39"/>
      <c r="AG7" s="61"/>
      <c r="AH7" s="64"/>
      <c r="AI7" s="39">
        <v>0.66700000000000004</v>
      </c>
      <c r="AJ7" s="39"/>
      <c r="AK7" s="61"/>
      <c r="AL7" s="64"/>
      <c r="AM7" s="39">
        <v>0.6</v>
      </c>
      <c r="AN7" s="39"/>
      <c r="AO7" s="61"/>
      <c r="AP7" s="64"/>
      <c r="AQ7" s="39">
        <v>0.38271819777573185</v>
      </c>
      <c r="AR7" s="39"/>
      <c r="AS7" s="61"/>
      <c r="AT7" s="64"/>
      <c r="AU7" s="39">
        <v>0.33998832293513492</v>
      </c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t="s">
        <v>42</v>
      </c>
      <c r="B8" s="46" t="s">
        <v>197</v>
      </c>
      <c r="C8" s="47">
        <v>2020</v>
      </c>
      <c r="D8" s="89">
        <f t="shared" si="0"/>
        <v>0.37318899083840273</v>
      </c>
      <c r="E8" s="89">
        <f t="shared" si="1"/>
        <v>0.30468807951932353</v>
      </c>
      <c r="F8" s="89">
        <f t="shared" si="2"/>
        <v>3.7499999999999999E-2</v>
      </c>
      <c r="G8" s="89">
        <f t="shared" si="3"/>
        <v>1.0416666666666667</v>
      </c>
      <c r="H8" s="39">
        <f t="shared" si="4"/>
        <v>10</v>
      </c>
      <c r="I8" s="39"/>
      <c r="J8" s="63"/>
      <c r="K8" s="89">
        <v>7.407407407407407E-2</v>
      </c>
      <c r="L8" s="39"/>
      <c r="M8" s="61"/>
      <c r="N8" s="64"/>
      <c r="O8" s="39">
        <v>0.22058823529411764</v>
      </c>
      <c r="P8" s="39"/>
      <c r="Q8" s="61"/>
      <c r="R8" s="64"/>
      <c r="S8" s="39">
        <v>1.0416666666666667</v>
      </c>
      <c r="T8" s="39"/>
      <c r="U8" s="61"/>
      <c r="V8" s="64"/>
      <c r="W8" s="39">
        <v>0.47904191616766473</v>
      </c>
      <c r="X8" s="39"/>
      <c r="Y8" s="61"/>
      <c r="Z8" s="64"/>
      <c r="AA8" s="39">
        <v>0.29411764705882354</v>
      </c>
      <c r="AB8" s="39"/>
      <c r="AC8" s="61"/>
      <c r="AD8" s="64"/>
      <c r="AE8" s="39">
        <v>0.52083333333333337</v>
      </c>
      <c r="AF8" s="39"/>
      <c r="AG8" s="61"/>
      <c r="AH8" s="64"/>
      <c r="AI8" s="39">
        <v>3.7499999999999999E-2</v>
      </c>
      <c r="AJ8" s="39"/>
      <c r="AK8" s="61"/>
      <c r="AL8" s="64"/>
      <c r="AM8" s="39">
        <v>0.6</v>
      </c>
      <c r="AN8" s="39"/>
      <c r="AO8" s="61"/>
      <c r="AP8" s="64"/>
      <c r="AQ8" s="39">
        <v>0.14880952380952381</v>
      </c>
      <c r="AR8" s="39"/>
      <c r="AS8" s="61"/>
      <c r="AT8" s="64"/>
      <c r="AU8" s="39">
        <v>0.31525851197982346</v>
      </c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t="s">
        <v>44</v>
      </c>
      <c r="B9" s="46" t="s">
        <v>197</v>
      </c>
      <c r="C9" s="47">
        <v>2020</v>
      </c>
      <c r="D9" s="89">
        <f t="shared" si="0"/>
        <v>139.39393939393938</v>
      </c>
      <c r="E9" s="89">
        <f t="shared" si="1"/>
        <v>139.39393939393938</v>
      </c>
      <c r="F9" s="89">
        <f t="shared" si="2"/>
        <v>139.39393939393938</v>
      </c>
      <c r="G9" s="89">
        <f t="shared" si="3"/>
        <v>139.39393939393938</v>
      </c>
      <c r="H9" s="39">
        <f t="shared" si="4"/>
        <v>1</v>
      </c>
      <c r="I9" s="39"/>
      <c r="J9" s="63"/>
      <c r="K9" s="8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>
        <v>139.39393939393938</v>
      </c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t="s">
        <v>146</v>
      </c>
      <c r="B10" s="46" t="s">
        <v>197</v>
      </c>
      <c r="C10" s="47">
        <v>2020</v>
      </c>
      <c r="D10" s="89">
        <f t="shared" si="0"/>
        <v>0.41712983866043513</v>
      </c>
      <c r="E10" s="89">
        <f t="shared" si="1"/>
        <v>0.41712983866043513</v>
      </c>
      <c r="F10" s="89">
        <f t="shared" si="2"/>
        <v>0.41712983866043513</v>
      </c>
      <c r="G10" s="89">
        <f t="shared" si="3"/>
        <v>0.41712983866043513</v>
      </c>
      <c r="H10" s="39">
        <f t="shared" si="4"/>
        <v>1</v>
      </c>
      <c r="I10" s="39"/>
      <c r="J10" s="63"/>
      <c r="K10" s="8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>
        <v>0.41712983866043513</v>
      </c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t="s">
        <v>53</v>
      </c>
      <c r="B11" s="46" t="s">
        <v>197</v>
      </c>
      <c r="C11" s="47">
        <v>2020</v>
      </c>
      <c r="D11" s="89">
        <f t="shared" si="0"/>
        <v>340.66666666666669</v>
      </c>
      <c r="E11" s="89">
        <f t="shared" si="1"/>
        <v>414</v>
      </c>
      <c r="F11" s="89">
        <f t="shared" si="2"/>
        <v>80</v>
      </c>
      <c r="G11" s="89">
        <f t="shared" si="3"/>
        <v>528</v>
      </c>
      <c r="H11" s="39">
        <f t="shared" si="4"/>
        <v>3</v>
      </c>
      <c r="I11" s="39"/>
      <c r="J11" s="63"/>
      <c r="K11" s="89">
        <v>528</v>
      </c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>
        <v>414</v>
      </c>
      <c r="AJ11" s="39"/>
      <c r="AK11" s="61"/>
      <c r="AL11" s="64"/>
      <c r="AM11" s="39">
        <v>80</v>
      </c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41"/>
      <c r="B12" s="48"/>
      <c r="C12" s="48"/>
      <c r="D12" s="41"/>
      <c r="E12" s="41"/>
      <c r="F12" s="41"/>
      <c r="G12" s="41"/>
      <c r="H12" s="52"/>
      <c r="I12" s="41"/>
      <c r="J12" s="57"/>
      <c r="K12" s="41"/>
      <c r="L12" s="41"/>
      <c r="M12" s="52"/>
      <c r="N12" s="57"/>
      <c r="O12" s="41"/>
      <c r="P12" s="41"/>
      <c r="Q12" s="52"/>
      <c r="R12" s="57"/>
      <c r="S12" s="41"/>
      <c r="T12" s="41"/>
      <c r="U12" s="52"/>
      <c r="V12" s="57"/>
      <c r="W12" s="41"/>
      <c r="X12" s="41"/>
      <c r="Y12" s="52"/>
      <c r="Z12" s="57"/>
      <c r="AA12" s="41"/>
      <c r="AB12" s="41"/>
      <c r="AC12" s="52"/>
      <c r="AD12" s="57"/>
      <c r="AE12" s="41"/>
      <c r="AF12" s="41"/>
      <c r="AG12" s="52"/>
      <c r="AH12" s="57"/>
      <c r="AI12" s="41"/>
      <c r="AJ12" s="41"/>
      <c r="AK12" s="52"/>
      <c r="AL12" s="57"/>
      <c r="AM12" s="41"/>
      <c r="AN12" s="41"/>
      <c r="AO12" s="52"/>
      <c r="AP12" s="57"/>
      <c r="AQ12" s="41"/>
      <c r="AR12" s="41"/>
      <c r="AS12" s="52"/>
      <c r="AT12" s="57"/>
      <c r="AU12" s="41"/>
      <c r="AV12" s="41"/>
      <c r="AW12" s="52"/>
      <c r="AX12" s="57"/>
      <c r="AY12" s="41"/>
      <c r="AZ12" s="41"/>
      <c r="BA12" s="52"/>
      <c r="BB12" s="57"/>
      <c r="BC12" s="41"/>
      <c r="BD12" s="41"/>
      <c r="BE12" s="52"/>
      <c r="BF12" s="57"/>
      <c r="BG12" s="41"/>
      <c r="BH12" s="41"/>
      <c r="BI12" s="52"/>
      <c r="BJ12" s="57"/>
      <c r="BK12" s="41"/>
      <c r="BL12" s="41"/>
      <c r="BM12" s="52"/>
      <c r="BN12" s="57"/>
      <c r="BO12" s="41"/>
      <c r="BP12" s="41"/>
      <c r="BQ12" s="52"/>
      <c r="BR12" s="57"/>
      <c r="BS12" s="41"/>
      <c r="BT12" s="41"/>
      <c r="BU12" s="52"/>
      <c r="BV12" s="57"/>
    </row>
  </sheetData>
  <mergeCells count="33">
    <mergeCell ref="K2:N2"/>
    <mergeCell ref="O2:R2"/>
    <mergeCell ref="S2:V2"/>
    <mergeCell ref="W2:Z2"/>
    <mergeCell ref="D1:J1"/>
    <mergeCell ref="K1:N1"/>
    <mergeCell ref="O1:R1"/>
    <mergeCell ref="S1:V1"/>
    <mergeCell ref="W1:Z1"/>
    <mergeCell ref="AA1:AD1"/>
    <mergeCell ref="AE1:AH1"/>
    <mergeCell ref="AI1:AL1"/>
    <mergeCell ref="AM1:AP1"/>
    <mergeCell ref="AA2:AD2"/>
    <mergeCell ref="AE2:AH2"/>
    <mergeCell ref="AI2:AL2"/>
    <mergeCell ref="AM2:AP2"/>
    <mergeCell ref="AQ1:AT1"/>
    <mergeCell ref="AQ2:AT2"/>
    <mergeCell ref="AU1:AX1"/>
    <mergeCell ref="AY1:BB1"/>
    <mergeCell ref="AU2:AX2"/>
    <mergeCell ref="AY2:BB2"/>
    <mergeCell ref="BS1:BV1"/>
    <mergeCell ref="BS2:BV2"/>
    <mergeCell ref="BC1:BF1"/>
    <mergeCell ref="BG1:BJ1"/>
    <mergeCell ref="BK1:BN1"/>
    <mergeCell ref="BO1:BR1"/>
    <mergeCell ref="BC2:BF2"/>
    <mergeCell ref="BG2:BJ2"/>
    <mergeCell ref="BK2:BN2"/>
    <mergeCell ref="BO2:BR2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13"/>
  <sheetViews>
    <sheetView workbookViewId="0">
      <pane xSplit="1" topLeftCell="B1" activePane="topRight" state="frozen"/>
      <selection pane="topRight" activeCell="B6" sqref="B5:B6"/>
    </sheetView>
  </sheetViews>
  <sheetFormatPr defaultRowHeight="15" x14ac:dyDescent="0.25"/>
  <sheetData>
    <row r="1" spans="1:7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191</v>
      </c>
      <c r="L1" s="121"/>
      <c r="M1" s="121"/>
      <c r="N1" s="122"/>
      <c r="O1" s="114" t="s">
        <v>397</v>
      </c>
      <c r="P1" s="115"/>
      <c r="Q1" s="115"/>
      <c r="R1" s="116"/>
      <c r="S1" s="120" t="s">
        <v>358</v>
      </c>
      <c r="T1" s="121"/>
      <c r="U1" s="121"/>
      <c r="V1" s="122"/>
      <c r="W1" s="114" t="s">
        <v>399</v>
      </c>
      <c r="X1" s="115"/>
      <c r="Y1" s="115"/>
      <c r="Z1" s="116"/>
      <c r="AA1" s="120" t="s">
        <v>402</v>
      </c>
      <c r="AB1" s="121"/>
      <c r="AC1" s="121"/>
      <c r="AD1" s="122"/>
      <c r="AE1" s="114"/>
      <c r="AF1" s="115"/>
      <c r="AG1" s="115"/>
      <c r="AH1" s="116"/>
      <c r="AI1" s="120"/>
      <c r="AJ1" s="121"/>
      <c r="AK1" s="121"/>
      <c r="AL1" s="122"/>
      <c r="AM1" s="114"/>
      <c r="AN1" s="115"/>
      <c r="AO1" s="115"/>
      <c r="AP1" s="116"/>
      <c r="AQ1" s="120"/>
      <c r="AR1" s="121"/>
      <c r="AS1" s="121"/>
      <c r="AT1" s="122"/>
      <c r="AU1" s="114"/>
      <c r="AV1" s="115"/>
      <c r="AW1" s="115"/>
      <c r="AX1" s="116"/>
      <c r="AY1" s="120"/>
      <c r="AZ1" s="121"/>
      <c r="BA1" s="121"/>
      <c r="BB1" s="122"/>
      <c r="BC1" s="114"/>
      <c r="BD1" s="115"/>
      <c r="BE1" s="115"/>
      <c r="BF1" s="116"/>
      <c r="BG1" s="120"/>
      <c r="BH1" s="121"/>
      <c r="BI1" s="121"/>
      <c r="BJ1" s="122"/>
      <c r="BK1" s="114"/>
      <c r="BL1" s="115"/>
      <c r="BM1" s="115"/>
      <c r="BN1" s="116"/>
      <c r="BO1" s="120"/>
      <c r="BP1" s="121"/>
      <c r="BQ1" s="121"/>
      <c r="BR1" s="122"/>
      <c r="BS1" s="114"/>
      <c r="BT1" s="115"/>
      <c r="BU1" s="115"/>
      <c r="BV1" s="116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386</v>
      </c>
      <c r="L2" s="130"/>
      <c r="M2" s="130"/>
      <c r="N2" s="131"/>
      <c r="O2" s="123" t="s">
        <v>386</v>
      </c>
      <c r="P2" s="124"/>
      <c r="Q2" s="124"/>
      <c r="R2" s="125"/>
      <c r="S2" s="129" t="s">
        <v>386</v>
      </c>
      <c r="T2" s="130"/>
      <c r="U2" s="130"/>
      <c r="V2" s="131"/>
      <c r="W2" s="123" t="s">
        <v>386</v>
      </c>
      <c r="X2" s="124"/>
      <c r="Y2" s="124"/>
      <c r="Z2" s="125"/>
      <c r="AA2" s="129" t="s">
        <v>386</v>
      </c>
      <c r="AB2" s="130"/>
      <c r="AC2" s="130"/>
      <c r="AD2" s="131"/>
      <c r="AE2" s="123"/>
      <c r="AF2" s="124"/>
      <c r="AG2" s="124"/>
      <c r="AH2" s="125"/>
      <c r="AI2" s="129"/>
      <c r="AJ2" s="130"/>
      <c r="AK2" s="130"/>
      <c r="AL2" s="131"/>
      <c r="AM2" s="123"/>
      <c r="AN2" s="124"/>
      <c r="AO2" s="124"/>
      <c r="AP2" s="125"/>
      <c r="AQ2" s="129"/>
      <c r="AR2" s="130"/>
      <c r="AS2" s="130"/>
      <c r="AT2" s="131"/>
      <c r="AU2" s="123"/>
      <c r="AV2" s="124"/>
      <c r="AW2" s="124"/>
      <c r="AX2" s="125"/>
      <c r="AY2" s="129"/>
      <c r="AZ2" s="130"/>
      <c r="BA2" s="130"/>
      <c r="BB2" s="131"/>
      <c r="BC2" s="123"/>
      <c r="BD2" s="124"/>
      <c r="BE2" s="124"/>
      <c r="BF2" s="125"/>
      <c r="BG2" s="129"/>
      <c r="BH2" s="130"/>
      <c r="BI2" s="130"/>
      <c r="BJ2" s="131"/>
      <c r="BK2" s="123"/>
      <c r="BL2" s="124"/>
      <c r="BM2" s="124"/>
      <c r="BN2" s="125"/>
      <c r="BO2" s="129"/>
      <c r="BP2" s="130"/>
      <c r="BQ2" s="130"/>
      <c r="BR2" s="131"/>
      <c r="BS2" s="123"/>
      <c r="BT2" s="124"/>
      <c r="BU2" s="124"/>
      <c r="BV2" s="125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3</v>
      </c>
      <c r="B5" s="46" t="s">
        <v>197</v>
      </c>
      <c r="C5" s="47">
        <v>2020</v>
      </c>
      <c r="D5" s="89">
        <f>AVERAGE(K5,O5,S5,W5,AA5,AE5,AI5,AM5,AQ5,AU5,AY5,BC5,BG5,BK5,BO5,BS5,BW5,CA5)</f>
        <v>75</v>
      </c>
      <c r="E5" s="89">
        <f>MEDIAN(K5,O5,S5,W5,AA5,AE5,AI5,AM5,AQ5,AU5,AY5,BC5,BG5,BK5,BO5,BS5,BW5,CA5)</f>
        <v>75</v>
      </c>
      <c r="F5" s="89">
        <f>MIN(K5,O5,S5,W5,AA5,AE5,AI5,AM5,AQ5,AU5,AY5,BC5,BG5,BK5,BO5,BS5,BW5,CA5)</f>
        <v>75</v>
      </c>
      <c r="G5" s="89">
        <f>MAX(K5,O5,S5,W5,AA5,AE5,AI5,AM5,AQ5,AU5,AY5,BC5,BG5,BK5,BO5,BS5,BW5,CA5)</f>
        <v>75</v>
      </c>
      <c r="H5" s="39">
        <f>COUNT(K5,O5,S5,W5,AA5,AE5,AI5,AM5,AQ5,AU5,AY5,BC5,BG5,BK5,BO5,BS5,BW5,CA5,CE5)</f>
        <v>1</v>
      </c>
      <c r="I5" s="39"/>
      <c r="J5" s="63"/>
      <c r="K5" s="39"/>
      <c r="L5" s="39"/>
      <c r="M5" s="39"/>
      <c r="N5" s="63"/>
      <c r="O5" s="39"/>
      <c r="P5" s="39"/>
      <c r="Q5" s="39"/>
      <c r="R5" s="63"/>
      <c r="S5" s="39"/>
      <c r="T5" s="39"/>
      <c r="U5" s="39"/>
      <c r="V5" s="63"/>
      <c r="W5" s="39"/>
      <c r="X5" s="39"/>
      <c r="Y5" s="39"/>
      <c r="Z5" s="63"/>
      <c r="AA5" s="39">
        <v>75</v>
      </c>
      <c r="AB5" s="39"/>
      <c r="AC5" s="39"/>
      <c r="AD5" s="63"/>
      <c r="AE5" s="39"/>
      <c r="AF5" s="39"/>
      <c r="AG5" s="39"/>
      <c r="AH5" s="63"/>
      <c r="AI5" s="39"/>
      <c r="AJ5" s="39"/>
      <c r="AK5" s="39"/>
      <c r="AL5" s="63"/>
      <c r="AM5" s="39"/>
      <c r="AN5" s="39"/>
      <c r="AO5" s="39"/>
      <c r="AP5" s="63"/>
      <c r="AQ5" s="39"/>
      <c r="AR5" s="39"/>
      <c r="AS5" s="39"/>
      <c r="AT5" s="63"/>
      <c r="AU5" s="39"/>
      <c r="AV5" s="39"/>
      <c r="AW5" s="39"/>
      <c r="AX5" s="63"/>
      <c r="AY5" s="39"/>
      <c r="AZ5" s="39"/>
      <c r="BA5" s="39"/>
      <c r="BB5" s="63"/>
      <c r="BC5" s="39"/>
      <c r="BD5" s="39"/>
      <c r="BE5" s="39"/>
      <c r="BF5" s="63"/>
      <c r="BG5" s="39"/>
      <c r="BH5" s="39"/>
      <c r="BI5" s="39"/>
      <c r="BJ5" s="63"/>
      <c r="BK5" s="39"/>
      <c r="BL5" s="39"/>
      <c r="BM5" s="39"/>
      <c r="BN5" s="63"/>
      <c r="BO5" s="39"/>
      <c r="BP5" s="39"/>
      <c r="BQ5" s="39"/>
      <c r="BR5" s="63"/>
      <c r="BS5" s="39"/>
      <c r="BT5" s="39"/>
      <c r="BU5" s="39"/>
      <c r="BV5" s="63"/>
    </row>
    <row r="6" spans="1:74" x14ac:dyDescent="0.25">
      <c r="A6" s="71" t="s">
        <v>13</v>
      </c>
      <c r="B6" s="46" t="s">
        <v>197</v>
      </c>
      <c r="C6" s="47">
        <v>2020</v>
      </c>
      <c r="D6" s="89">
        <f>AVERAGE(K6,O6,S6,W6,AA6,AE6,AI6,AM6,AQ6,AU6,AY6,BC6,BG6,BK6,BO6,BS6,BW6,CA6)</f>
        <v>6.7</v>
      </c>
      <c r="E6" s="89">
        <f>MEDIAN(K6,O6,S6,W6,AA6,AE6,AI6,AM6,AQ6,AU6,AY6,BC6,BG6,BK6,BO6,BS6,BW6,CA6)</f>
        <v>6.7</v>
      </c>
      <c r="F6" s="89">
        <f>MIN(K6,O6,S6,W6,AA6,AE6,AI6,AM6,AQ6,AU6,AY6,BC6,BG6,BK6,BO6,BS6,BW6,CA6)</f>
        <v>4.5</v>
      </c>
      <c r="G6" s="89">
        <f>MAX(K6,O6,S6,W6,AA6,AE6,AI6,AM6,AQ6,AU6,AY6,BC6,BG6,BK6,BO6,BS6,BW6,CA6)</f>
        <v>8.9</v>
      </c>
      <c r="H6" s="39">
        <f>COUNT(K6,O6,S6,W6,AA6,AE6,AI6,AM6,AQ6,AU6,AY6,BC6,BG6,BK6,BO6,BS6,BW6,CA6,CE6)</f>
        <v>2</v>
      </c>
      <c r="I6" s="39"/>
      <c r="J6" s="63"/>
      <c r="K6" s="89">
        <v>8.9</v>
      </c>
      <c r="L6" s="39"/>
      <c r="M6" s="61"/>
      <c r="N6" s="64"/>
      <c r="O6" s="39"/>
      <c r="P6" s="39"/>
      <c r="Q6" s="61"/>
      <c r="R6" s="64"/>
      <c r="S6" s="39">
        <v>4.5</v>
      </c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</row>
    <row r="7" spans="1:74" x14ac:dyDescent="0.25">
      <c r="A7" s="71" t="s">
        <v>15</v>
      </c>
      <c r="B7" s="46" t="s">
        <v>197</v>
      </c>
      <c r="C7" s="47">
        <v>2020</v>
      </c>
      <c r="D7" s="89">
        <f t="shared" ref="D7:D11" si="0">AVERAGE(K7,O7,S7,W7,AA7,AE7,AI7,AM7,AQ7,AU7,AY7,BC7,BG7,BK7,BO7,BS7,BW7,CA7)</f>
        <v>3927.25</v>
      </c>
      <c r="E7" s="89">
        <f t="shared" ref="E7:E11" si="1">MEDIAN(K7,O7,S7,W7,AA7,AE7,AI7,AM7,AQ7,AU7,AY7,BC7,BG7,BK7,BO7,BS7,BW7,CA7)</f>
        <v>3927.25</v>
      </c>
      <c r="F7" s="89">
        <f t="shared" ref="F7:F11" si="2">MIN(K7,O7,S7,W7,AA7,AE7,AI7,AM7,AQ7,AU7,AY7,BC7,BG7,BK7,BO7,BS7,BW7,CA7)</f>
        <v>728</v>
      </c>
      <c r="G7" s="89">
        <f t="shared" ref="G7:G11" si="3">MAX(K7,O7,S7,W7,AA7,AE7,AI7,AM7,AQ7,AU7,AY7,BC7,BG7,BK7,BO7,BS7,BW7,CA7)</f>
        <v>7126.5</v>
      </c>
      <c r="H7" s="39">
        <f t="shared" ref="H7:H11" si="4">COUNT(K7,O7,S7,W7,AA7,AE7,AI7,AM7,AQ7,AU7,AY7,BC7,BG7,BK7,BO7,BS7,BW7,CA7,CE7)</f>
        <v>2</v>
      </c>
      <c r="I7" s="39"/>
      <c r="J7" s="63"/>
      <c r="K7" s="89"/>
      <c r="L7" s="39"/>
      <c r="M7" s="61"/>
      <c r="N7" s="64"/>
      <c r="O7" s="39">
        <v>7126.5</v>
      </c>
      <c r="P7" s="39"/>
      <c r="Q7" s="61"/>
      <c r="R7" s="64"/>
      <c r="S7" s="39">
        <v>728</v>
      </c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s="71" t="s">
        <v>38</v>
      </c>
      <c r="B8" s="46" t="s">
        <v>197</v>
      </c>
      <c r="C8" s="47">
        <v>2020</v>
      </c>
      <c r="D8" s="89">
        <f t="shared" si="0"/>
        <v>2520.7916666666665</v>
      </c>
      <c r="E8" s="89">
        <f t="shared" si="1"/>
        <v>2458.25</v>
      </c>
      <c r="F8" s="89">
        <f t="shared" si="2"/>
        <v>2000</v>
      </c>
      <c r="G8" s="89">
        <f t="shared" si="3"/>
        <v>3166.6666666666665</v>
      </c>
      <c r="H8" s="39">
        <f t="shared" si="4"/>
        <v>4</v>
      </c>
      <c r="I8" s="39"/>
      <c r="J8" s="63"/>
      <c r="K8" s="89"/>
      <c r="L8" s="39"/>
      <c r="M8" s="61"/>
      <c r="N8" s="64"/>
      <c r="O8" s="39">
        <v>2007.5</v>
      </c>
      <c r="P8" s="39"/>
      <c r="Q8" s="61"/>
      <c r="R8" s="64"/>
      <c r="S8" s="39">
        <v>2909</v>
      </c>
      <c r="T8" s="39"/>
      <c r="U8" s="61"/>
      <c r="V8" s="64"/>
      <c r="W8" s="39">
        <v>2000</v>
      </c>
      <c r="X8" s="39"/>
      <c r="Y8" s="61"/>
      <c r="Z8" s="64"/>
      <c r="AA8" s="39">
        <v>3166.6666666666665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s="71" t="s">
        <v>42</v>
      </c>
      <c r="B9" s="46" t="s">
        <v>197</v>
      </c>
      <c r="C9" s="47">
        <v>2020</v>
      </c>
      <c r="D9" s="89">
        <f t="shared" si="0"/>
        <v>1.3</v>
      </c>
      <c r="E9" s="89">
        <f t="shared" si="1"/>
        <v>1.3</v>
      </c>
      <c r="F9" s="89">
        <f t="shared" si="2"/>
        <v>1.3</v>
      </c>
      <c r="G9" s="89">
        <f t="shared" si="3"/>
        <v>1.3</v>
      </c>
      <c r="H9" s="39">
        <f t="shared" si="4"/>
        <v>1</v>
      </c>
      <c r="I9" s="39"/>
      <c r="J9" s="63"/>
      <c r="K9" s="89"/>
      <c r="L9" s="39"/>
      <c r="M9" s="61"/>
      <c r="N9" s="64"/>
      <c r="O9" s="39">
        <v>1.3</v>
      </c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s="71" t="s">
        <v>44</v>
      </c>
      <c r="B10" s="46" t="s">
        <v>197</v>
      </c>
      <c r="C10" s="47">
        <v>2020</v>
      </c>
      <c r="D10" s="89">
        <f t="shared" si="0"/>
        <v>334.33838383838383</v>
      </c>
      <c r="E10" s="89">
        <f t="shared" si="1"/>
        <v>420</v>
      </c>
      <c r="F10" s="89">
        <f t="shared" si="2"/>
        <v>159.60606060606059</v>
      </c>
      <c r="G10" s="89">
        <f t="shared" si="3"/>
        <v>423.40909090909088</v>
      </c>
      <c r="H10" s="39">
        <f t="shared" si="4"/>
        <v>3</v>
      </c>
      <c r="I10" s="39"/>
      <c r="J10" s="63"/>
      <c r="K10" s="89"/>
      <c r="L10" s="39"/>
      <c r="M10" s="61"/>
      <c r="N10" s="64"/>
      <c r="O10" s="39">
        <v>423.40909090909088</v>
      </c>
      <c r="P10" s="39"/>
      <c r="Q10" s="61"/>
      <c r="R10" s="64"/>
      <c r="S10" s="39">
        <v>159.60606060606059</v>
      </c>
      <c r="T10" s="39"/>
      <c r="U10" s="61"/>
      <c r="V10" s="64"/>
      <c r="W10" s="39">
        <v>420</v>
      </c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s="71" t="s">
        <v>48</v>
      </c>
      <c r="B11" s="46" t="s">
        <v>197</v>
      </c>
      <c r="C11" s="47">
        <v>2020</v>
      </c>
      <c r="D11" s="89">
        <f t="shared" si="0"/>
        <v>256.00775822891643</v>
      </c>
      <c r="E11" s="89">
        <f t="shared" si="1"/>
        <v>256.00775822891649</v>
      </c>
      <c r="F11" s="89">
        <f t="shared" si="2"/>
        <v>37.015516457832888</v>
      </c>
      <c r="G11" s="89">
        <f t="shared" si="3"/>
        <v>475</v>
      </c>
      <c r="H11" s="39">
        <f t="shared" si="4"/>
        <v>2</v>
      </c>
      <c r="I11" s="39"/>
      <c r="J11" s="63"/>
      <c r="K11" s="89"/>
      <c r="L11" s="39"/>
      <c r="M11" s="61"/>
      <c r="N11" s="64"/>
      <c r="O11" s="39">
        <v>475</v>
      </c>
      <c r="P11" s="39"/>
      <c r="Q11" s="61"/>
      <c r="R11" s="64"/>
      <c r="S11" s="39">
        <v>37.015516457832888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71" t="s">
        <v>58</v>
      </c>
      <c r="B12" s="46" t="s">
        <v>197</v>
      </c>
      <c r="C12" s="47">
        <v>2020</v>
      </c>
      <c r="D12" s="89">
        <f t="shared" ref="D12" si="5">AVERAGE(K12,O12,S12,W12,AA12,AE12,AI12,AM12,AQ12,AU12,AY12,BC12,BG12,BK12,BO12,BS12,BW12,CA12)</f>
        <v>271.44932360194861</v>
      </c>
      <c r="E12" s="89">
        <f t="shared" ref="E12" si="6">MEDIAN(K12,O12,S12,W12,AA12,AE12,AI12,AM12,AQ12,AU12,AY12,BC12,BG12,BK12,BO12,BS12,BW12,CA12)</f>
        <v>271.44932360194861</v>
      </c>
      <c r="F12" s="89">
        <f t="shared" ref="F12" si="7">MIN(K12,O12,S12,W12,AA12,AE12,AI12,AM12,AQ12,AU12,AY12,BC12,BG12,BK12,BO12,BS12,BW12,CA12)</f>
        <v>271.44932360194861</v>
      </c>
      <c r="G12" s="89">
        <f t="shared" ref="G12" si="8">MAX(K12,O12,S12,W12,AA12,AE12,AI12,AM12,AQ12,AU12,AY12,BC12,BG12,BK12,BO12,BS12,BW12,CA12)</f>
        <v>271.44932360194861</v>
      </c>
      <c r="H12" s="39">
        <f t="shared" ref="H12" si="9">COUNT(K12,O12,S12,W12,AA12,AE12,AI12,AM12,AQ12,AU12,AY12,BC12,BG12,BK12,BO12,BS12,BW12,CA12,CE12)</f>
        <v>1</v>
      </c>
      <c r="I12" s="39"/>
      <c r="J12" s="63"/>
      <c r="K12" s="89"/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>
        <v>271.44932360194861</v>
      </c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</row>
    <row r="13" spans="1:74" x14ac:dyDescent="0.25">
      <c r="A13" s="41"/>
      <c r="B13" s="48"/>
      <c r="C13" s="48"/>
      <c r="D13" s="41"/>
      <c r="E13" s="41"/>
      <c r="F13" s="41"/>
      <c r="G13" s="41"/>
      <c r="H13" s="52"/>
      <c r="I13" s="41"/>
      <c r="J13" s="57"/>
      <c r="K13" s="41"/>
      <c r="L13" s="41"/>
      <c r="M13" s="52"/>
      <c r="N13" s="57"/>
      <c r="O13" s="41"/>
      <c r="P13" s="41"/>
      <c r="Q13" s="52"/>
      <c r="R13" s="57"/>
      <c r="S13" s="41"/>
      <c r="T13" s="41"/>
      <c r="U13" s="52"/>
      <c r="V13" s="57"/>
      <c r="W13" s="41"/>
      <c r="X13" s="41"/>
      <c r="Y13" s="52"/>
      <c r="Z13" s="57"/>
      <c r="AA13" s="41"/>
      <c r="AB13" s="41"/>
      <c r="AC13" s="52"/>
      <c r="AD13" s="57"/>
      <c r="AE13" s="41"/>
      <c r="AF13" s="41"/>
      <c r="AG13" s="52"/>
      <c r="AH13" s="57"/>
      <c r="AI13" s="41"/>
      <c r="AJ13" s="41"/>
      <c r="AK13" s="52"/>
      <c r="AL13" s="57"/>
      <c r="AM13" s="41"/>
      <c r="AN13" s="41"/>
      <c r="AO13" s="52"/>
      <c r="AP13" s="57"/>
      <c r="AQ13" s="41"/>
      <c r="AR13" s="41"/>
      <c r="AS13" s="52"/>
      <c r="AT13" s="57"/>
      <c r="AU13" s="41"/>
      <c r="AV13" s="41"/>
      <c r="AW13" s="52"/>
      <c r="AX13" s="57"/>
      <c r="AY13" s="41"/>
      <c r="AZ13" s="41"/>
      <c r="BA13" s="52"/>
      <c r="BB13" s="57"/>
      <c r="BC13" s="41"/>
      <c r="BD13" s="41"/>
      <c r="BE13" s="52"/>
      <c r="BF13" s="57"/>
      <c r="BG13" s="41"/>
      <c r="BH13" s="41"/>
      <c r="BI13" s="52"/>
      <c r="BJ13" s="57"/>
      <c r="BK13" s="41"/>
      <c r="BL13" s="41"/>
      <c r="BM13" s="52"/>
      <c r="BN13" s="57"/>
      <c r="BO13" s="41"/>
      <c r="BP13" s="41"/>
      <c r="BQ13" s="52"/>
      <c r="BR13" s="57"/>
      <c r="BS13" s="41"/>
      <c r="BT13" s="41"/>
      <c r="BU13" s="52"/>
      <c r="BV13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16"/>
  <sheetViews>
    <sheetView workbookViewId="0">
      <pane xSplit="1" topLeftCell="B1" activePane="topRight" state="frozen"/>
      <selection pane="topRight" activeCell="H15" sqref="H15"/>
    </sheetView>
  </sheetViews>
  <sheetFormatPr defaultRowHeight="15" x14ac:dyDescent="0.25"/>
  <cols>
    <col min="1" max="1" width="15.2851562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390</v>
      </c>
      <c r="L1" s="121"/>
      <c r="M1" s="121"/>
      <c r="N1" s="122"/>
      <c r="O1" s="114" t="s">
        <v>398</v>
      </c>
      <c r="P1" s="115"/>
      <c r="Q1" s="115"/>
      <c r="R1" s="116"/>
      <c r="S1" s="120" t="s">
        <v>403</v>
      </c>
      <c r="T1" s="121"/>
      <c r="U1" s="121"/>
      <c r="V1" s="122"/>
      <c r="W1" s="114"/>
      <c r="X1" s="115"/>
      <c r="Y1" s="115"/>
      <c r="Z1" s="116"/>
      <c r="AA1" s="120"/>
      <c r="AB1" s="121"/>
      <c r="AC1" s="121"/>
      <c r="AD1" s="122"/>
      <c r="AE1" s="114"/>
      <c r="AF1" s="115"/>
      <c r="AG1" s="115"/>
      <c r="AH1" s="116"/>
      <c r="AI1" s="120"/>
      <c r="AJ1" s="121"/>
      <c r="AK1" s="121"/>
      <c r="AL1" s="122"/>
      <c r="AM1" s="114"/>
      <c r="AN1" s="115"/>
      <c r="AO1" s="115"/>
      <c r="AP1" s="116"/>
      <c r="AQ1" s="120"/>
      <c r="AR1" s="121"/>
      <c r="AS1" s="121"/>
      <c r="AT1" s="122"/>
      <c r="AU1" s="114"/>
      <c r="AV1" s="115"/>
      <c r="AW1" s="115"/>
      <c r="AX1" s="116"/>
      <c r="AY1" s="120"/>
      <c r="AZ1" s="121"/>
      <c r="BA1" s="121"/>
      <c r="BB1" s="122"/>
      <c r="BC1" s="114"/>
      <c r="BD1" s="115"/>
      <c r="BE1" s="115"/>
      <c r="BF1" s="116"/>
      <c r="BG1" s="120"/>
      <c r="BH1" s="121"/>
      <c r="BI1" s="121"/>
      <c r="BJ1" s="122"/>
      <c r="BK1" s="114"/>
      <c r="BL1" s="115"/>
      <c r="BM1" s="115"/>
      <c r="BN1" s="116"/>
      <c r="BO1" s="120"/>
      <c r="BP1" s="121"/>
      <c r="BQ1" s="121"/>
      <c r="BR1" s="122"/>
      <c r="BS1" s="114"/>
      <c r="BT1" s="115"/>
      <c r="BU1" s="115"/>
      <c r="BV1" s="116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391</v>
      </c>
      <c r="L2" s="130"/>
      <c r="M2" s="130"/>
      <c r="N2" s="131"/>
      <c r="O2" s="123" t="s">
        <v>391</v>
      </c>
      <c r="P2" s="124"/>
      <c r="Q2" s="124"/>
      <c r="R2" s="125"/>
      <c r="S2" s="129" t="s">
        <v>404</v>
      </c>
      <c r="T2" s="130"/>
      <c r="U2" s="130"/>
      <c r="V2" s="131"/>
      <c r="W2" s="123"/>
      <c r="X2" s="124"/>
      <c r="Y2" s="124"/>
      <c r="Z2" s="125"/>
      <c r="AA2" s="129"/>
      <c r="AB2" s="130"/>
      <c r="AC2" s="130"/>
      <c r="AD2" s="131"/>
      <c r="AE2" s="123"/>
      <c r="AF2" s="124"/>
      <c r="AG2" s="124"/>
      <c r="AH2" s="125"/>
      <c r="AI2" s="129"/>
      <c r="AJ2" s="130"/>
      <c r="AK2" s="130"/>
      <c r="AL2" s="131"/>
      <c r="AM2" s="123"/>
      <c r="AN2" s="124"/>
      <c r="AO2" s="124"/>
      <c r="AP2" s="125"/>
      <c r="AQ2" s="129"/>
      <c r="AR2" s="130"/>
      <c r="AS2" s="130"/>
      <c r="AT2" s="131"/>
      <c r="AU2" s="123"/>
      <c r="AV2" s="124"/>
      <c r="AW2" s="124"/>
      <c r="AX2" s="125"/>
      <c r="AY2" s="129"/>
      <c r="AZ2" s="130"/>
      <c r="BA2" s="130"/>
      <c r="BB2" s="131"/>
      <c r="BC2" s="123"/>
      <c r="BD2" s="124"/>
      <c r="BE2" s="124"/>
      <c r="BF2" s="125"/>
      <c r="BG2" s="129"/>
      <c r="BH2" s="130"/>
      <c r="BI2" s="130"/>
      <c r="BJ2" s="131"/>
      <c r="BK2" s="123"/>
      <c r="BL2" s="124"/>
      <c r="BM2" s="124"/>
      <c r="BN2" s="125"/>
      <c r="BO2" s="129"/>
      <c r="BP2" s="130"/>
      <c r="BQ2" s="130"/>
      <c r="BR2" s="131"/>
      <c r="BS2" s="123"/>
      <c r="BT2" s="124"/>
      <c r="BU2" s="124"/>
      <c r="BV2" s="125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388</v>
      </c>
      <c r="B5" s="46" t="s">
        <v>197</v>
      </c>
      <c r="C5" s="47">
        <v>2020</v>
      </c>
      <c r="D5" s="89">
        <f>AVERAGE(K5,O5,S5,W5,AA5,AE5,AI5,AM5,AQ5,AU5,AY5,BC5,BG5,BK5,BO5,BS5,BW5,CA5)</f>
        <v>20563</v>
      </c>
      <c r="E5" s="89">
        <f>MEDIAN(K5,O5,S5,W5,AA5,AE5,AI5,AM5,AQ5,AU5,AY5,BC5,BG5,BK5,BO5,BS5,BW5,CA5)</f>
        <v>20563</v>
      </c>
      <c r="F5" s="89">
        <f>MIN(K5,O5,S5,W5,AA5,AE5,AI5,AM5,AQ5,AU5,AY5,BC5,BG5,BK5,BO5,BS5,BW5,CA5)</f>
        <v>20563</v>
      </c>
      <c r="G5" s="89">
        <f>MAX(K5,O5,S5,W5,AA5,AE5,AI5,AM5,AQ5,AU5,AY5,BC5,BG5,BK5,BO5,BS5,BW5,CA5)</f>
        <v>20563</v>
      </c>
      <c r="H5" s="39">
        <f>COUNT(K5,O5,S5,W5,AA5,AE5,AI5,AM5,AQ5,AU5,AY5,BC5,BG5,BK5,BO5,BS5,BW5,CA5,CE5)</f>
        <v>1</v>
      </c>
      <c r="I5" s="39"/>
      <c r="J5" s="63"/>
      <c r="K5" s="89">
        <v>20563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</row>
    <row r="6" spans="1:74" x14ac:dyDescent="0.25">
      <c r="A6" s="71" t="s">
        <v>11</v>
      </c>
      <c r="B6" s="46" t="s">
        <v>197</v>
      </c>
      <c r="C6" s="47">
        <v>2020</v>
      </c>
      <c r="D6" s="89">
        <f t="shared" ref="D6:D15" si="0">AVERAGE(K6,O6,S6,W6,AA6,AE6,AI6,AM6,AQ6,AU6,AY6,BC6,BG6,BK6,BO6,BS6,BW6,CA6)</f>
        <v>183.23997806968148</v>
      </c>
      <c r="E6" s="89">
        <f t="shared" ref="E6:E15" si="1">MEDIAN(K6,O6,S6,W6,AA6,AE6,AI6,AM6,AQ6,AU6,AY6,BC6,BG6,BK6,BO6,BS6,BW6,CA6)</f>
        <v>183.23997806968148</v>
      </c>
      <c r="F6" s="89">
        <f t="shared" ref="F6:F15" si="2">MIN(K6,O6,S6,W6,AA6,AE6,AI6,AM6,AQ6,AU6,AY6,BC6,BG6,BK6,BO6,BS6,BW6,CA6)</f>
        <v>183.23997806968148</v>
      </c>
      <c r="G6" s="89">
        <f t="shared" ref="G6:G15" si="3">MAX(K6,O6,S6,W6,AA6,AE6,AI6,AM6,AQ6,AU6,AY6,BC6,BG6,BK6,BO6,BS6,BW6,CA6)</f>
        <v>183.23997806968148</v>
      </c>
      <c r="H6" s="39">
        <f t="shared" ref="H6:H15" si="4">COUNT(K6,O6,S6,W6,AA6,AE6,AI6,AM6,AQ6,AU6,AY6,BC6,BG6,BK6,BO6,BS6,BW6,CA6,CE6)</f>
        <v>1</v>
      </c>
      <c r="I6" s="39"/>
      <c r="J6" s="63"/>
      <c r="K6" s="89">
        <v>183.23997806968148</v>
      </c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</row>
    <row r="7" spans="1:74" x14ac:dyDescent="0.25">
      <c r="A7" s="71" t="s">
        <v>13</v>
      </c>
      <c r="B7" s="46" t="s">
        <v>197</v>
      </c>
      <c r="C7" s="47">
        <v>2020</v>
      </c>
      <c r="D7" s="89">
        <f t="shared" si="0"/>
        <v>5.9062130718939798</v>
      </c>
      <c r="E7" s="89">
        <f t="shared" si="1"/>
        <v>5.9062130718939798</v>
      </c>
      <c r="F7" s="89">
        <f t="shared" si="2"/>
        <v>5.9062130718939798</v>
      </c>
      <c r="G7" s="89">
        <f t="shared" si="3"/>
        <v>5.9062130718939798</v>
      </c>
      <c r="H7" s="39">
        <f t="shared" si="4"/>
        <v>1</v>
      </c>
      <c r="I7" s="39"/>
      <c r="J7" s="63"/>
      <c r="K7" s="89">
        <v>5.9062130718939798</v>
      </c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</row>
    <row r="8" spans="1:74" x14ac:dyDescent="0.25">
      <c r="A8" s="71" t="s">
        <v>27</v>
      </c>
      <c r="B8" s="46" t="s">
        <v>197</v>
      </c>
      <c r="C8" s="47">
        <v>2020</v>
      </c>
      <c r="D8" s="89">
        <f t="shared" si="0"/>
        <v>0.92150128765964689</v>
      </c>
      <c r="E8" s="89">
        <f t="shared" si="1"/>
        <v>0.92150128765964689</v>
      </c>
      <c r="F8" s="89">
        <f t="shared" si="2"/>
        <v>0.92150128765964689</v>
      </c>
      <c r="G8" s="89">
        <f t="shared" si="3"/>
        <v>0.92150128765964689</v>
      </c>
      <c r="H8" s="39">
        <f t="shared" si="4"/>
        <v>1</v>
      </c>
      <c r="I8" s="39"/>
      <c r="J8" s="63"/>
      <c r="K8" s="89">
        <v>0.92150128765964689</v>
      </c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</row>
    <row r="9" spans="1:74" x14ac:dyDescent="0.25">
      <c r="A9" s="71" t="s">
        <v>28</v>
      </c>
      <c r="B9" s="46" t="s">
        <v>197</v>
      </c>
      <c r="C9" s="47">
        <v>2020</v>
      </c>
      <c r="D9" s="89">
        <f t="shared" si="0"/>
        <v>12.211095965972916</v>
      </c>
      <c r="E9" s="89">
        <f t="shared" si="1"/>
        <v>11.188780841764162</v>
      </c>
      <c r="F9" s="89">
        <f t="shared" si="2"/>
        <v>10.253119496345976</v>
      </c>
      <c r="G9" s="89">
        <f t="shared" si="3"/>
        <v>15.191387559808613</v>
      </c>
      <c r="H9" s="39">
        <f t="shared" si="4"/>
        <v>3</v>
      </c>
      <c r="I9" s="39"/>
      <c r="J9" s="63"/>
      <c r="K9" s="89">
        <v>11.188780841764162</v>
      </c>
      <c r="L9" s="39"/>
      <c r="M9" s="61"/>
      <c r="N9" s="64"/>
      <c r="O9" s="39">
        <v>10.253119496345976</v>
      </c>
      <c r="P9" s="39"/>
      <c r="Q9" s="61"/>
      <c r="R9" s="64"/>
      <c r="S9" s="39">
        <v>15.191387559808613</v>
      </c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/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</row>
    <row r="10" spans="1:74" x14ac:dyDescent="0.25">
      <c r="A10" s="71" t="s">
        <v>33</v>
      </c>
      <c r="B10" s="46" t="s">
        <v>197</v>
      </c>
      <c r="C10" s="47">
        <v>2020</v>
      </c>
      <c r="D10" s="89">
        <f t="shared" si="0"/>
        <v>5.6803990070581127</v>
      </c>
      <c r="E10" s="89">
        <f t="shared" si="1"/>
        <v>5.0689718161163224</v>
      </c>
      <c r="F10" s="89">
        <f t="shared" si="2"/>
        <v>0.94891152397697553</v>
      </c>
      <c r="G10" s="89">
        <f t="shared" si="3"/>
        <v>11.023313681081039</v>
      </c>
      <c r="H10" s="39">
        <f t="shared" si="4"/>
        <v>3</v>
      </c>
      <c r="I10" s="39"/>
      <c r="J10" s="63"/>
      <c r="K10" s="89">
        <v>0.94891152397697553</v>
      </c>
      <c r="L10" s="39"/>
      <c r="M10" s="61"/>
      <c r="N10" s="64"/>
      <c r="O10" s="39">
        <v>5.0689718161163224</v>
      </c>
      <c r="P10" s="39"/>
      <c r="Q10" s="61"/>
      <c r="R10" s="64"/>
      <c r="S10" s="39">
        <v>11.023313681081039</v>
      </c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</row>
    <row r="11" spans="1:74" x14ac:dyDescent="0.25">
      <c r="A11" s="71" t="s">
        <v>38</v>
      </c>
      <c r="B11" s="46" t="s">
        <v>197</v>
      </c>
      <c r="C11" s="47">
        <v>2020</v>
      </c>
      <c r="D11" s="89">
        <f t="shared" si="0"/>
        <v>291.35488681415865</v>
      </c>
      <c r="E11" s="89">
        <f t="shared" si="1"/>
        <v>314.85733594350103</v>
      </c>
      <c r="F11" s="89">
        <f t="shared" si="2"/>
        <v>95.496710136804055</v>
      </c>
      <c r="G11" s="89">
        <f t="shared" si="3"/>
        <v>463.71061436217093</v>
      </c>
      <c r="H11" s="39">
        <f t="shared" si="4"/>
        <v>3</v>
      </c>
      <c r="I11" s="39"/>
      <c r="J11" s="63"/>
      <c r="K11" s="89">
        <v>314.85733594350103</v>
      </c>
      <c r="L11" s="39"/>
      <c r="M11" s="61"/>
      <c r="N11" s="64"/>
      <c r="O11" s="39">
        <v>95.496710136804055</v>
      </c>
      <c r="P11" s="39"/>
      <c r="Q11" s="61"/>
      <c r="R11" s="64"/>
      <c r="S11" s="39">
        <v>463.71061436217093</v>
      </c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</row>
    <row r="12" spans="1:74" x14ac:dyDescent="0.25">
      <c r="A12" s="71" t="s">
        <v>389</v>
      </c>
      <c r="B12" s="46" t="s">
        <v>197</v>
      </c>
      <c r="C12" s="47">
        <v>2020</v>
      </c>
      <c r="D12" s="89">
        <f t="shared" si="0"/>
        <v>8.7841955113650751</v>
      </c>
      <c r="E12" s="89">
        <f t="shared" si="1"/>
        <v>8.7841955113650751</v>
      </c>
      <c r="F12" s="89">
        <f t="shared" si="2"/>
        <v>8.7841955113650751</v>
      </c>
      <c r="G12" s="89">
        <f t="shared" si="3"/>
        <v>8.7841955113650751</v>
      </c>
      <c r="H12" s="39">
        <f t="shared" si="4"/>
        <v>1</v>
      </c>
      <c r="I12" s="39"/>
      <c r="J12" s="63"/>
      <c r="K12" s="89">
        <v>8.7841955113650751</v>
      </c>
      <c r="L12" s="39"/>
      <c r="M12" s="61"/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</row>
    <row r="13" spans="1:74" x14ac:dyDescent="0.25">
      <c r="A13" s="71" t="s">
        <v>49</v>
      </c>
      <c r="B13" s="46" t="s">
        <v>197</v>
      </c>
      <c r="C13" s="47">
        <v>2020</v>
      </c>
      <c r="D13" s="89">
        <f t="shared" si="0"/>
        <v>2.7379738755992453</v>
      </c>
      <c r="E13" s="89">
        <f t="shared" si="1"/>
        <v>2.3963317384370018</v>
      </c>
      <c r="F13" s="89">
        <f t="shared" si="2"/>
        <v>1.6168879639330158</v>
      </c>
      <c r="G13" s="89">
        <f t="shared" si="3"/>
        <v>4.2007019244277188</v>
      </c>
      <c r="H13" s="39">
        <f t="shared" si="4"/>
        <v>3</v>
      </c>
      <c r="I13" s="39"/>
      <c r="J13" s="63"/>
      <c r="K13" s="89">
        <v>4.2007019244277188</v>
      </c>
      <c r="L13" s="39"/>
      <c r="M13" s="61"/>
      <c r="N13" s="64"/>
      <c r="O13" s="39">
        <v>1.6168879639330158</v>
      </c>
      <c r="P13" s="39"/>
      <c r="Q13" s="61"/>
      <c r="R13" s="64"/>
      <c r="S13" s="39">
        <v>2.3963317384370018</v>
      </c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/>
      <c r="AJ13" s="39"/>
      <c r="AK13" s="61"/>
      <c r="AL13" s="64"/>
      <c r="AM13" s="39"/>
      <c r="AN13" s="39"/>
      <c r="AO13" s="61"/>
      <c r="AP13" s="64"/>
      <c r="AQ13" s="39"/>
      <c r="AR13" s="39"/>
      <c r="AS13" s="61"/>
      <c r="AT13" s="64"/>
      <c r="AU13" s="39"/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</row>
    <row r="14" spans="1:74" x14ac:dyDescent="0.25">
      <c r="A14" s="71" t="s">
        <v>56</v>
      </c>
      <c r="B14" s="46" t="s">
        <v>197</v>
      </c>
      <c r="C14" s="47">
        <v>2020</v>
      </c>
      <c r="D14" s="89">
        <f t="shared" si="0"/>
        <v>50.875604515555267</v>
      </c>
      <c r="E14" s="89">
        <f t="shared" si="1"/>
        <v>65.997098584278291</v>
      </c>
      <c r="F14" s="89">
        <f t="shared" si="2"/>
        <v>11.563344921685429</v>
      </c>
      <c r="G14" s="89">
        <f t="shared" si="3"/>
        <v>75.066370040702068</v>
      </c>
      <c r="H14" s="39">
        <f t="shared" si="4"/>
        <v>3</v>
      </c>
      <c r="I14" s="39"/>
      <c r="J14" s="63"/>
      <c r="K14" s="89">
        <v>75.066370040702068</v>
      </c>
      <c r="L14" s="39"/>
      <c r="M14" s="61"/>
      <c r="N14" s="64"/>
      <c r="O14" s="39">
        <v>11.563344921685429</v>
      </c>
      <c r="P14" s="39"/>
      <c r="Q14" s="61"/>
      <c r="R14" s="64"/>
      <c r="S14" s="39">
        <v>65.997098584278291</v>
      </c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</row>
    <row r="15" spans="1:74" x14ac:dyDescent="0.25">
      <c r="A15" t="s">
        <v>58</v>
      </c>
      <c r="B15" s="46" t="s">
        <v>197</v>
      </c>
      <c r="C15" s="47">
        <v>2020</v>
      </c>
      <c r="D15" s="89">
        <f t="shared" si="0"/>
        <v>242.98723000302766</v>
      </c>
      <c r="E15" s="89">
        <f t="shared" si="1"/>
        <v>271.39064718594386</v>
      </c>
      <c r="F15" s="89">
        <f t="shared" si="2"/>
        <v>68.222887678718919</v>
      </c>
      <c r="G15" s="89">
        <f t="shared" si="3"/>
        <v>389.34815514442022</v>
      </c>
      <c r="H15" s="39">
        <f t="shared" si="4"/>
        <v>3</v>
      </c>
      <c r="I15" s="39"/>
      <c r="J15" s="63"/>
      <c r="K15" s="89">
        <v>271.39064718594386</v>
      </c>
      <c r="L15" s="39"/>
      <c r="M15" s="61"/>
      <c r="N15" s="64"/>
      <c r="O15" s="39">
        <v>68.222887678718919</v>
      </c>
      <c r="P15" s="39"/>
      <c r="Q15" s="61"/>
      <c r="R15" s="64"/>
      <c r="S15" s="39">
        <v>389.34815514442022</v>
      </c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</row>
    <row r="16" spans="1:74" x14ac:dyDescent="0.25">
      <c r="A16" s="41"/>
      <c r="B16" s="48"/>
      <c r="C16" s="48"/>
      <c r="D16" s="41"/>
      <c r="E16" s="41"/>
      <c r="F16" s="41"/>
      <c r="G16" s="41"/>
      <c r="H16" s="52"/>
      <c r="I16" s="41"/>
      <c r="J16" s="57"/>
      <c r="K16" s="41"/>
      <c r="L16" s="41"/>
      <c r="M16" s="52"/>
      <c r="N16" s="57"/>
      <c r="O16" s="41"/>
      <c r="P16" s="41"/>
      <c r="Q16" s="52"/>
      <c r="R16" s="57"/>
      <c r="S16" s="41"/>
      <c r="T16" s="41"/>
      <c r="U16" s="52"/>
      <c r="V16" s="57"/>
      <c r="W16" s="41"/>
      <c r="X16" s="41"/>
      <c r="Y16" s="52"/>
      <c r="Z16" s="57"/>
      <c r="AA16" s="41"/>
      <c r="AB16" s="41"/>
      <c r="AC16" s="52"/>
      <c r="AD16" s="57"/>
      <c r="AE16" s="41"/>
      <c r="AF16" s="41"/>
      <c r="AG16" s="52"/>
      <c r="AH16" s="57"/>
      <c r="AI16" s="41"/>
      <c r="AJ16" s="41"/>
      <c r="AK16" s="52"/>
      <c r="AL16" s="57"/>
      <c r="AM16" s="41"/>
      <c r="AN16" s="41"/>
      <c r="AO16" s="52"/>
      <c r="AP16" s="57"/>
      <c r="AQ16" s="41"/>
      <c r="AR16" s="41"/>
      <c r="AS16" s="52"/>
      <c r="AT16" s="57"/>
      <c r="AU16" s="41"/>
      <c r="AV16" s="41"/>
      <c r="AW16" s="52"/>
      <c r="AX16" s="57"/>
      <c r="AY16" s="41"/>
      <c r="AZ16" s="41"/>
      <c r="BA16" s="52"/>
      <c r="BB16" s="57"/>
      <c r="BC16" s="41"/>
      <c r="BD16" s="41"/>
      <c r="BE16" s="52"/>
      <c r="BF16" s="57"/>
      <c r="BG16" s="41"/>
      <c r="BH16" s="41"/>
      <c r="BI16" s="52"/>
      <c r="BJ16" s="57"/>
      <c r="BK16" s="41"/>
      <c r="BL16" s="41"/>
      <c r="BM16" s="52"/>
      <c r="BN16" s="57"/>
      <c r="BO16" s="41"/>
      <c r="BP16" s="41"/>
      <c r="BQ16" s="52"/>
      <c r="BR16" s="57"/>
      <c r="BS16" s="41"/>
      <c r="BT16" s="41"/>
      <c r="BU16" s="52"/>
      <c r="BV16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BV6"/>
  <sheetViews>
    <sheetView workbookViewId="0">
      <pane xSplit="1" topLeftCell="B1" activePane="topRight" state="frozen"/>
      <selection pane="topRight" activeCell="A6" sqref="A1:N6"/>
    </sheetView>
  </sheetViews>
  <sheetFormatPr defaultRowHeight="15" x14ac:dyDescent="0.25"/>
  <cols>
    <col min="1" max="1" width="15.28515625" bestFit="1" customWidth="1"/>
  </cols>
  <sheetData>
    <row r="1" spans="1:74" x14ac:dyDescent="0.25">
      <c r="A1" s="9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396</v>
      </c>
      <c r="L1" s="121"/>
      <c r="M1" s="121"/>
      <c r="N1" s="122"/>
      <c r="O1" s="114"/>
      <c r="P1" s="115"/>
      <c r="Q1" s="115"/>
      <c r="R1" s="116"/>
      <c r="S1" s="120"/>
      <c r="T1" s="121"/>
      <c r="U1" s="121"/>
      <c r="V1" s="122"/>
      <c r="W1" s="114"/>
      <c r="X1" s="115"/>
      <c r="Y1" s="115"/>
      <c r="Z1" s="116"/>
      <c r="AA1" s="120"/>
      <c r="AB1" s="121"/>
      <c r="AC1" s="121"/>
      <c r="AD1" s="122"/>
      <c r="AE1" s="114"/>
      <c r="AF1" s="115"/>
      <c r="AG1" s="115"/>
      <c r="AH1" s="116"/>
      <c r="AI1" s="120"/>
      <c r="AJ1" s="121"/>
      <c r="AK1" s="121"/>
      <c r="AL1" s="122"/>
      <c r="AM1" s="114"/>
      <c r="AN1" s="115"/>
      <c r="AO1" s="115"/>
      <c r="AP1" s="116"/>
      <c r="AQ1" s="120"/>
      <c r="AR1" s="121"/>
      <c r="AS1" s="121"/>
      <c r="AT1" s="122"/>
      <c r="AU1" s="114"/>
      <c r="AV1" s="115"/>
      <c r="AW1" s="115"/>
      <c r="AX1" s="116"/>
      <c r="AY1" s="120"/>
      <c r="AZ1" s="121"/>
      <c r="BA1" s="121"/>
      <c r="BB1" s="122"/>
      <c r="BC1" s="114"/>
      <c r="BD1" s="115"/>
      <c r="BE1" s="115"/>
      <c r="BF1" s="116"/>
      <c r="BG1" s="120"/>
      <c r="BH1" s="121"/>
      <c r="BI1" s="121"/>
      <c r="BJ1" s="122"/>
      <c r="BK1" s="114"/>
      <c r="BL1" s="115"/>
      <c r="BM1" s="115"/>
      <c r="BN1" s="116"/>
      <c r="BO1" s="120"/>
      <c r="BP1" s="121"/>
      <c r="BQ1" s="121"/>
      <c r="BR1" s="122"/>
      <c r="BS1" s="114"/>
      <c r="BT1" s="115"/>
      <c r="BU1" s="115"/>
      <c r="BV1" s="116"/>
    </row>
    <row r="2" spans="1:7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395</v>
      </c>
      <c r="L2" s="130"/>
      <c r="M2" s="130"/>
      <c r="N2" s="131"/>
      <c r="O2" s="123"/>
      <c r="P2" s="124"/>
      <c r="Q2" s="124"/>
      <c r="R2" s="125"/>
      <c r="S2" s="129"/>
      <c r="T2" s="130"/>
      <c r="U2" s="130"/>
      <c r="V2" s="131"/>
      <c r="W2" s="123"/>
      <c r="X2" s="124"/>
      <c r="Y2" s="124"/>
      <c r="Z2" s="125"/>
      <c r="AA2" s="129"/>
      <c r="AB2" s="130"/>
      <c r="AC2" s="130"/>
      <c r="AD2" s="131"/>
      <c r="AE2" s="123"/>
      <c r="AF2" s="124"/>
      <c r="AG2" s="124"/>
      <c r="AH2" s="125"/>
      <c r="AI2" s="129"/>
      <c r="AJ2" s="130"/>
      <c r="AK2" s="130"/>
      <c r="AL2" s="131"/>
      <c r="AM2" s="123"/>
      <c r="AN2" s="124"/>
      <c r="AO2" s="124"/>
      <c r="AP2" s="125"/>
      <c r="AQ2" s="129"/>
      <c r="AR2" s="130"/>
      <c r="AS2" s="130"/>
      <c r="AT2" s="131"/>
      <c r="AU2" s="123"/>
      <c r="AV2" s="124"/>
      <c r="AW2" s="124"/>
      <c r="AX2" s="125"/>
      <c r="AY2" s="129"/>
      <c r="AZ2" s="130"/>
      <c r="BA2" s="130"/>
      <c r="BB2" s="131"/>
      <c r="BC2" s="123"/>
      <c r="BD2" s="124"/>
      <c r="BE2" s="124"/>
      <c r="BF2" s="125"/>
      <c r="BG2" s="129"/>
      <c r="BH2" s="130"/>
      <c r="BI2" s="130"/>
      <c r="BJ2" s="131"/>
      <c r="BK2" s="123"/>
      <c r="BL2" s="124"/>
      <c r="BM2" s="124"/>
      <c r="BN2" s="125"/>
      <c r="BO2" s="129"/>
      <c r="BP2" s="130"/>
      <c r="BQ2" s="130"/>
      <c r="BR2" s="131"/>
      <c r="BS2" s="123"/>
      <c r="BT2" s="124"/>
      <c r="BU2" s="124"/>
      <c r="BV2" s="125"/>
    </row>
    <row r="3" spans="1:7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</row>
    <row r="4" spans="1:7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</row>
    <row r="5" spans="1:74" x14ac:dyDescent="0.25">
      <c r="A5" s="71" t="s">
        <v>45</v>
      </c>
      <c r="B5" s="46" t="s">
        <v>197</v>
      </c>
      <c r="C5" s="47">
        <v>2020</v>
      </c>
      <c r="D5" s="89">
        <f t="shared" ref="D5" si="0">AVERAGE(K5,O5,S5,W5,AA5,AE5,AI5,AM5,AQ5,AU5,AY5,BC5,BG5,BK5,BO5,BS5,BW5,CA5)</f>
        <v>10</v>
      </c>
      <c r="E5" s="89">
        <f t="shared" ref="E5" si="1">MEDIAN(K5,O5,S5,W5,AA5,AE5,AI5,AM5,AQ5,AU5,AY5,BC5,BG5,BK5,BO5,BS5,BW5,CA5)</f>
        <v>10</v>
      </c>
      <c r="F5" s="89">
        <f t="shared" ref="F5" si="2">MIN(K5,O5,S5,W5,AA5,AE5,AI5,AM5,AQ5,AU5,AY5,BC5,BG5,BK5,BO5,BS5,BW5,CA5)</f>
        <v>10</v>
      </c>
      <c r="G5" s="89">
        <f t="shared" ref="G5" si="3">MAX(K5,O5,S5,W5,AA5,AE5,AI5,AM5,AQ5,AU5,AY5,BC5,BG5,BK5,BO5,BS5,BW5,CA5)</f>
        <v>10</v>
      </c>
      <c r="H5" s="39">
        <f t="shared" ref="H5" si="4">COUNT(K5,O5,S5,W5,AA5,AE5,AI5,AM5,AQ5,AU5,AY5,BC5,BG5,BK5,BO5,BS5,BW5,CA5,CE5)</f>
        <v>1</v>
      </c>
      <c r="I5" s="39"/>
      <c r="J5" s="63"/>
      <c r="K5" s="89">
        <v>10</v>
      </c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</row>
    <row r="6" spans="1:74" x14ac:dyDescent="0.25">
      <c r="A6" s="41"/>
      <c r="B6" s="48"/>
      <c r="C6" s="48"/>
      <c r="D6" s="41"/>
      <c r="E6" s="41"/>
      <c r="F6" s="41"/>
      <c r="G6" s="41"/>
      <c r="H6" s="52"/>
      <c r="I6" s="41"/>
      <c r="J6" s="57"/>
      <c r="K6" s="41"/>
      <c r="L6" s="41"/>
      <c r="M6" s="52"/>
      <c r="N6" s="57"/>
      <c r="O6" s="41"/>
      <c r="P6" s="41"/>
      <c r="Q6" s="52"/>
      <c r="R6" s="57"/>
      <c r="S6" s="41"/>
      <c r="T6" s="41"/>
      <c r="U6" s="52"/>
      <c r="V6" s="57"/>
      <c r="W6" s="41"/>
      <c r="X6" s="41"/>
      <c r="Y6" s="52"/>
      <c r="Z6" s="57"/>
      <c r="AA6" s="41"/>
      <c r="AB6" s="41"/>
      <c r="AC6" s="52"/>
      <c r="AD6" s="57"/>
      <c r="AE6" s="41"/>
      <c r="AF6" s="41"/>
      <c r="AG6" s="52"/>
      <c r="AH6" s="57"/>
      <c r="AI6" s="41"/>
      <c r="AJ6" s="41"/>
      <c r="AK6" s="52"/>
      <c r="AL6" s="57"/>
      <c r="AM6" s="41"/>
      <c r="AN6" s="41"/>
      <c r="AO6" s="52"/>
      <c r="AP6" s="57"/>
      <c r="AQ6" s="41"/>
      <c r="AR6" s="41"/>
      <c r="AS6" s="52"/>
      <c r="AT6" s="57"/>
      <c r="AU6" s="41"/>
      <c r="AV6" s="41"/>
      <c r="AW6" s="52"/>
      <c r="AX6" s="57"/>
      <c r="AY6" s="41"/>
      <c r="AZ6" s="41"/>
      <c r="BA6" s="52"/>
      <c r="BB6" s="57"/>
      <c r="BC6" s="41"/>
      <c r="BD6" s="41"/>
      <c r="BE6" s="52"/>
      <c r="BF6" s="57"/>
      <c r="BG6" s="41"/>
      <c r="BH6" s="41"/>
      <c r="BI6" s="52"/>
      <c r="BJ6" s="57"/>
      <c r="BK6" s="41"/>
      <c r="BL6" s="41"/>
      <c r="BM6" s="52"/>
      <c r="BN6" s="57"/>
      <c r="BO6" s="41"/>
      <c r="BP6" s="41"/>
      <c r="BQ6" s="52"/>
      <c r="BR6" s="57"/>
      <c r="BS6" s="41"/>
      <c r="BT6" s="41"/>
      <c r="BU6" s="52"/>
      <c r="BV6" s="57"/>
    </row>
  </sheetData>
  <mergeCells count="33">
    <mergeCell ref="BC1:BF1"/>
    <mergeCell ref="BG1:BJ1"/>
    <mergeCell ref="D1:J1"/>
    <mergeCell ref="K1:N1"/>
    <mergeCell ref="O1:R1"/>
    <mergeCell ref="S1:V1"/>
    <mergeCell ref="W1:Z1"/>
    <mergeCell ref="AQ1:AT1"/>
    <mergeCell ref="AU1:AX1"/>
    <mergeCell ref="AY1:BB1"/>
    <mergeCell ref="AA1:AD1"/>
    <mergeCell ref="AY2:BB2"/>
    <mergeCell ref="K2:N2"/>
    <mergeCell ref="O2:R2"/>
    <mergeCell ref="S2:V2"/>
    <mergeCell ref="W2:Z2"/>
    <mergeCell ref="AA2:AD2"/>
    <mergeCell ref="BS2:BV2"/>
    <mergeCell ref="BK1:BN1"/>
    <mergeCell ref="BO1:BR1"/>
    <mergeCell ref="AE2:AH2"/>
    <mergeCell ref="AI2:AL2"/>
    <mergeCell ref="AM2:AP2"/>
    <mergeCell ref="AQ2:AT2"/>
    <mergeCell ref="AU2:AX2"/>
    <mergeCell ref="BC2:BF2"/>
    <mergeCell ref="BG2:BJ2"/>
    <mergeCell ref="BK2:BN2"/>
    <mergeCell ref="BO2:BR2"/>
    <mergeCell ref="BS1:BV1"/>
    <mergeCell ref="AE1:AH1"/>
    <mergeCell ref="AI1:AL1"/>
    <mergeCell ref="AM1:AP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DF68"/>
  <sheetViews>
    <sheetView zoomScale="70" zoomScaleNormal="7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H5" sqref="H5:H42"/>
    </sheetView>
  </sheetViews>
  <sheetFormatPr defaultRowHeight="15" x14ac:dyDescent="0.25"/>
  <cols>
    <col min="1" max="1" width="14.42578125" bestFit="1" customWidth="1"/>
    <col min="2" max="2" width="18.5703125" bestFit="1" customWidth="1"/>
    <col min="4" max="5" width="12" bestFit="1" customWidth="1"/>
    <col min="6" max="7" width="17.7109375" bestFit="1" customWidth="1"/>
    <col min="11" max="11" width="12.42578125" bestFit="1" customWidth="1"/>
    <col min="15" max="15" width="12" customWidth="1"/>
    <col min="19" max="19" width="10.28515625" bestFit="1" customWidth="1"/>
    <col min="23" max="23" width="12.42578125" bestFit="1" customWidth="1"/>
    <col min="27" max="27" width="12.42578125" bestFit="1" customWidth="1"/>
    <col min="31" max="31" width="11.140625" bestFit="1" customWidth="1"/>
    <col min="35" max="35" width="11" customWidth="1"/>
    <col min="39" max="39" width="10.28515625" bestFit="1" customWidth="1"/>
    <col min="43" max="43" width="10.28515625" bestFit="1" customWidth="1"/>
    <col min="45" max="45" width="11.42578125" customWidth="1"/>
    <col min="46" max="46" width="8.140625" customWidth="1"/>
    <col min="47" max="47" width="10.28515625" bestFit="1" customWidth="1"/>
    <col min="48" max="48" width="12.7109375" customWidth="1"/>
    <col min="49" max="49" width="14" customWidth="1"/>
    <col min="50" max="50" width="9.85546875" customWidth="1"/>
    <col min="51" max="51" width="10.5703125" bestFit="1" customWidth="1"/>
    <col min="55" max="55" width="10.28515625" bestFit="1" customWidth="1"/>
    <col min="59" max="59" width="10.28515625" bestFit="1" customWidth="1"/>
    <col min="63" max="63" width="10" bestFit="1" customWidth="1"/>
    <col min="67" max="67" width="10" bestFit="1" customWidth="1"/>
    <col min="71" max="71" width="10" bestFit="1" customWidth="1"/>
    <col min="75" max="75" width="10" bestFit="1" customWidth="1"/>
    <col min="79" max="79" width="17.85546875" bestFit="1" customWidth="1"/>
    <col min="83" max="83" width="10.28515625" bestFit="1" customWidth="1"/>
    <col min="87" max="87" width="10.5703125" bestFit="1" customWidth="1"/>
    <col min="88" max="88" width="16.28515625" customWidth="1"/>
    <col min="89" max="89" width="16.85546875" customWidth="1"/>
    <col min="90" max="90" width="15.28515625" customWidth="1"/>
    <col min="91" max="91" width="10" bestFit="1" customWidth="1"/>
    <col min="95" max="95" width="10.28515625" bestFit="1" customWidth="1"/>
    <col min="99" max="99" width="10.28515625" bestFit="1" customWidth="1"/>
    <col min="103" max="103" width="10.28515625" bestFit="1" customWidth="1"/>
  </cols>
  <sheetData>
    <row r="1" spans="1:110" x14ac:dyDescent="0.25">
      <c r="A1" s="3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119</v>
      </c>
      <c r="L1" s="121"/>
      <c r="M1" s="121"/>
      <c r="N1" s="122"/>
      <c r="O1" s="114" t="s">
        <v>136</v>
      </c>
      <c r="P1" s="115"/>
      <c r="Q1" s="115"/>
      <c r="R1" s="116"/>
      <c r="S1" s="120" t="s">
        <v>167</v>
      </c>
      <c r="T1" s="121"/>
      <c r="U1" s="121"/>
      <c r="V1" s="122"/>
      <c r="W1" s="114" t="s">
        <v>174</v>
      </c>
      <c r="X1" s="115"/>
      <c r="Y1" s="115"/>
      <c r="Z1" s="116"/>
      <c r="AA1" s="120" t="s">
        <v>174</v>
      </c>
      <c r="AB1" s="121"/>
      <c r="AC1" s="121"/>
      <c r="AD1" s="122"/>
      <c r="AE1" s="114" t="s">
        <v>169</v>
      </c>
      <c r="AF1" s="115"/>
      <c r="AG1" s="115"/>
      <c r="AH1" s="116"/>
      <c r="AI1" s="120" t="s">
        <v>170</v>
      </c>
      <c r="AJ1" s="121"/>
      <c r="AK1" s="121"/>
      <c r="AL1" s="122"/>
      <c r="AM1" s="114" t="s">
        <v>170</v>
      </c>
      <c r="AN1" s="115"/>
      <c r="AO1" s="115"/>
      <c r="AP1" s="116"/>
      <c r="AQ1" s="120" t="s">
        <v>171</v>
      </c>
      <c r="AR1" s="121"/>
      <c r="AS1" s="121"/>
      <c r="AT1" s="122"/>
      <c r="AU1" s="114" t="s">
        <v>173</v>
      </c>
      <c r="AV1" s="115"/>
      <c r="AW1" s="115"/>
      <c r="AX1" s="116"/>
      <c r="AY1" s="120" t="s">
        <v>147</v>
      </c>
      <c r="AZ1" s="121"/>
      <c r="BA1" s="121"/>
      <c r="BB1" s="122"/>
      <c r="BC1" s="114" t="s">
        <v>153</v>
      </c>
      <c r="BD1" s="115"/>
      <c r="BE1" s="115"/>
      <c r="BF1" s="116"/>
      <c r="BG1" s="120" t="s">
        <v>153</v>
      </c>
      <c r="BH1" s="121"/>
      <c r="BI1" s="121"/>
      <c r="BJ1" s="122"/>
      <c r="BK1" s="114" t="s">
        <v>187</v>
      </c>
      <c r="BL1" s="115"/>
      <c r="BM1" s="115"/>
      <c r="BN1" s="116"/>
      <c r="BO1" s="120" t="s">
        <v>187</v>
      </c>
      <c r="BP1" s="121"/>
      <c r="BQ1" s="121"/>
      <c r="BR1" s="122"/>
      <c r="BS1" s="114" t="s">
        <v>190</v>
      </c>
      <c r="BT1" s="115"/>
      <c r="BU1" s="115"/>
      <c r="BV1" s="116"/>
      <c r="BW1" s="120" t="s">
        <v>190</v>
      </c>
      <c r="BX1" s="121"/>
      <c r="BY1" s="121"/>
      <c r="BZ1" s="122"/>
      <c r="CA1" s="114" t="s">
        <v>191</v>
      </c>
      <c r="CB1" s="115"/>
      <c r="CC1" s="115"/>
      <c r="CD1" s="116"/>
      <c r="CE1" s="120" t="s">
        <v>191</v>
      </c>
      <c r="CF1" s="121"/>
      <c r="CG1" s="121"/>
      <c r="CH1" s="122"/>
      <c r="CI1" s="114" t="s">
        <v>238</v>
      </c>
      <c r="CJ1" s="115"/>
      <c r="CK1" s="115"/>
      <c r="CL1" s="116"/>
      <c r="CM1" s="120" t="s">
        <v>238</v>
      </c>
      <c r="CN1" s="121"/>
      <c r="CO1" s="121"/>
      <c r="CP1" s="122"/>
      <c r="CQ1" s="114" t="s">
        <v>239</v>
      </c>
      <c r="CR1" s="115"/>
      <c r="CS1" s="115"/>
      <c r="CT1" s="116"/>
      <c r="CU1" s="120" t="s">
        <v>239</v>
      </c>
      <c r="CV1" s="121"/>
      <c r="CW1" s="121"/>
      <c r="CX1" s="122"/>
      <c r="CY1" s="114" t="s">
        <v>239</v>
      </c>
      <c r="CZ1" s="115"/>
      <c r="DA1" s="115"/>
      <c r="DB1" s="116"/>
      <c r="DC1" s="108" t="s">
        <v>161</v>
      </c>
      <c r="DD1" s="109"/>
      <c r="DE1" s="109"/>
      <c r="DF1" s="110"/>
    </row>
    <row r="2" spans="1:110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165</v>
      </c>
      <c r="L2" s="130"/>
      <c r="M2" s="130"/>
      <c r="N2" s="131"/>
      <c r="O2" s="123" t="s">
        <v>166</v>
      </c>
      <c r="P2" s="124"/>
      <c r="Q2" s="124"/>
      <c r="R2" s="125"/>
      <c r="S2" s="129" t="s">
        <v>168</v>
      </c>
      <c r="T2" s="130"/>
      <c r="U2" s="130"/>
      <c r="V2" s="131"/>
      <c r="W2" s="123" t="s">
        <v>175</v>
      </c>
      <c r="X2" s="124"/>
      <c r="Y2" s="124"/>
      <c r="Z2" s="125"/>
      <c r="AA2" s="105" t="s">
        <v>176</v>
      </c>
      <c r="AB2" s="106"/>
      <c r="AC2" s="106"/>
      <c r="AD2" s="107"/>
      <c r="AE2" s="117" t="s">
        <v>175</v>
      </c>
      <c r="AF2" s="118"/>
      <c r="AG2" s="118"/>
      <c r="AH2" s="119"/>
      <c r="AI2" s="105" t="s">
        <v>179</v>
      </c>
      <c r="AJ2" s="106"/>
      <c r="AK2" s="106"/>
      <c r="AL2" s="107"/>
      <c r="AM2" s="117" t="s">
        <v>180</v>
      </c>
      <c r="AN2" s="118"/>
      <c r="AO2" s="118"/>
      <c r="AP2" s="119"/>
      <c r="AQ2" s="105" t="s">
        <v>172</v>
      </c>
      <c r="AR2" s="106"/>
      <c r="AS2" s="106"/>
      <c r="AT2" s="107"/>
      <c r="AU2" s="117" t="s">
        <v>182</v>
      </c>
      <c r="AV2" s="118"/>
      <c r="AW2" s="118"/>
      <c r="AX2" s="119"/>
      <c r="AY2" s="105" t="s">
        <v>184</v>
      </c>
      <c r="AZ2" s="106"/>
      <c r="BA2" s="106"/>
      <c r="BB2" s="107"/>
      <c r="BC2" s="117" t="s">
        <v>185</v>
      </c>
      <c r="BD2" s="118"/>
      <c r="BE2" s="118"/>
      <c r="BF2" s="119"/>
      <c r="BG2" s="105" t="s">
        <v>186</v>
      </c>
      <c r="BH2" s="106"/>
      <c r="BI2" s="106"/>
      <c r="BJ2" s="107"/>
      <c r="BK2" s="117" t="s">
        <v>188</v>
      </c>
      <c r="BL2" s="118"/>
      <c r="BM2" s="118"/>
      <c r="BN2" s="119"/>
      <c r="BO2" s="105" t="s">
        <v>189</v>
      </c>
      <c r="BP2" s="106"/>
      <c r="BQ2" s="106"/>
      <c r="BR2" s="107"/>
      <c r="BS2" s="117" t="s">
        <v>175</v>
      </c>
      <c r="BT2" s="118"/>
      <c r="BU2" s="118"/>
      <c r="BV2" s="119"/>
      <c r="BW2" s="105" t="s">
        <v>177</v>
      </c>
      <c r="BX2" s="106"/>
      <c r="BY2" s="106"/>
      <c r="BZ2" s="107"/>
      <c r="CA2" s="117" t="s">
        <v>192</v>
      </c>
      <c r="CB2" s="118"/>
      <c r="CC2" s="118"/>
      <c r="CD2" s="119"/>
      <c r="CE2" s="105" t="s">
        <v>193</v>
      </c>
      <c r="CF2" s="106"/>
      <c r="CG2" s="106"/>
      <c r="CH2" s="107"/>
      <c r="CI2" s="117" t="s">
        <v>177</v>
      </c>
      <c r="CJ2" s="118"/>
      <c r="CK2" s="118"/>
      <c r="CL2" s="119"/>
      <c r="CM2" s="105" t="s">
        <v>175</v>
      </c>
      <c r="CN2" s="106"/>
      <c r="CO2" s="106"/>
      <c r="CP2" s="107"/>
      <c r="CQ2" s="117" t="s">
        <v>177</v>
      </c>
      <c r="CR2" s="118"/>
      <c r="CS2" s="118"/>
      <c r="CT2" s="119"/>
      <c r="CU2" s="105" t="s">
        <v>241</v>
      </c>
      <c r="CV2" s="106"/>
      <c r="CW2" s="106"/>
      <c r="CX2" s="107"/>
      <c r="CY2" s="117" t="s">
        <v>175</v>
      </c>
      <c r="CZ2" s="118"/>
      <c r="DA2" s="118"/>
      <c r="DB2" s="119"/>
      <c r="DC2" s="111" t="s">
        <v>194</v>
      </c>
      <c r="DD2" s="112"/>
      <c r="DE2" s="112"/>
      <c r="DF2" s="113"/>
    </row>
    <row r="3" spans="1:110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  <c r="CQ3" s="65" t="s">
        <v>123</v>
      </c>
      <c r="CR3" s="65" t="s">
        <v>124</v>
      </c>
      <c r="CS3" s="65" t="s">
        <v>125</v>
      </c>
      <c r="CT3" s="66" t="s">
        <v>126</v>
      </c>
      <c r="CU3" s="58" t="s">
        <v>123</v>
      </c>
      <c r="CV3" s="58" t="s">
        <v>124</v>
      </c>
      <c r="CW3" s="58" t="s">
        <v>125</v>
      </c>
      <c r="CX3" s="62" t="s">
        <v>126</v>
      </c>
      <c r="CY3" s="65" t="s">
        <v>123</v>
      </c>
      <c r="CZ3" s="65" t="s">
        <v>124</v>
      </c>
      <c r="DA3" s="65" t="s">
        <v>125</v>
      </c>
      <c r="DB3" s="66" t="s">
        <v>126</v>
      </c>
      <c r="DC3" s="74" t="s">
        <v>123</v>
      </c>
      <c r="DD3" s="74" t="s">
        <v>124</v>
      </c>
      <c r="DE3" s="74" t="s">
        <v>125</v>
      </c>
      <c r="DF3" s="75" t="s">
        <v>126</v>
      </c>
    </row>
    <row r="4" spans="1:110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73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  <c r="CQ4" s="39"/>
      <c r="CR4" s="39"/>
      <c r="CS4" s="39"/>
      <c r="CT4" s="63"/>
      <c r="CU4" s="39"/>
      <c r="CV4" s="39"/>
      <c r="CW4" s="39"/>
      <c r="CX4" s="63"/>
      <c r="CY4" s="39"/>
      <c r="CZ4" s="39"/>
      <c r="DA4" s="39"/>
      <c r="DB4" s="63"/>
      <c r="DC4" s="39"/>
      <c r="DD4" s="39"/>
      <c r="DE4" s="39"/>
      <c r="DF4" s="63"/>
    </row>
    <row r="5" spans="1:110" x14ac:dyDescent="0.25">
      <c r="A5" s="71" t="s">
        <v>3</v>
      </c>
      <c r="B5" s="46" t="s">
        <v>164</v>
      </c>
      <c r="C5" s="47">
        <v>2020</v>
      </c>
      <c r="D5" s="73">
        <f>AVERAGE(K5,O5,S5,W5,AA5,AE5,AI5,AM5,AQ5,AU5,AY5,BC5,BG5,BK5,BO5,BS5,BW5,CA5,CE5,CI5,CM5,CQ5,CU5,CY5)</f>
        <v>0.20551083828299452</v>
      </c>
      <c r="E5" s="73">
        <f>MEDIAN(K5,O5,S5,W5,AA5,AE5,AI5,AM5,AQ5,AU5,AY5,BC5,BG5,BK5,BO5,BS5,BW5,CA5,CE5,CI5,CM5,CQ5,CU5,CY5)</f>
        <v>0.22526972674120049</v>
      </c>
      <c r="F5" s="73">
        <f>MIN(K5,O5,S5,W5,AA5,AE5,AI5,AM5,AQ5,AU5,AY5,BC5,BG5,BK5,BO5,BS5,BW5,CA5,CE5,CI5,CM5,CQ5,CU5,CY5)</f>
        <v>0.10660270504364049</v>
      </c>
      <c r="G5" s="73">
        <f>MAX(K5,O5,S5,W5,AA5,AE5,AI5,AM5,AQ5,AU5,AY5,BC5,BG5,BK5,BO5,BS5,BW5,CA5,CE5,CI5,CM5,CQ5,CU5,CY5)</f>
        <v>0.36326357781194979</v>
      </c>
      <c r="H5" s="39">
        <f>COUNT(K5,O5,S5,W5,AA5,AE5,AI5,AM5,AQ5,AU5,AY5,BC5,BG5,BK5,BO5,BS5,BW5,CA5,CE5,CI5,CM5,CQ5,CU5,CY5)</f>
        <v>5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73"/>
      <c r="Y5" s="81"/>
      <c r="Z5" s="82"/>
      <c r="AA5" s="73"/>
      <c r="AB5" s="73"/>
      <c r="AC5" s="81"/>
      <c r="AD5" s="82"/>
      <c r="AE5" s="73"/>
      <c r="AF5" s="73"/>
      <c r="AG5" s="81"/>
      <c r="AH5" s="82"/>
      <c r="AI5" s="59">
        <v>0.22559999999999999</v>
      </c>
      <c r="AJ5" s="73"/>
      <c r="AK5" s="81"/>
      <c r="AL5" s="82"/>
      <c r="AM5" s="59">
        <v>0.1068181818181818</v>
      </c>
      <c r="AN5" s="73"/>
      <c r="AO5" s="81"/>
      <c r="AP5" s="82"/>
      <c r="AQ5" s="59">
        <v>0.10660270504364049</v>
      </c>
      <c r="AR5" s="73"/>
      <c r="AS5" s="81"/>
      <c r="AT5" s="82"/>
      <c r="AU5" s="80">
        <v>0.36326357781194979</v>
      </c>
      <c r="AV5" s="73"/>
      <c r="AW5" s="81"/>
      <c r="AX5" s="82"/>
      <c r="AY5" s="80">
        <v>0.22526972674120049</v>
      </c>
      <c r="AZ5" s="73"/>
      <c r="BA5" s="81"/>
      <c r="BB5" s="82"/>
      <c r="BC5" s="80"/>
      <c r="BD5" s="73"/>
      <c r="BE5" s="81"/>
      <c r="BF5" s="82"/>
      <c r="BG5" s="73"/>
      <c r="BH5" s="73"/>
      <c r="BI5" s="81"/>
      <c r="BJ5" s="82"/>
      <c r="BK5" s="80"/>
      <c r="BL5" s="73"/>
      <c r="BM5" s="81"/>
      <c r="BN5" s="82"/>
      <c r="BO5" s="73"/>
      <c r="BP5" s="73"/>
      <c r="BQ5" s="81"/>
      <c r="BR5" s="82"/>
      <c r="BS5" s="80"/>
      <c r="BT5" s="73"/>
      <c r="BU5" s="81"/>
      <c r="BV5" s="82"/>
      <c r="BW5" s="73"/>
      <c r="BX5" s="73"/>
      <c r="BY5" s="81"/>
      <c r="BZ5" s="82"/>
      <c r="CA5" s="80"/>
      <c r="CB5" s="73"/>
      <c r="CC5" s="81"/>
      <c r="CD5" s="82"/>
      <c r="CE5" s="73"/>
      <c r="CF5" s="73"/>
      <c r="CG5" s="81"/>
      <c r="CH5" s="82"/>
      <c r="CI5" s="80"/>
      <c r="CJ5" s="73"/>
      <c r="CK5" s="81"/>
      <c r="CL5" s="82"/>
      <c r="CM5" s="73"/>
      <c r="CN5" s="73"/>
      <c r="CO5" s="81"/>
      <c r="CP5" s="82"/>
      <c r="CQ5" s="80"/>
      <c r="CR5" s="73"/>
      <c r="CS5" s="81"/>
      <c r="CT5" s="82"/>
      <c r="CU5" s="73"/>
      <c r="CV5" s="73"/>
      <c r="CW5" s="81"/>
      <c r="CX5" s="82"/>
      <c r="CY5" s="80"/>
      <c r="CZ5" s="73"/>
      <c r="DA5" s="81"/>
      <c r="DB5" s="82"/>
      <c r="DC5" s="80">
        <v>0.208091675065324</v>
      </c>
      <c r="DD5" s="73"/>
      <c r="DE5" s="81"/>
      <c r="DF5" s="82"/>
    </row>
    <row r="6" spans="1:110" x14ac:dyDescent="0.25">
      <c r="A6" s="71" t="s">
        <v>181</v>
      </c>
      <c r="B6" s="46" t="s">
        <v>164</v>
      </c>
      <c r="C6" s="47">
        <v>2020</v>
      </c>
      <c r="D6" s="73">
        <f t="shared" ref="D6:D42" si="0">AVERAGE(K6,O6,S6,W6,AA6,AE6,AI6,AM6,AQ6,AU6,AY6,BC6,BG6,BK6,BO6,BS6,BW6,CA6,CE6,CI6,CM6,CQ6,CU6,CY6)</f>
        <v>3.8600118126097077E-4</v>
      </c>
      <c r="E6" s="73">
        <f t="shared" ref="E6:E42" si="1">MEDIAN(K6,O6,S6,W6,AA6,AE6,AI6,AM6,AQ6,AU6,AY6,BC6,BG6,BK6,BO6,BS6,BW6,CA6,CE6,CI6,CM6,CQ6,CU6,CY6)</f>
        <v>3.7971803614806894E-4</v>
      </c>
      <c r="F6" s="73">
        <f t="shared" ref="F6:F42" si="2">MIN(K6,O6,S6,W6,AA6,AE6,AI6,AM6,AQ6,AU6,AY6,BC6,BG6,BK6,BO6,BS6,BW6,CA6,CE6,CI6,CM6,CQ6,CU6,CY6)</f>
        <v>3.1818181818181809E-4</v>
      </c>
      <c r="G6" s="73">
        <f t="shared" ref="G6:G42" si="3">MAX(K6,O6,S6,W6,AA6,AE6,AI6,AM6,AQ6,AU6,AY6,BC6,BG6,BK6,BO6,BS6,BW6,CA6,CE6,CI6,CM6,CQ6,CU6,CY6)</f>
        <v>4.6638683456592717E-4</v>
      </c>
      <c r="H6" s="39">
        <f t="shared" ref="H6:H42" si="4">COUNT(K6,O6,S6,W6,AA6,AE6,AI6,AM6,AQ6,AU6,AY6,BC6,BG6,BK6,BO6,BS6,BW6,CA6,CE6,CI6,CM6,CQ6,CU6,CY6)</f>
        <v>4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73"/>
      <c r="X6" s="73"/>
      <c r="Y6" s="81"/>
      <c r="Z6" s="82"/>
      <c r="AA6" s="59"/>
      <c r="AB6" s="73"/>
      <c r="AC6" s="81"/>
      <c r="AD6" s="82"/>
      <c r="AE6" s="59"/>
      <c r="AF6" s="73"/>
      <c r="AG6" s="81"/>
      <c r="AH6" s="82"/>
      <c r="AI6" s="59">
        <v>3.3600000000000004E-4</v>
      </c>
      <c r="AJ6" s="73"/>
      <c r="AK6" s="81"/>
      <c r="AL6" s="82"/>
      <c r="AM6" s="59">
        <v>3.1818181818181809E-4</v>
      </c>
      <c r="AN6" s="73"/>
      <c r="AO6" s="81"/>
      <c r="AP6" s="82"/>
      <c r="AQ6" s="59">
        <v>4.6638683456592717E-4</v>
      </c>
      <c r="AR6" s="73"/>
      <c r="AS6" s="81"/>
      <c r="AT6" s="82"/>
      <c r="AU6" s="59">
        <v>4.2343607229613779E-4</v>
      </c>
      <c r="AV6" s="73"/>
      <c r="AW6" s="81"/>
      <c r="AX6" s="82"/>
      <c r="AY6" s="59"/>
      <c r="AZ6" s="73"/>
      <c r="BA6" s="81"/>
      <c r="BB6" s="82"/>
      <c r="BC6" s="59"/>
      <c r="BD6" s="73"/>
      <c r="BE6" s="81"/>
      <c r="BF6" s="82"/>
      <c r="BG6" s="59"/>
      <c r="BH6" s="73"/>
      <c r="BI6" s="81"/>
      <c r="BJ6" s="82"/>
      <c r="BK6" s="59"/>
      <c r="BL6" s="73"/>
      <c r="BM6" s="81"/>
      <c r="BN6" s="82"/>
      <c r="BO6" s="59"/>
      <c r="BP6" s="73"/>
      <c r="BQ6" s="81"/>
      <c r="BR6" s="82"/>
      <c r="BS6" s="59"/>
      <c r="BT6" s="73"/>
      <c r="BU6" s="81"/>
      <c r="BV6" s="82"/>
      <c r="BW6" s="59"/>
      <c r="BX6" s="73"/>
      <c r="BY6" s="81"/>
      <c r="BZ6" s="82"/>
      <c r="CA6" s="59"/>
      <c r="CB6" s="73"/>
      <c r="CC6" s="81"/>
      <c r="CD6" s="82"/>
      <c r="CE6" s="59"/>
      <c r="CF6" s="73"/>
      <c r="CG6" s="81"/>
      <c r="CH6" s="82"/>
      <c r="CI6" s="59"/>
      <c r="CJ6" s="73"/>
      <c r="CK6" s="81"/>
      <c r="CL6" s="82"/>
      <c r="CM6" s="59"/>
      <c r="CN6" s="73"/>
      <c r="CO6" s="81"/>
      <c r="CP6" s="82"/>
      <c r="CQ6" s="59"/>
      <c r="CR6" s="73"/>
      <c r="CS6" s="81"/>
      <c r="CT6" s="82"/>
      <c r="CU6" s="59"/>
      <c r="CV6" s="73"/>
      <c r="CW6" s="81"/>
      <c r="CX6" s="82"/>
      <c r="CY6" s="59"/>
      <c r="CZ6" s="73"/>
      <c r="DA6" s="81"/>
      <c r="DB6" s="82"/>
      <c r="DC6" s="59">
        <v>5.3423680646211598E-6</v>
      </c>
      <c r="DD6" s="73"/>
      <c r="DE6" s="81"/>
      <c r="DF6" s="82" t="s">
        <v>195</v>
      </c>
    </row>
    <row r="7" spans="1:110" x14ac:dyDescent="0.25">
      <c r="A7" s="40" t="s">
        <v>11</v>
      </c>
      <c r="B7" s="46" t="s">
        <v>164</v>
      </c>
      <c r="C7" s="47">
        <v>2020</v>
      </c>
      <c r="D7" s="73">
        <f t="shared" si="0"/>
        <v>7.7556603773584905E-4</v>
      </c>
      <c r="E7" s="73">
        <f t="shared" si="1"/>
        <v>7.7556603773584905E-4</v>
      </c>
      <c r="F7" s="73">
        <f t="shared" si="2"/>
        <v>5.8490566037735849E-6</v>
      </c>
      <c r="G7" s="73">
        <f t="shared" si="3"/>
        <v>1.5452830188679245E-3</v>
      </c>
      <c r="H7" s="39">
        <f t="shared" si="4"/>
        <v>2</v>
      </c>
      <c r="I7" s="40"/>
      <c r="J7" s="56"/>
      <c r="K7" s="59">
        <v>5.8490566037735849E-6</v>
      </c>
      <c r="L7" s="60"/>
      <c r="M7" s="61"/>
      <c r="N7" s="64"/>
      <c r="O7" s="59">
        <v>1.5452830188679245E-3</v>
      </c>
      <c r="P7" s="60"/>
      <c r="Q7" s="61"/>
      <c r="R7" s="64"/>
      <c r="S7" s="70"/>
      <c r="T7" s="60"/>
      <c r="U7" s="61"/>
      <c r="V7" s="64"/>
      <c r="W7" s="79"/>
      <c r="X7" s="83"/>
      <c r="Y7" s="81"/>
      <c r="Z7" s="82"/>
      <c r="AA7" s="59"/>
      <c r="AB7" s="83"/>
      <c r="AC7" s="81"/>
      <c r="AD7" s="82"/>
      <c r="AE7" s="59"/>
      <c r="AF7" s="83"/>
      <c r="AG7" s="81"/>
      <c r="AH7" s="82"/>
      <c r="AI7" s="59"/>
      <c r="AJ7" s="83"/>
      <c r="AK7" s="81"/>
      <c r="AL7" s="82"/>
      <c r="AM7" s="59"/>
      <c r="AN7" s="83"/>
      <c r="AO7" s="81"/>
      <c r="AP7" s="82"/>
      <c r="AQ7" s="59"/>
      <c r="AR7" s="83"/>
      <c r="AS7" s="81"/>
      <c r="AT7" s="82"/>
      <c r="AU7" s="59"/>
      <c r="AV7" s="83"/>
      <c r="AW7" s="81"/>
      <c r="AX7" s="82"/>
      <c r="AY7" s="59"/>
      <c r="AZ7" s="83"/>
      <c r="BA7" s="81"/>
      <c r="BB7" s="82"/>
      <c r="BC7" s="59"/>
      <c r="BD7" s="83"/>
      <c r="BE7" s="81"/>
      <c r="BF7" s="82"/>
      <c r="BG7" s="59"/>
      <c r="BH7" s="83"/>
      <c r="BI7" s="81"/>
      <c r="BJ7" s="82"/>
      <c r="BK7" s="59"/>
      <c r="BL7" s="83"/>
      <c r="BM7" s="81"/>
      <c r="BN7" s="82"/>
      <c r="BO7" s="59"/>
      <c r="BP7" s="83"/>
      <c r="BQ7" s="81"/>
      <c r="BR7" s="82"/>
      <c r="BS7" s="59"/>
      <c r="BT7" s="83"/>
      <c r="BU7" s="81"/>
      <c r="BV7" s="82"/>
      <c r="BW7" s="59"/>
      <c r="BX7" s="83"/>
      <c r="BY7" s="81"/>
      <c r="BZ7" s="82"/>
      <c r="CA7" s="59"/>
      <c r="CB7" s="83"/>
      <c r="CC7" s="81"/>
      <c r="CD7" s="82"/>
      <c r="CE7" s="59"/>
      <c r="CF7" s="83"/>
      <c r="CG7" s="81"/>
      <c r="CH7" s="82"/>
      <c r="CI7" s="59"/>
      <c r="CJ7" s="83"/>
      <c r="CK7" s="81"/>
      <c r="CL7" s="82"/>
      <c r="CM7" s="59"/>
      <c r="CN7" s="83"/>
      <c r="CO7" s="81"/>
      <c r="CP7" s="82"/>
      <c r="CQ7" s="59"/>
      <c r="CR7" s="83"/>
      <c r="CS7" s="81"/>
      <c r="CT7" s="82"/>
      <c r="CU7" s="59"/>
      <c r="CV7" s="83"/>
      <c r="CW7" s="81"/>
      <c r="CX7" s="82"/>
      <c r="CY7" s="59"/>
      <c r="CZ7" s="83"/>
      <c r="DA7" s="81"/>
      <c r="DB7" s="82"/>
      <c r="DC7" s="59">
        <v>5.4821223079260101E-3</v>
      </c>
      <c r="DD7" s="83"/>
      <c r="DE7" s="81"/>
      <c r="DF7" s="82"/>
    </row>
    <row r="8" spans="1:110" x14ac:dyDescent="0.25">
      <c r="A8" s="40" t="s">
        <v>13</v>
      </c>
      <c r="B8" s="46" t="s">
        <v>164</v>
      </c>
      <c r="C8" s="47">
        <v>2020</v>
      </c>
      <c r="D8" s="73">
        <f t="shared" si="0"/>
        <v>3.8605317324185248E-4</v>
      </c>
      <c r="E8" s="73">
        <f t="shared" si="1"/>
        <v>4.1252144082332755E-4</v>
      </c>
      <c r="F8" s="73">
        <f t="shared" si="2"/>
        <v>4.7169811320754728E-5</v>
      </c>
      <c r="G8" s="73">
        <f t="shared" si="3"/>
        <v>6.7200000000000007E-4</v>
      </c>
      <c r="H8" s="39">
        <f t="shared" si="4"/>
        <v>4</v>
      </c>
      <c r="I8" s="40"/>
      <c r="J8" s="56"/>
      <c r="K8" s="59"/>
      <c r="L8" s="60"/>
      <c r="M8" s="61"/>
      <c r="N8" s="64"/>
      <c r="O8" s="70"/>
      <c r="P8" s="60"/>
      <c r="Q8" s="61"/>
      <c r="R8" s="64"/>
      <c r="S8" s="70"/>
      <c r="T8" s="60"/>
      <c r="U8" s="61"/>
      <c r="V8" s="64"/>
      <c r="W8" s="78">
        <v>4.7169811320754728E-5</v>
      </c>
      <c r="X8" s="83"/>
      <c r="Y8" s="81"/>
      <c r="Z8" s="82"/>
      <c r="AA8" s="78">
        <v>1.8867924528301891E-4</v>
      </c>
      <c r="AB8" s="83"/>
      <c r="AC8" s="81"/>
      <c r="AD8" s="82"/>
      <c r="AE8" s="59"/>
      <c r="AF8" s="83"/>
      <c r="AG8" s="81"/>
      <c r="AH8" s="82"/>
      <c r="AI8" s="59">
        <v>6.7200000000000007E-4</v>
      </c>
      <c r="AJ8" s="83"/>
      <c r="AK8" s="81"/>
      <c r="AL8" s="82"/>
      <c r="AM8" s="59">
        <v>6.3636363636363619E-4</v>
      </c>
      <c r="AN8" s="83"/>
      <c r="AO8" s="81"/>
      <c r="AP8" s="82"/>
      <c r="AQ8" s="59"/>
      <c r="AR8" s="83"/>
      <c r="AS8" s="81"/>
      <c r="AT8" s="82"/>
      <c r="AU8" s="59"/>
      <c r="AV8" s="83"/>
      <c r="AW8" s="81"/>
      <c r="AX8" s="82"/>
      <c r="AY8" s="59"/>
      <c r="AZ8" s="83"/>
      <c r="BA8" s="81"/>
      <c r="BB8" s="82"/>
      <c r="BC8" s="59"/>
      <c r="BD8" s="83"/>
      <c r="BE8" s="81"/>
      <c r="BF8" s="82"/>
      <c r="BG8" s="59"/>
      <c r="BH8" s="83"/>
      <c r="BI8" s="81"/>
      <c r="BJ8" s="82"/>
      <c r="BK8" s="59"/>
      <c r="BL8" s="83"/>
      <c r="BM8" s="81"/>
      <c r="BN8" s="82"/>
      <c r="BO8" s="59"/>
      <c r="BP8" s="83"/>
      <c r="BQ8" s="81"/>
      <c r="BR8" s="82"/>
      <c r="BS8" s="59"/>
      <c r="BT8" s="83"/>
      <c r="BU8" s="81"/>
      <c r="BV8" s="82"/>
      <c r="BW8" s="59"/>
      <c r="BX8" s="83"/>
      <c r="BY8" s="81"/>
      <c r="BZ8" s="82"/>
      <c r="CA8" s="59"/>
      <c r="CB8" s="83"/>
      <c r="CC8" s="81"/>
      <c r="CD8" s="82"/>
      <c r="CE8" s="59"/>
      <c r="CF8" s="83"/>
      <c r="CG8" s="81"/>
      <c r="CH8" s="82"/>
      <c r="CI8" s="59"/>
      <c r="CJ8" s="83"/>
      <c r="CK8" s="81"/>
      <c r="CL8" s="82"/>
      <c r="CM8" s="59"/>
      <c r="CN8" s="83"/>
      <c r="CO8" s="81"/>
      <c r="CP8" s="82"/>
      <c r="CQ8" s="59"/>
      <c r="CR8" s="83"/>
      <c r="CS8" s="81"/>
      <c r="CT8" s="82"/>
      <c r="CU8" s="59"/>
      <c r="CV8" s="83"/>
      <c r="CW8" s="81"/>
      <c r="CX8" s="82"/>
      <c r="CY8" s="59"/>
      <c r="CZ8" s="83"/>
      <c r="DA8" s="81"/>
      <c r="DB8" s="82"/>
      <c r="DC8" s="59">
        <v>1.88985471685412E-4</v>
      </c>
      <c r="DD8" s="83"/>
      <c r="DE8" s="81"/>
      <c r="DF8" s="82"/>
    </row>
    <row r="9" spans="1:110" x14ac:dyDescent="0.25">
      <c r="A9" s="40" t="s">
        <v>16</v>
      </c>
      <c r="B9" s="46" t="s">
        <v>164</v>
      </c>
      <c r="C9" s="47">
        <v>2020</v>
      </c>
      <c r="D9" s="73">
        <f t="shared" si="0"/>
        <v>2.103734134271105E-3</v>
      </c>
      <c r="E9" s="73">
        <f t="shared" si="1"/>
        <v>1.5094339622641509E-3</v>
      </c>
      <c r="F9" s="73">
        <f t="shared" si="2"/>
        <v>1.8867924528301888E-5</v>
      </c>
      <c r="G9" s="73">
        <f t="shared" si="3"/>
        <v>6.7924528301886791E-3</v>
      </c>
      <c r="H9" s="39">
        <f t="shared" si="4"/>
        <v>23</v>
      </c>
      <c r="I9" s="40"/>
      <c r="J9" s="56"/>
      <c r="K9" s="78">
        <v>2.4464150943396224E-3</v>
      </c>
      <c r="L9" s="60"/>
      <c r="M9" s="61"/>
      <c r="N9" s="64"/>
      <c r="O9" s="59">
        <v>2.9716981132075471E-3</v>
      </c>
      <c r="P9" s="60"/>
      <c r="Q9" s="61"/>
      <c r="R9" s="64"/>
      <c r="S9" s="59">
        <v>7.1071698113207539E-5</v>
      </c>
      <c r="T9" s="60"/>
      <c r="U9" s="61"/>
      <c r="V9" s="64"/>
      <c r="W9" s="78">
        <v>1.8867924528301888E-5</v>
      </c>
      <c r="X9" s="83"/>
      <c r="Y9" s="81"/>
      <c r="Z9" s="82"/>
      <c r="AA9" s="78">
        <v>5.660377358490566E-5</v>
      </c>
      <c r="AB9" s="83"/>
      <c r="AC9" s="81"/>
      <c r="AD9" s="82"/>
      <c r="AE9" s="59">
        <v>5.5000000000000002E-5</v>
      </c>
      <c r="AF9" s="83"/>
      <c r="AG9" s="81"/>
      <c r="AH9" s="82"/>
      <c r="AI9" s="59">
        <v>3.3600000000000001E-3</v>
      </c>
      <c r="AJ9" s="83"/>
      <c r="AK9" s="81"/>
      <c r="AL9" s="82"/>
      <c r="AM9" s="59">
        <v>3.1818181818181811E-3</v>
      </c>
      <c r="AN9" s="83"/>
      <c r="AO9" s="81"/>
      <c r="AP9" s="82"/>
      <c r="AQ9" s="59"/>
      <c r="AR9" s="83"/>
      <c r="AS9" s="81"/>
      <c r="AT9" s="82"/>
      <c r="AU9" s="59">
        <v>1.2925943259566313E-3</v>
      </c>
      <c r="AV9" s="83"/>
      <c r="AW9" s="81"/>
      <c r="AX9" s="82"/>
      <c r="AY9" s="59">
        <v>1.7725458711411284E-4</v>
      </c>
      <c r="AZ9" s="83"/>
      <c r="BA9" s="81"/>
      <c r="BB9" s="82"/>
      <c r="BC9" s="59">
        <v>2.0057498161396002E-3</v>
      </c>
      <c r="BD9" s="83"/>
      <c r="BE9" s="81"/>
      <c r="BF9" s="82"/>
      <c r="BG9" s="59">
        <v>1.3991605036977812E-3</v>
      </c>
      <c r="BH9" s="83"/>
      <c r="BI9" s="81"/>
      <c r="BJ9" s="82"/>
      <c r="BK9" s="59">
        <v>1.5094339622641509E-3</v>
      </c>
      <c r="BL9" s="83"/>
      <c r="BM9" s="81"/>
      <c r="BN9" s="82"/>
      <c r="BO9" s="59">
        <v>1.5E-3</v>
      </c>
      <c r="BP9" s="83"/>
      <c r="BQ9" s="81"/>
      <c r="BR9" s="82"/>
      <c r="BS9" s="59">
        <v>2.5471698113207547E-3</v>
      </c>
      <c r="BT9" s="83"/>
      <c r="BU9" s="81"/>
      <c r="BV9" s="82"/>
      <c r="BW9" s="59">
        <v>4.0143396226415093E-4</v>
      </c>
      <c r="BX9" s="83"/>
      <c r="BY9" s="81"/>
      <c r="BZ9" s="82"/>
      <c r="CA9" s="59">
        <v>1.6981132075471698E-3</v>
      </c>
      <c r="CB9" s="83"/>
      <c r="CC9" s="81"/>
      <c r="CD9" s="82"/>
      <c r="CE9" s="59">
        <v>1.3991605036977812E-3</v>
      </c>
      <c r="CF9" s="83"/>
      <c r="CG9" s="81"/>
      <c r="CH9" s="82"/>
      <c r="CI9" s="59">
        <v>2.1226415094339622E-3</v>
      </c>
      <c r="CJ9" s="83"/>
      <c r="CK9" s="81"/>
      <c r="CL9" s="82"/>
      <c r="CM9" s="59">
        <v>1.7169811320754717E-4</v>
      </c>
      <c r="CN9" s="83"/>
      <c r="CO9" s="81"/>
      <c r="CP9" s="82"/>
      <c r="CQ9" s="59">
        <v>6.6037735849056598E-3</v>
      </c>
      <c r="CR9" s="83"/>
      <c r="CS9" s="81"/>
      <c r="CT9" s="82"/>
      <c r="CU9" s="59">
        <v>6.6037735849056598E-3</v>
      </c>
      <c r="CV9" s="83"/>
      <c r="CW9" s="81"/>
      <c r="CX9" s="82"/>
      <c r="CY9" s="59">
        <v>6.7924528301886791E-3</v>
      </c>
      <c r="CZ9" s="83"/>
      <c r="DA9" s="81"/>
      <c r="DB9" s="82"/>
      <c r="DC9" s="59">
        <v>1.31563975173832E-8</v>
      </c>
      <c r="DD9" s="83"/>
      <c r="DE9" s="81"/>
      <c r="DF9" s="82"/>
    </row>
    <row r="10" spans="1:110" x14ac:dyDescent="0.25">
      <c r="A10" s="40" t="s">
        <v>128</v>
      </c>
      <c r="B10" s="46" t="s">
        <v>164</v>
      </c>
      <c r="C10" s="47">
        <v>2020</v>
      </c>
      <c r="D10" s="73">
        <f t="shared" si="0"/>
        <v>3.3962264150943391E-6</v>
      </c>
      <c r="E10" s="73">
        <f t="shared" si="1"/>
        <v>3.3962264150943391E-6</v>
      </c>
      <c r="F10" s="73">
        <f t="shared" si="2"/>
        <v>3.3962264150943391E-6</v>
      </c>
      <c r="G10" s="73">
        <f t="shared" si="3"/>
        <v>3.3962264150943391E-6</v>
      </c>
      <c r="H10" s="39">
        <f t="shared" si="4"/>
        <v>1</v>
      </c>
      <c r="I10" s="40"/>
      <c r="J10" s="56"/>
      <c r="K10" s="59">
        <v>3.3962264150943391E-6</v>
      </c>
      <c r="L10" s="60"/>
      <c r="M10" s="61"/>
      <c r="N10" s="64"/>
      <c r="O10" s="70"/>
      <c r="P10" s="60"/>
      <c r="Q10" s="61"/>
      <c r="R10" s="64"/>
      <c r="S10" s="70"/>
      <c r="T10" s="60"/>
      <c r="U10" s="61"/>
      <c r="V10" s="64"/>
      <c r="W10" s="79"/>
      <c r="X10" s="83"/>
      <c r="Y10" s="81"/>
      <c r="Z10" s="82"/>
      <c r="AA10" s="79"/>
      <c r="AB10" s="83"/>
      <c r="AC10" s="81"/>
      <c r="AD10" s="82"/>
      <c r="AE10" s="70"/>
      <c r="AF10" s="83"/>
      <c r="AG10" s="81"/>
      <c r="AH10" s="82"/>
      <c r="AI10" s="70"/>
      <c r="AJ10" s="83"/>
      <c r="AK10" s="81"/>
      <c r="AL10" s="82"/>
      <c r="AM10" s="70"/>
      <c r="AN10" s="83"/>
      <c r="AO10" s="81"/>
      <c r="AP10" s="82"/>
      <c r="AQ10" s="70"/>
      <c r="AR10" s="83"/>
      <c r="AS10" s="81"/>
      <c r="AT10" s="82"/>
      <c r="AU10" s="70"/>
      <c r="AV10" s="83"/>
      <c r="AW10" s="81"/>
      <c r="AX10" s="82"/>
      <c r="AY10" s="70"/>
      <c r="AZ10" s="83"/>
      <c r="BA10" s="81"/>
      <c r="BB10" s="82"/>
      <c r="BC10" s="70"/>
      <c r="BD10" s="83"/>
      <c r="BE10" s="81"/>
      <c r="BF10" s="82"/>
      <c r="BG10" s="70"/>
      <c r="BH10" s="83"/>
      <c r="BI10" s="81"/>
      <c r="BJ10" s="82"/>
      <c r="BK10" s="70"/>
      <c r="BL10" s="83"/>
      <c r="BM10" s="81"/>
      <c r="BN10" s="82"/>
      <c r="BO10" s="70"/>
      <c r="BP10" s="83"/>
      <c r="BQ10" s="81"/>
      <c r="BR10" s="82"/>
      <c r="BS10" s="70"/>
      <c r="BT10" s="83"/>
      <c r="BU10" s="81"/>
      <c r="BV10" s="82"/>
      <c r="BW10" s="70"/>
      <c r="BX10" s="83"/>
      <c r="BY10" s="81"/>
      <c r="BZ10" s="82"/>
      <c r="CA10" s="70"/>
      <c r="CB10" s="83"/>
      <c r="CC10" s="81"/>
      <c r="CD10" s="82"/>
      <c r="CE10" s="70"/>
      <c r="CF10" s="83"/>
      <c r="CG10" s="81"/>
      <c r="CH10" s="82"/>
      <c r="CI10" s="70"/>
      <c r="CJ10" s="83"/>
      <c r="CK10" s="81"/>
      <c r="CL10" s="82"/>
      <c r="CM10" s="70"/>
      <c r="CN10" s="83"/>
      <c r="CO10" s="81"/>
      <c r="CP10" s="82"/>
      <c r="CQ10" s="70"/>
      <c r="CR10" s="83"/>
      <c r="CS10" s="81"/>
      <c r="CT10" s="82"/>
      <c r="CU10" s="70"/>
      <c r="CV10" s="83"/>
      <c r="CW10" s="81"/>
      <c r="CX10" s="82"/>
      <c r="CY10" s="70"/>
      <c r="CZ10" s="83"/>
      <c r="DA10" s="81"/>
      <c r="DB10" s="82"/>
      <c r="DC10" s="70"/>
      <c r="DD10" s="83"/>
      <c r="DE10" s="81"/>
      <c r="DF10" s="82"/>
    </row>
    <row r="11" spans="1:110" x14ac:dyDescent="0.25">
      <c r="A11" s="40" t="s">
        <v>129</v>
      </c>
      <c r="B11" s="46" t="s">
        <v>164</v>
      </c>
      <c r="C11" s="47">
        <v>2020</v>
      </c>
      <c r="D11" s="73">
        <f t="shared" si="0"/>
        <v>4.4528301886792465E-6</v>
      </c>
      <c r="E11" s="73">
        <f t="shared" si="1"/>
        <v>4.4528301886792457E-6</v>
      </c>
      <c r="F11" s="73">
        <f t="shared" si="2"/>
        <v>1.8867924528301889E-7</v>
      </c>
      <c r="G11" s="73">
        <f t="shared" si="3"/>
        <v>8.7169811320754735E-6</v>
      </c>
      <c r="H11" s="39">
        <f t="shared" si="4"/>
        <v>2</v>
      </c>
      <c r="I11" s="40"/>
      <c r="J11" s="56"/>
      <c r="K11" s="59">
        <v>1.8867924528301889E-7</v>
      </c>
      <c r="L11" s="60"/>
      <c r="M11" s="61"/>
      <c r="N11" s="64"/>
      <c r="O11" s="59">
        <v>8.7169811320754735E-6</v>
      </c>
      <c r="P11" s="60"/>
      <c r="Q11" s="61"/>
      <c r="R11" s="64"/>
      <c r="S11" s="70"/>
      <c r="T11" s="60"/>
      <c r="U11" s="61"/>
      <c r="V11" s="64"/>
      <c r="W11" s="79"/>
      <c r="X11" s="83"/>
      <c r="Y11" s="81"/>
      <c r="Z11" s="82"/>
      <c r="AA11" s="79"/>
      <c r="AB11" s="83"/>
      <c r="AC11" s="81"/>
      <c r="AD11" s="82"/>
      <c r="AE11" s="70"/>
      <c r="AF11" s="83"/>
      <c r="AG11" s="81"/>
      <c r="AH11" s="82"/>
      <c r="AI11" s="70"/>
      <c r="AJ11" s="83"/>
      <c r="AK11" s="81"/>
      <c r="AL11" s="82"/>
      <c r="AM11" s="70"/>
      <c r="AN11" s="59"/>
      <c r="AO11" s="81"/>
      <c r="AP11" s="82"/>
      <c r="AQ11" s="70"/>
      <c r="AR11" s="83"/>
      <c r="AS11" s="81"/>
      <c r="AT11" s="82"/>
      <c r="AU11" s="70"/>
      <c r="AV11" s="59"/>
      <c r="AW11" s="81"/>
      <c r="AX11" s="82"/>
      <c r="AY11" s="70"/>
      <c r="AZ11" s="83"/>
      <c r="BA11" s="81"/>
      <c r="BB11" s="82"/>
      <c r="BC11" s="70"/>
      <c r="BD11" s="59"/>
      <c r="BE11" s="81"/>
      <c r="BF11" s="82"/>
      <c r="BG11" s="70"/>
      <c r="BH11" s="83"/>
      <c r="BI11" s="81"/>
      <c r="BJ11" s="82"/>
      <c r="BK11" s="70"/>
      <c r="BL11" s="59"/>
      <c r="BM11" s="81"/>
      <c r="BN11" s="82"/>
      <c r="BO11" s="70"/>
      <c r="BP11" s="83"/>
      <c r="BQ11" s="81"/>
      <c r="BR11" s="82"/>
      <c r="BS11" s="70"/>
      <c r="BT11" s="59"/>
      <c r="BU11" s="81"/>
      <c r="BV11" s="82"/>
      <c r="BW11" s="70"/>
      <c r="BX11" s="83"/>
      <c r="BY11" s="81"/>
      <c r="BZ11" s="82"/>
      <c r="CA11" s="70"/>
      <c r="CB11" s="59"/>
      <c r="CC11" s="81"/>
      <c r="CD11" s="82"/>
      <c r="CE11" s="70"/>
      <c r="CF11" s="83"/>
      <c r="CG11" s="81"/>
      <c r="CH11" s="82"/>
      <c r="CI11" s="70"/>
      <c r="CJ11" s="59"/>
      <c r="CK11" s="81"/>
      <c r="CL11" s="82"/>
      <c r="CM11" s="70"/>
      <c r="CN11" s="83"/>
      <c r="CO11" s="81"/>
      <c r="CP11" s="82"/>
      <c r="CQ11" s="70"/>
      <c r="CR11" s="59"/>
      <c r="CS11" s="81"/>
      <c r="CT11" s="82"/>
      <c r="CU11" s="70"/>
      <c r="CV11" s="83"/>
      <c r="CW11" s="81"/>
      <c r="CX11" s="82"/>
      <c r="CY11" s="70"/>
      <c r="CZ11" s="59"/>
      <c r="DA11" s="81"/>
      <c r="DB11" s="82"/>
      <c r="DC11" s="70">
        <v>2.19326380536922E-5</v>
      </c>
      <c r="DD11" s="59"/>
      <c r="DE11" s="81"/>
      <c r="DF11" s="82"/>
    </row>
    <row r="12" spans="1:110" x14ac:dyDescent="0.25">
      <c r="A12" s="40" t="s">
        <v>18</v>
      </c>
      <c r="B12" s="46" t="s">
        <v>164</v>
      </c>
      <c r="C12" s="47">
        <v>2020</v>
      </c>
      <c r="D12" s="73">
        <f t="shared" si="0"/>
        <v>3.3632075471698113E-6</v>
      </c>
      <c r="E12" s="73">
        <f t="shared" si="1"/>
        <v>3.3632075471698113E-6</v>
      </c>
      <c r="F12" s="73">
        <f t="shared" si="2"/>
        <v>1.8867924528301889E-7</v>
      </c>
      <c r="G12" s="73">
        <f t="shared" si="3"/>
        <v>6.5377358490566038E-6</v>
      </c>
      <c r="H12" s="39">
        <f t="shared" si="4"/>
        <v>2</v>
      </c>
      <c r="I12" s="40"/>
      <c r="J12" s="56"/>
      <c r="K12" s="59">
        <v>1.8867924528301889E-7</v>
      </c>
      <c r="L12" s="60"/>
      <c r="M12" s="61"/>
      <c r="N12" s="64"/>
      <c r="O12" s="59">
        <v>6.5377358490566038E-6</v>
      </c>
      <c r="P12" s="60"/>
      <c r="Q12" s="61"/>
      <c r="R12" s="64"/>
      <c r="S12" s="70"/>
      <c r="T12" s="60"/>
      <c r="U12" s="61"/>
      <c r="V12" s="64"/>
      <c r="W12" s="79"/>
      <c r="X12" s="83"/>
      <c r="Y12" s="81"/>
      <c r="Z12" s="82"/>
      <c r="AA12" s="78"/>
      <c r="AB12" s="83"/>
      <c r="AC12" s="81"/>
      <c r="AD12" s="82"/>
      <c r="AE12" s="59"/>
      <c r="AF12" s="83"/>
      <c r="AG12" s="81"/>
      <c r="AH12" s="82"/>
      <c r="AI12" s="59"/>
      <c r="AJ12" s="83"/>
      <c r="AK12" s="81"/>
      <c r="AL12" s="82"/>
      <c r="AM12" s="59"/>
      <c r="AN12" s="83"/>
      <c r="AO12" s="81"/>
      <c r="AP12" s="82"/>
      <c r="AQ12" s="59"/>
      <c r="AR12" s="83"/>
      <c r="AS12" s="81"/>
      <c r="AT12" s="82"/>
      <c r="AU12" s="59"/>
      <c r="AV12" s="83"/>
      <c r="AW12" s="81"/>
      <c r="AX12" s="82"/>
      <c r="AY12" s="59"/>
      <c r="AZ12" s="83"/>
      <c r="BA12" s="81"/>
      <c r="BB12" s="82"/>
      <c r="BC12" s="59"/>
      <c r="BD12" s="83"/>
      <c r="BE12" s="81"/>
      <c r="BF12" s="82"/>
      <c r="BG12" s="59"/>
      <c r="BH12" s="83"/>
      <c r="BI12" s="81"/>
      <c r="BJ12" s="82"/>
      <c r="BK12" s="59"/>
      <c r="BL12" s="83"/>
      <c r="BM12" s="81"/>
      <c r="BN12" s="82"/>
      <c r="BO12" s="59"/>
      <c r="BP12" s="83"/>
      <c r="BQ12" s="81"/>
      <c r="BR12" s="82"/>
      <c r="BS12" s="59"/>
      <c r="BT12" s="83"/>
      <c r="BU12" s="81"/>
      <c r="BV12" s="82"/>
      <c r="BW12" s="59"/>
      <c r="BX12" s="83"/>
      <c r="BY12" s="81"/>
      <c r="BZ12" s="82"/>
      <c r="CA12" s="59"/>
      <c r="CB12" s="83"/>
      <c r="CC12" s="81"/>
      <c r="CD12" s="82"/>
      <c r="CE12" s="59"/>
      <c r="CF12" s="83"/>
      <c r="CG12" s="81"/>
      <c r="CH12" s="82"/>
      <c r="CI12" s="59"/>
      <c r="CJ12" s="83"/>
      <c r="CK12" s="81"/>
      <c r="CL12" s="82"/>
      <c r="CM12" s="59"/>
      <c r="CN12" s="83"/>
      <c r="CO12" s="81"/>
      <c r="CP12" s="82"/>
      <c r="CQ12" s="59"/>
      <c r="CR12" s="83"/>
      <c r="CS12" s="81"/>
      <c r="CT12" s="82"/>
      <c r="CU12" s="59"/>
      <c r="CV12" s="83"/>
      <c r="CW12" s="81"/>
      <c r="CX12" s="82"/>
      <c r="CY12" s="59"/>
      <c r="CZ12" s="83"/>
      <c r="DA12" s="81"/>
      <c r="DB12" s="82"/>
      <c r="DC12" s="59">
        <v>7.6744930081388597E-5</v>
      </c>
      <c r="DD12" s="83"/>
      <c r="DE12" s="81"/>
      <c r="DF12" s="82"/>
    </row>
    <row r="13" spans="1:110" x14ac:dyDescent="0.25">
      <c r="A13" s="40" t="s">
        <v>20</v>
      </c>
      <c r="B13" s="46" t="s">
        <v>164</v>
      </c>
      <c r="C13" s="47">
        <v>2020</v>
      </c>
      <c r="D13" s="73">
        <f t="shared" si="0"/>
        <v>8.3964119452146384E-6</v>
      </c>
      <c r="E13" s="73">
        <f t="shared" si="1"/>
        <v>8.2075471698113213E-6</v>
      </c>
      <c r="F13" s="73">
        <f t="shared" si="2"/>
        <v>6.6626690652275305E-6</v>
      </c>
      <c r="G13" s="73">
        <f t="shared" si="3"/>
        <v>1.0754716981132076E-5</v>
      </c>
      <c r="H13" s="39">
        <f t="shared" si="4"/>
        <v>5</v>
      </c>
      <c r="I13" s="40"/>
      <c r="J13" s="56"/>
      <c r="K13" s="78">
        <v>1.0754716981132076E-5</v>
      </c>
      <c r="L13" s="60"/>
      <c r="M13" s="61"/>
      <c r="N13" s="64"/>
      <c r="O13" s="70"/>
      <c r="P13" s="60"/>
      <c r="Q13" s="61"/>
      <c r="R13" s="64"/>
      <c r="S13" s="70"/>
      <c r="T13" s="60"/>
      <c r="U13" s="61"/>
      <c r="V13" s="64"/>
      <c r="W13" s="79"/>
      <c r="X13" s="83"/>
      <c r="Y13" s="81"/>
      <c r="Z13" s="82"/>
      <c r="AA13" s="78"/>
      <c r="AB13" s="83"/>
      <c r="AC13" s="81"/>
      <c r="AD13" s="82"/>
      <c r="AE13" s="59"/>
      <c r="AF13" s="83"/>
      <c r="AG13" s="81"/>
      <c r="AH13" s="82"/>
      <c r="AI13" s="59"/>
      <c r="AJ13" s="83"/>
      <c r="AK13" s="81"/>
      <c r="AL13" s="82"/>
      <c r="AM13" s="59"/>
      <c r="AN13" s="83"/>
      <c r="AO13" s="81"/>
      <c r="AP13" s="82"/>
      <c r="AQ13" s="59"/>
      <c r="AR13" s="83"/>
      <c r="AS13" s="81"/>
      <c r="AT13" s="82"/>
      <c r="AU13" s="59"/>
      <c r="AV13" s="83"/>
      <c r="AW13" s="81"/>
      <c r="AX13" s="82"/>
      <c r="AY13" s="59"/>
      <c r="AZ13" s="83"/>
      <c r="BA13" s="81"/>
      <c r="BB13" s="82"/>
      <c r="BC13" s="59">
        <v>9.6944574446747341E-6</v>
      </c>
      <c r="BD13" s="83"/>
      <c r="BE13" s="81"/>
      <c r="BF13" s="82"/>
      <c r="BG13" s="59">
        <v>6.6626690652275305E-6</v>
      </c>
      <c r="BH13" s="83"/>
      <c r="BI13" s="81"/>
      <c r="BJ13" s="82"/>
      <c r="BK13" s="59"/>
      <c r="BL13" s="83"/>
      <c r="BM13" s="81"/>
      <c r="BN13" s="82"/>
      <c r="BO13" s="59"/>
      <c r="BP13" s="83"/>
      <c r="BQ13" s="81"/>
      <c r="BR13" s="82"/>
      <c r="BS13" s="59"/>
      <c r="BT13" s="83"/>
      <c r="BU13" s="81"/>
      <c r="BV13" s="82"/>
      <c r="BW13" s="59"/>
      <c r="BX13" s="83"/>
      <c r="BY13" s="81"/>
      <c r="BZ13" s="82"/>
      <c r="CA13" s="59">
        <v>8.2075471698113213E-6</v>
      </c>
      <c r="CB13" s="83"/>
      <c r="CC13" s="81"/>
      <c r="CD13" s="82"/>
      <c r="CE13" s="59">
        <v>6.6626690652275305E-6</v>
      </c>
      <c r="CF13" s="83"/>
      <c r="CG13" s="81"/>
      <c r="CH13" s="82"/>
      <c r="CI13" s="59"/>
      <c r="CJ13" s="83"/>
      <c r="CK13" s="81"/>
      <c r="CL13" s="82"/>
      <c r="CM13" s="59"/>
      <c r="CN13" s="83"/>
      <c r="CO13" s="81"/>
      <c r="CP13" s="82"/>
      <c r="CQ13" s="59"/>
      <c r="CR13" s="83"/>
      <c r="CS13" s="81"/>
      <c r="CT13" s="82"/>
      <c r="CU13" s="59"/>
      <c r="CV13" s="83"/>
      <c r="CW13" s="81"/>
      <c r="CX13" s="82"/>
      <c r="CY13" s="59"/>
      <c r="CZ13" s="83"/>
      <c r="DA13" s="81"/>
      <c r="DB13" s="82"/>
      <c r="DC13" s="59">
        <v>6.4075018765564297E-5</v>
      </c>
      <c r="DD13" s="83"/>
      <c r="DE13" s="81"/>
      <c r="DF13" s="82"/>
    </row>
    <row r="14" spans="1:110" x14ac:dyDescent="0.25">
      <c r="A14" s="40" t="s">
        <v>21</v>
      </c>
      <c r="B14" s="46" t="s">
        <v>164</v>
      </c>
      <c r="C14" s="47">
        <v>2020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40"/>
      <c r="J14" s="56"/>
      <c r="K14" s="59"/>
      <c r="L14" s="60"/>
      <c r="M14" s="61"/>
      <c r="N14" s="64"/>
      <c r="O14" s="70"/>
      <c r="P14" s="60"/>
      <c r="Q14" s="61"/>
      <c r="R14" s="64"/>
      <c r="S14" s="70"/>
      <c r="T14" s="60"/>
      <c r="U14" s="61"/>
      <c r="V14" s="64"/>
      <c r="W14" s="79"/>
      <c r="X14" s="83"/>
      <c r="Y14" s="81"/>
      <c r="Z14" s="82"/>
      <c r="AA14" s="78"/>
      <c r="AB14" s="83"/>
      <c r="AC14" s="81"/>
      <c r="AD14" s="82"/>
      <c r="AE14" s="59"/>
      <c r="AF14" s="83"/>
      <c r="AG14" s="81"/>
      <c r="AH14" s="82"/>
      <c r="AI14" s="59"/>
      <c r="AJ14" s="83"/>
      <c r="AK14" s="81"/>
      <c r="AL14" s="82"/>
      <c r="AM14" s="59"/>
      <c r="AN14" s="83"/>
      <c r="AO14" s="81"/>
      <c r="AP14" s="82"/>
      <c r="AQ14" s="59"/>
      <c r="AR14" s="83"/>
      <c r="AS14" s="81"/>
      <c r="AT14" s="82"/>
      <c r="AU14" s="59"/>
      <c r="AV14" s="83"/>
      <c r="AW14" s="81"/>
      <c r="AX14" s="82"/>
      <c r="AY14" s="59"/>
      <c r="AZ14" s="83"/>
      <c r="BA14" s="81"/>
      <c r="BB14" s="82"/>
      <c r="BC14" s="59"/>
      <c r="BD14" s="83"/>
      <c r="BE14" s="81"/>
      <c r="BF14" s="82"/>
      <c r="BG14" s="59"/>
      <c r="BH14" s="83"/>
      <c r="BI14" s="81"/>
      <c r="BJ14" s="82"/>
      <c r="BK14" s="59"/>
      <c r="BL14" s="83"/>
      <c r="BM14" s="81"/>
      <c r="BN14" s="82"/>
      <c r="BO14" s="59"/>
      <c r="BP14" s="83"/>
      <c r="BQ14" s="81"/>
      <c r="BR14" s="82"/>
      <c r="BS14" s="59"/>
      <c r="BT14" s="83"/>
      <c r="BU14" s="81"/>
      <c r="BV14" s="82"/>
      <c r="BW14" s="59"/>
      <c r="BX14" s="83"/>
      <c r="BY14" s="81"/>
      <c r="BZ14" s="82"/>
      <c r="CA14" s="59"/>
      <c r="CB14" s="83"/>
      <c r="CC14" s="81"/>
      <c r="CD14" s="82"/>
      <c r="CE14" s="59"/>
      <c r="CF14" s="83"/>
      <c r="CG14" s="81"/>
      <c r="CH14" s="82"/>
      <c r="CI14" s="59"/>
      <c r="CJ14" s="83"/>
      <c r="CK14" s="81"/>
      <c r="CL14" s="82"/>
      <c r="CM14" s="59"/>
      <c r="CN14" s="83"/>
      <c r="CO14" s="81"/>
      <c r="CP14" s="82"/>
      <c r="CQ14" s="59"/>
      <c r="CR14" s="83"/>
      <c r="CS14" s="81"/>
      <c r="CT14" s="82"/>
      <c r="CU14" s="59"/>
      <c r="CV14" s="83"/>
      <c r="CW14" s="81"/>
      <c r="CX14" s="82"/>
      <c r="CY14" s="59"/>
      <c r="CZ14" s="83"/>
      <c r="DA14" s="81"/>
      <c r="DB14" s="82"/>
      <c r="DC14" s="59"/>
      <c r="DD14" s="83"/>
      <c r="DE14" s="81"/>
      <c r="DF14" s="82"/>
    </row>
    <row r="15" spans="1:110" x14ac:dyDescent="0.25">
      <c r="A15" s="40" t="s">
        <v>142</v>
      </c>
      <c r="B15" s="46" t="s">
        <v>164</v>
      </c>
      <c r="C15" s="47">
        <v>2020</v>
      </c>
      <c r="D15" s="73" t="e">
        <f t="shared" si="0"/>
        <v>#DIV/0!</v>
      </c>
      <c r="E15" s="73" t="e">
        <f t="shared" si="1"/>
        <v>#NUM!</v>
      </c>
      <c r="F15" s="73">
        <f t="shared" si="2"/>
        <v>0</v>
      </c>
      <c r="G15" s="73">
        <f t="shared" si="3"/>
        <v>0</v>
      </c>
      <c r="H15" s="39">
        <f t="shared" si="4"/>
        <v>0</v>
      </c>
      <c r="I15" s="40"/>
      <c r="J15" s="56"/>
      <c r="K15" s="59"/>
      <c r="L15" s="60"/>
      <c r="M15" s="61"/>
      <c r="N15" s="64"/>
      <c r="O15" s="70"/>
      <c r="P15" s="60"/>
      <c r="Q15" s="61"/>
      <c r="R15" s="64"/>
      <c r="S15" s="70"/>
      <c r="T15" s="60"/>
      <c r="U15" s="61"/>
      <c r="V15" s="64"/>
      <c r="W15" s="79"/>
      <c r="X15" s="83"/>
      <c r="Y15" s="81"/>
      <c r="Z15" s="82"/>
      <c r="AA15" s="78"/>
      <c r="AB15" s="83"/>
      <c r="AC15" s="81"/>
      <c r="AD15" s="82"/>
      <c r="AE15" s="59"/>
      <c r="AF15" s="83"/>
      <c r="AG15" s="81"/>
      <c r="AH15" s="82"/>
      <c r="AI15" s="59"/>
      <c r="AJ15" s="83"/>
      <c r="AK15" s="81"/>
      <c r="AL15" s="82"/>
      <c r="AM15" s="59"/>
      <c r="AN15" s="83"/>
      <c r="AO15" s="81"/>
      <c r="AP15" s="82"/>
      <c r="AQ15" s="59"/>
      <c r="AR15" s="83"/>
      <c r="AS15" s="81"/>
      <c r="AT15" s="82"/>
      <c r="AU15" s="59"/>
      <c r="AV15" s="83"/>
      <c r="AW15" s="81"/>
      <c r="AX15" s="82"/>
      <c r="AY15" s="59"/>
      <c r="AZ15" s="83"/>
      <c r="BA15" s="81"/>
      <c r="BB15" s="82"/>
      <c r="BC15" s="59"/>
      <c r="BD15" s="83"/>
      <c r="BE15" s="81"/>
      <c r="BF15" s="82"/>
      <c r="BG15" s="59"/>
      <c r="BH15" s="83"/>
      <c r="BI15" s="81"/>
      <c r="BJ15" s="82"/>
      <c r="BK15" s="59"/>
      <c r="BL15" s="83"/>
      <c r="BM15" s="81"/>
      <c r="BN15" s="82"/>
      <c r="BO15" s="59"/>
      <c r="BP15" s="83"/>
      <c r="BQ15" s="81"/>
      <c r="BR15" s="82"/>
      <c r="BS15" s="59"/>
      <c r="BT15" s="83"/>
      <c r="BU15" s="81"/>
      <c r="BV15" s="82"/>
      <c r="BW15" s="59"/>
      <c r="BX15" s="83"/>
      <c r="BY15" s="81"/>
      <c r="BZ15" s="82"/>
      <c r="CA15" s="59"/>
      <c r="CB15" s="83"/>
      <c r="CC15" s="81"/>
      <c r="CD15" s="82"/>
      <c r="CE15" s="59"/>
      <c r="CF15" s="83"/>
      <c r="CG15" s="81"/>
      <c r="CH15" s="82"/>
      <c r="CI15" s="59"/>
      <c r="CJ15" s="83"/>
      <c r="CK15" s="81"/>
      <c r="CL15" s="82"/>
      <c r="CM15" s="59"/>
      <c r="CN15" s="83"/>
      <c r="CO15" s="81"/>
      <c r="CP15" s="82"/>
      <c r="CQ15" s="59"/>
      <c r="CR15" s="83"/>
      <c r="CS15" s="81"/>
      <c r="CT15" s="82"/>
      <c r="CU15" s="59"/>
      <c r="CV15" s="83"/>
      <c r="CW15" s="81"/>
      <c r="CX15" s="82"/>
      <c r="CY15" s="59"/>
      <c r="CZ15" s="83"/>
      <c r="DA15" s="81"/>
      <c r="DB15" s="82"/>
      <c r="DC15" s="59">
        <v>2.44666472259163E-6</v>
      </c>
      <c r="DD15" s="83"/>
      <c r="DE15" s="81"/>
      <c r="DF15" s="82"/>
    </row>
    <row r="16" spans="1:110" x14ac:dyDescent="0.25">
      <c r="A16" s="40" t="s">
        <v>25</v>
      </c>
      <c r="B16" s="46" t="s">
        <v>164</v>
      </c>
      <c r="C16" s="47">
        <v>2020</v>
      </c>
      <c r="D16" s="73">
        <f t="shared" si="0"/>
        <v>1.5094339622641511E-6</v>
      </c>
      <c r="E16" s="73">
        <f t="shared" si="1"/>
        <v>1.5094339622641511E-6</v>
      </c>
      <c r="F16" s="73">
        <f t="shared" si="2"/>
        <v>1.5094339622641511E-6</v>
      </c>
      <c r="G16" s="73">
        <f t="shared" si="3"/>
        <v>1.5094339622641511E-6</v>
      </c>
      <c r="H16" s="39">
        <f t="shared" si="4"/>
        <v>1</v>
      </c>
      <c r="I16" s="40"/>
      <c r="J16" s="56"/>
      <c r="K16" s="59">
        <v>1.5094339622641511E-6</v>
      </c>
      <c r="L16" s="60"/>
      <c r="M16" s="61"/>
      <c r="N16" s="64"/>
      <c r="O16" s="70"/>
      <c r="P16" s="60"/>
      <c r="Q16" s="61"/>
      <c r="R16" s="64"/>
      <c r="S16" s="70"/>
      <c r="T16" s="60"/>
      <c r="U16" s="61"/>
      <c r="V16" s="64"/>
      <c r="W16" s="79"/>
      <c r="X16" s="83"/>
      <c r="Y16" s="81"/>
      <c r="Z16" s="82"/>
      <c r="AA16" s="78"/>
      <c r="AB16" s="83"/>
      <c r="AC16" s="81"/>
      <c r="AD16" s="82"/>
      <c r="AE16" s="59"/>
      <c r="AF16" s="83"/>
      <c r="AG16" s="81"/>
      <c r="AH16" s="82"/>
      <c r="AI16" s="59"/>
      <c r="AJ16" s="83"/>
      <c r="AK16" s="81"/>
      <c r="AL16" s="82"/>
      <c r="AM16" s="59"/>
      <c r="AN16" s="83"/>
      <c r="AO16" s="81"/>
      <c r="AP16" s="82"/>
      <c r="AQ16" s="59"/>
      <c r="AR16" s="83"/>
      <c r="AS16" s="81"/>
      <c r="AT16" s="82"/>
      <c r="AU16" s="59"/>
      <c r="AV16" s="83"/>
      <c r="AW16" s="81"/>
      <c r="AX16" s="82"/>
      <c r="AY16" s="59"/>
      <c r="AZ16" s="83"/>
      <c r="BA16" s="81"/>
      <c r="BB16" s="82"/>
      <c r="BC16" s="59"/>
      <c r="BD16" s="83"/>
      <c r="BE16" s="81"/>
      <c r="BF16" s="82"/>
      <c r="BG16" s="59"/>
      <c r="BH16" s="83"/>
      <c r="BI16" s="81"/>
      <c r="BJ16" s="82"/>
      <c r="BK16" s="59"/>
      <c r="BL16" s="83"/>
      <c r="BM16" s="81"/>
      <c r="BN16" s="82"/>
      <c r="BO16" s="59"/>
      <c r="BP16" s="83"/>
      <c r="BQ16" s="81"/>
      <c r="BR16" s="82"/>
      <c r="BS16" s="59"/>
      <c r="BT16" s="83"/>
      <c r="BU16" s="81"/>
      <c r="BV16" s="82"/>
      <c r="BW16" s="59"/>
      <c r="BX16" s="83"/>
      <c r="BY16" s="81"/>
      <c r="BZ16" s="82"/>
      <c r="CA16" s="59"/>
      <c r="CB16" s="83"/>
      <c r="CC16" s="81"/>
      <c r="CD16" s="82"/>
      <c r="CE16" s="59"/>
      <c r="CF16" s="83"/>
      <c r="CG16" s="81"/>
      <c r="CH16" s="82"/>
      <c r="CI16" s="59"/>
      <c r="CJ16" s="83"/>
      <c r="CK16" s="81"/>
      <c r="CL16" s="82"/>
      <c r="CM16" s="59"/>
      <c r="CN16" s="83"/>
      <c r="CO16" s="81"/>
      <c r="CP16" s="82"/>
      <c r="CQ16" s="59"/>
      <c r="CR16" s="83"/>
      <c r="CS16" s="81"/>
      <c r="CT16" s="82"/>
      <c r="CU16" s="59"/>
      <c r="CV16" s="83"/>
      <c r="CW16" s="81"/>
      <c r="CX16" s="82"/>
      <c r="CY16" s="59"/>
      <c r="CZ16" s="83"/>
      <c r="DA16" s="81"/>
      <c r="DB16" s="82"/>
      <c r="DC16" s="59"/>
      <c r="DD16" s="83"/>
      <c r="DE16" s="81"/>
      <c r="DF16" s="82"/>
    </row>
    <row r="17" spans="1:110" x14ac:dyDescent="0.25">
      <c r="A17" s="40" t="s">
        <v>28</v>
      </c>
      <c r="B17" s="46" t="s">
        <v>164</v>
      </c>
      <c r="C17" s="47">
        <v>2020</v>
      </c>
      <c r="D17" s="73">
        <f t="shared" si="0"/>
        <v>1.3929245283018866E-4</v>
      </c>
      <c r="E17" s="73">
        <f t="shared" si="1"/>
        <v>1.3929245283018866E-4</v>
      </c>
      <c r="F17" s="73">
        <f t="shared" si="2"/>
        <v>1.2603773584905659E-4</v>
      </c>
      <c r="G17" s="73">
        <f t="shared" si="3"/>
        <v>1.5254716981132077E-4</v>
      </c>
      <c r="H17" s="39">
        <f t="shared" si="4"/>
        <v>2</v>
      </c>
      <c r="I17" s="40"/>
      <c r="J17" s="56"/>
      <c r="K17" s="78">
        <v>1.2603773584905659E-4</v>
      </c>
      <c r="L17" s="60"/>
      <c r="M17" s="61"/>
      <c r="N17" s="64"/>
      <c r="O17" s="59">
        <v>1.5254716981132077E-4</v>
      </c>
      <c r="P17" s="60"/>
      <c r="Q17" s="61"/>
      <c r="R17" s="64"/>
      <c r="S17" s="70"/>
      <c r="T17" s="60"/>
      <c r="U17" s="61"/>
      <c r="V17" s="64"/>
      <c r="W17" s="79"/>
      <c r="X17" s="83"/>
      <c r="Y17" s="81"/>
      <c r="Z17" s="82"/>
      <c r="AA17" s="78"/>
      <c r="AB17" s="83"/>
      <c r="AC17" s="81"/>
      <c r="AD17" s="82"/>
      <c r="AE17" s="59"/>
      <c r="AF17" s="83"/>
      <c r="AG17" s="81"/>
      <c r="AH17" s="82"/>
      <c r="AI17" s="59"/>
      <c r="AJ17" s="83"/>
      <c r="AK17" s="81"/>
      <c r="AL17" s="82"/>
      <c r="AM17" s="59"/>
      <c r="AN17" s="83"/>
      <c r="AO17" s="81"/>
      <c r="AP17" s="82"/>
      <c r="AQ17" s="59"/>
      <c r="AR17" s="83"/>
      <c r="AS17" s="81"/>
      <c r="AT17" s="82"/>
      <c r="AU17" s="59"/>
      <c r="AV17" s="83"/>
      <c r="AW17" s="81"/>
      <c r="AX17" s="82"/>
      <c r="AY17" s="59"/>
      <c r="AZ17" s="83"/>
      <c r="BA17" s="81"/>
      <c r="BB17" s="82"/>
      <c r="BC17" s="59"/>
      <c r="BD17" s="83"/>
      <c r="BE17" s="81"/>
      <c r="BF17" s="82"/>
      <c r="BG17" s="59"/>
      <c r="BH17" s="83"/>
      <c r="BI17" s="81"/>
      <c r="BJ17" s="82"/>
      <c r="BK17" s="59"/>
      <c r="BL17" s="83"/>
      <c r="BM17" s="81"/>
      <c r="BN17" s="82"/>
      <c r="BO17" s="59"/>
      <c r="BP17" s="83"/>
      <c r="BQ17" s="81"/>
      <c r="BR17" s="82"/>
      <c r="BS17" s="59"/>
      <c r="BT17" s="83"/>
      <c r="BU17" s="81"/>
      <c r="BV17" s="82"/>
      <c r="BW17" s="59"/>
      <c r="BX17" s="83"/>
      <c r="BY17" s="81"/>
      <c r="BZ17" s="82"/>
      <c r="CA17" s="59"/>
      <c r="CB17" s="83"/>
      <c r="CC17" s="81"/>
      <c r="CD17" s="82"/>
      <c r="CE17" s="59"/>
      <c r="CF17" s="83"/>
      <c r="CG17" s="81"/>
      <c r="CH17" s="82"/>
      <c r="CI17" s="59"/>
      <c r="CJ17" s="83"/>
      <c r="CK17" s="81"/>
      <c r="CL17" s="82"/>
      <c r="CM17" s="59"/>
      <c r="CN17" s="83"/>
      <c r="CO17" s="81"/>
      <c r="CP17" s="82"/>
      <c r="CQ17" s="59"/>
      <c r="CR17" s="83"/>
      <c r="CS17" s="81"/>
      <c r="CT17" s="82"/>
      <c r="CU17" s="59"/>
      <c r="CV17" s="83"/>
      <c r="CW17" s="81"/>
      <c r="CX17" s="82"/>
      <c r="CY17" s="59"/>
      <c r="CZ17" s="83"/>
      <c r="DA17" s="81"/>
      <c r="DB17" s="82"/>
      <c r="DC17" s="59">
        <v>2.5227889992320298E-3</v>
      </c>
      <c r="DD17" s="83"/>
      <c r="DE17" s="81"/>
      <c r="DF17" s="82"/>
    </row>
    <row r="18" spans="1:110" x14ac:dyDescent="0.25">
      <c r="A18" s="40" t="s">
        <v>31</v>
      </c>
      <c r="B18" s="46" t="s">
        <v>164</v>
      </c>
      <c r="C18" s="47">
        <v>2020</v>
      </c>
      <c r="D18" s="73">
        <f t="shared" si="0"/>
        <v>0.11804811320754717</v>
      </c>
      <c r="E18" s="73">
        <f t="shared" si="1"/>
        <v>0.11804811320754717</v>
      </c>
      <c r="F18" s="73">
        <f t="shared" si="2"/>
        <v>0.11804811320754717</v>
      </c>
      <c r="G18" s="73">
        <f t="shared" si="3"/>
        <v>0.11804811320754717</v>
      </c>
      <c r="H18" s="39">
        <f t="shared" si="4"/>
        <v>1</v>
      </c>
      <c r="I18" s="40"/>
      <c r="J18" s="56"/>
      <c r="K18" s="59">
        <v>0.11804811320754717</v>
      </c>
      <c r="L18" s="60"/>
      <c r="M18" s="61"/>
      <c r="N18" s="64"/>
      <c r="O18" s="70"/>
      <c r="P18" s="60"/>
      <c r="Q18" s="61"/>
      <c r="R18" s="64"/>
      <c r="S18" s="70"/>
      <c r="T18" s="60"/>
      <c r="U18" s="61"/>
      <c r="V18" s="64"/>
      <c r="W18" s="79"/>
      <c r="X18" s="83"/>
      <c r="Y18" s="81"/>
      <c r="Z18" s="82"/>
      <c r="AA18" s="78"/>
      <c r="AB18" s="83"/>
      <c r="AC18" s="81"/>
      <c r="AD18" s="82"/>
      <c r="AE18" s="59"/>
      <c r="AF18" s="83"/>
      <c r="AG18" s="81"/>
      <c r="AH18" s="82"/>
      <c r="AI18" s="59"/>
      <c r="AJ18" s="83"/>
      <c r="AK18" s="81"/>
      <c r="AL18" s="82"/>
      <c r="AM18" s="59"/>
      <c r="AN18" s="83"/>
      <c r="AO18" s="81"/>
      <c r="AP18" s="82"/>
      <c r="AQ18" s="59"/>
      <c r="AR18" s="83"/>
      <c r="AS18" s="81"/>
      <c r="AT18" s="82"/>
      <c r="AU18" s="59"/>
      <c r="AV18" s="83"/>
      <c r="AW18" s="81"/>
      <c r="AX18" s="82"/>
      <c r="AY18" s="59"/>
      <c r="AZ18" s="83"/>
      <c r="BA18" s="81"/>
      <c r="BB18" s="82"/>
      <c r="BC18" s="59"/>
      <c r="BD18" s="83"/>
      <c r="BE18" s="81"/>
      <c r="BF18" s="82"/>
      <c r="BG18" s="59"/>
      <c r="BH18" s="83"/>
      <c r="BI18" s="81"/>
      <c r="BJ18" s="82"/>
      <c r="BK18" s="59"/>
      <c r="BL18" s="83"/>
      <c r="BM18" s="81"/>
      <c r="BN18" s="82"/>
      <c r="BO18" s="59"/>
      <c r="BP18" s="83"/>
      <c r="BQ18" s="81"/>
      <c r="BR18" s="82"/>
      <c r="BS18" s="59"/>
      <c r="BT18" s="83"/>
      <c r="BU18" s="81"/>
      <c r="BV18" s="82"/>
      <c r="BW18" s="59"/>
      <c r="BX18" s="83"/>
      <c r="BY18" s="81"/>
      <c r="BZ18" s="82"/>
      <c r="CA18" s="59"/>
      <c r="CB18" s="83"/>
      <c r="CC18" s="81"/>
      <c r="CD18" s="82"/>
      <c r="CE18" s="59"/>
      <c r="CF18" s="83"/>
      <c r="CG18" s="81"/>
      <c r="CH18" s="82"/>
      <c r="CI18" s="59"/>
      <c r="CJ18" s="83"/>
      <c r="CK18" s="81"/>
      <c r="CL18" s="82"/>
      <c r="CM18" s="59"/>
      <c r="CN18" s="83"/>
      <c r="CO18" s="81"/>
      <c r="CP18" s="82"/>
      <c r="CQ18" s="59"/>
      <c r="CR18" s="83"/>
      <c r="CS18" s="81"/>
      <c r="CT18" s="82"/>
      <c r="CU18" s="59"/>
      <c r="CV18" s="83"/>
      <c r="CW18" s="81"/>
      <c r="CX18" s="82"/>
      <c r="CY18" s="59"/>
      <c r="CZ18" s="83"/>
      <c r="DA18" s="81"/>
      <c r="DB18" s="82"/>
      <c r="DC18" s="59">
        <v>8.8233055227247297E-9</v>
      </c>
      <c r="DD18" s="83"/>
      <c r="DE18" s="81"/>
      <c r="DF18" s="82"/>
    </row>
    <row r="19" spans="1:110" x14ac:dyDescent="0.25">
      <c r="A19" s="40" t="s">
        <v>33</v>
      </c>
      <c r="B19" s="46" t="s">
        <v>164</v>
      </c>
      <c r="C19" s="47">
        <v>2020</v>
      </c>
      <c r="D19" s="73">
        <f t="shared" si="0"/>
        <v>1.0922010588354895E-2</v>
      </c>
      <c r="E19" s="73">
        <f t="shared" si="1"/>
        <v>1.0922010588354895E-2</v>
      </c>
      <c r="F19" s="73">
        <f t="shared" si="2"/>
        <v>1.0922010588354895E-2</v>
      </c>
      <c r="G19" s="73">
        <f t="shared" si="3"/>
        <v>1.0922010588354895E-2</v>
      </c>
      <c r="H19" s="39">
        <f t="shared" si="4"/>
        <v>1</v>
      </c>
      <c r="I19" s="40"/>
      <c r="J19" s="56"/>
      <c r="K19" s="59"/>
      <c r="L19" s="60"/>
      <c r="M19" s="61"/>
      <c r="N19" s="64"/>
      <c r="O19" s="70"/>
      <c r="P19" s="60"/>
      <c r="Q19" s="61"/>
      <c r="R19" s="64"/>
      <c r="S19" s="70"/>
      <c r="T19" s="60"/>
      <c r="U19" s="61"/>
      <c r="V19" s="64"/>
      <c r="W19" s="79"/>
      <c r="X19" s="83"/>
      <c r="Y19" s="81"/>
      <c r="Z19" s="82"/>
      <c r="AA19" s="78"/>
      <c r="AB19" s="83"/>
      <c r="AC19" s="81"/>
      <c r="AD19" s="82"/>
      <c r="AE19" s="59"/>
      <c r="AF19" s="83"/>
      <c r="AG19" s="81"/>
      <c r="AH19" s="82"/>
      <c r="AI19" s="59"/>
      <c r="AJ19" s="83"/>
      <c r="AK19" s="81"/>
      <c r="AL19" s="82"/>
      <c r="AM19" s="59"/>
      <c r="AN19" s="83"/>
      <c r="AO19" s="81"/>
      <c r="AP19" s="82"/>
      <c r="AQ19" s="59"/>
      <c r="AR19" s="83"/>
      <c r="AS19" s="81"/>
      <c r="AT19" s="82"/>
      <c r="AU19" s="59"/>
      <c r="AV19" s="83"/>
      <c r="AW19" s="81"/>
      <c r="AX19" s="82"/>
      <c r="AY19" s="59">
        <v>1.0922010588354895E-2</v>
      </c>
      <c r="AZ19" s="83"/>
      <c r="BA19" s="81"/>
      <c r="BB19" s="82"/>
      <c r="BC19" s="59"/>
      <c r="BD19" s="83"/>
      <c r="BE19" s="81"/>
      <c r="BF19" s="82"/>
      <c r="BG19" s="59"/>
      <c r="BH19" s="83"/>
      <c r="BI19" s="81"/>
      <c r="BJ19" s="82"/>
      <c r="BK19" s="59"/>
      <c r="BL19" s="83"/>
      <c r="BM19" s="81"/>
      <c r="BN19" s="82"/>
      <c r="BO19" s="59"/>
      <c r="BP19" s="83"/>
      <c r="BQ19" s="81"/>
      <c r="BR19" s="82"/>
      <c r="BS19" s="59"/>
      <c r="BT19" s="83"/>
      <c r="BU19" s="81"/>
      <c r="BV19" s="82"/>
      <c r="BW19" s="59"/>
      <c r="BX19" s="83"/>
      <c r="BY19" s="81"/>
      <c r="BZ19" s="82"/>
      <c r="CA19" s="59"/>
      <c r="CB19" s="83"/>
      <c r="CC19" s="81"/>
      <c r="CD19" s="82"/>
      <c r="CE19" s="59"/>
      <c r="CF19" s="83"/>
      <c r="CG19" s="81"/>
      <c r="CH19" s="82"/>
      <c r="CI19" s="59"/>
      <c r="CJ19" s="83"/>
      <c r="CK19" s="81"/>
      <c r="CL19" s="82"/>
      <c r="CM19" s="59"/>
      <c r="CN19" s="83"/>
      <c r="CO19" s="81"/>
      <c r="CP19" s="82"/>
      <c r="CQ19" s="59"/>
      <c r="CR19" s="83"/>
      <c r="CS19" s="81"/>
      <c r="CT19" s="82"/>
      <c r="CU19" s="59"/>
      <c r="CV19" s="83"/>
      <c r="CW19" s="81"/>
      <c r="CX19" s="82"/>
      <c r="CY19" s="59"/>
      <c r="CZ19" s="83"/>
      <c r="DA19" s="81"/>
      <c r="DB19" s="82"/>
      <c r="DC19" s="59">
        <v>1.4524346415707601E-2</v>
      </c>
      <c r="DD19" s="83"/>
      <c r="DE19" s="81"/>
      <c r="DF19" s="82"/>
    </row>
    <row r="20" spans="1:110" x14ac:dyDescent="0.25">
      <c r="A20" s="40" t="s">
        <v>34</v>
      </c>
      <c r="B20" s="46" t="s">
        <v>164</v>
      </c>
      <c r="C20" s="47">
        <v>2020</v>
      </c>
      <c r="D20" s="73" t="e">
        <f t="shared" si="0"/>
        <v>#DIV/0!</v>
      </c>
      <c r="E20" s="73" t="e">
        <f t="shared" si="1"/>
        <v>#NUM!</v>
      </c>
      <c r="F20" s="73">
        <f t="shared" si="2"/>
        <v>0</v>
      </c>
      <c r="G20" s="73">
        <f t="shared" si="3"/>
        <v>0</v>
      </c>
      <c r="H20" s="39">
        <f t="shared" si="4"/>
        <v>0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9"/>
      <c r="X20" s="83"/>
      <c r="Y20" s="81"/>
      <c r="Z20" s="82"/>
      <c r="AA20" s="78"/>
      <c r="AB20" s="83"/>
      <c r="AC20" s="81"/>
      <c r="AD20" s="82"/>
      <c r="AE20" s="59"/>
      <c r="AF20" s="83"/>
      <c r="AG20" s="81"/>
      <c r="AH20" s="82"/>
      <c r="AI20" s="59"/>
      <c r="AJ20" s="83"/>
      <c r="AK20" s="81"/>
      <c r="AL20" s="82"/>
      <c r="AM20" s="59"/>
      <c r="AN20" s="83"/>
      <c r="AO20" s="81"/>
      <c r="AP20" s="82"/>
      <c r="AQ20" s="59"/>
      <c r="AR20" s="83"/>
      <c r="AS20" s="81"/>
      <c r="AT20" s="82"/>
      <c r="AU20" s="59"/>
      <c r="AV20" s="83"/>
      <c r="AW20" s="81"/>
      <c r="AX20" s="82"/>
      <c r="AY20" s="59"/>
      <c r="AZ20" s="83"/>
      <c r="BA20" s="81"/>
      <c r="BB20" s="82"/>
      <c r="BC20" s="59"/>
      <c r="BD20" s="83"/>
      <c r="BE20" s="81"/>
      <c r="BF20" s="82"/>
      <c r="BG20" s="59"/>
      <c r="BH20" s="83"/>
      <c r="BI20" s="81"/>
      <c r="BJ20" s="82"/>
      <c r="BK20" s="59"/>
      <c r="BL20" s="83"/>
      <c r="BM20" s="81"/>
      <c r="BN20" s="82"/>
      <c r="BO20" s="59"/>
      <c r="BP20" s="83"/>
      <c r="BQ20" s="81"/>
      <c r="BR20" s="82"/>
      <c r="BS20" s="59"/>
      <c r="BT20" s="83"/>
      <c r="BU20" s="81"/>
      <c r="BV20" s="82"/>
      <c r="BW20" s="59"/>
      <c r="BX20" s="83"/>
      <c r="BY20" s="81"/>
      <c r="BZ20" s="82"/>
      <c r="CA20" s="59"/>
      <c r="CB20" s="83"/>
      <c r="CC20" s="81"/>
      <c r="CD20" s="82"/>
      <c r="CE20" s="59"/>
      <c r="CF20" s="83"/>
      <c r="CG20" s="81"/>
      <c r="CH20" s="82"/>
      <c r="CI20" s="59"/>
      <c r="CJ20" s="83"/>
      <c r="CK20" s="81"/>
      <c r="CL20" s="82"/>
      <c r="CM20" s="59"/>
      <c r="CN20" s="83"/>
      <c r="CO20" s="81"/>
      <c r="CP20" s="82"/>
      <c r="CQ20" s="59"/>
      <c r="CR20" s="83"/>
      <c r="CS20" s="81"/>
      <c r="CT20" s="82"/>
      <c r="CU20" s="59"/>
      <c r="CV20" s="83"/>
      <c r="CW20" s="81"/>
      <c r="CX20" s="82"/>
      <c r="CY20" s="59"/>
      <c r="CZ20" s="83"/>
      <c r="DA20" s="81"/>
      <c r="DB20" s="82"/>
      <c r="DC20" s="59">
        <v>2.76794672020058E-3</v>
      </c>
      <c r="DD20" s="83"/>
      <c r="DE20" s="81"/>
      <c r="DF20" s="82"/>
    </row>
    <row r="21" spans="1:110" x14ac:dyDescent="0.25">
      <c r="A21" s="40" t="s">
        <v>37</v>
      </c>
      <c r="B21" s="46" t="s">
        <v>164</v>
      </c>
      <c r="C21" s="47">
        <v>2020</v>
      </c>
      <c r="D21" s="73">
        <f t="shared" si="0"/>
        <v>5.404503370889868E-3</v>
      </c>
      <c r="E21" s="73">
        <f t="shared" si="1"/>
        <v>4.5306149643547207E-3</v>
      </c>
      <c r="F21" s="73">
        <f t="shared" si="2"/>
        <v>3.301886792452831E-5</v>
      </c>
      <c r="G21" s="73">
        <f t="shared" si="3"/>
        <v>1.4462264150943396E-2</v>
      </c>
      <c r="H21" s="39">
        <f t="shared" si="4"/>
        <v>21</v>
      </c>
      <c r="I21" s="40"/>
      <c r="J21" s="56"/>
      <c r="K21" s="78">
        <v>1.0035471698113209E-2</v>
      </c>
      <c r="L21" s="60"/>
      <c r="M21" s="61"/>
      <c r="N21" s="64"/>
      <c r="O21" s="59">
        <v>1.4462264150943396E-2</v>
      </c>
      <c r="P21" s="60"/>
      <c r="Q21" s="61"/>
      <c r="R21" s="64"/>
      <c r="S21" s="59">
        <v>5.2339622641509433E-3</v>
      </c>
      <c r="T21" s="60"/>
      <c r="U21" s="61"/>
      <c r="V21" s="64"/>
      <c r="W21" s="78">
        <v>7.5471698113207552E-5</v>
      </c>
      <c r="X21" s="83"/>
      <c r="Y21" s="81"/>
      <c r="Z21" s="82"/>
      <c r="AA21" s="78">
        <v>2.2641509433962264E-4</v>
      </c>
      <c r="AB21" s="83"/>
      <c r="AC21" s="81"/>
      <c r="AD21" s="82"/>
      <c r="AE21" s="59">
        <v>3.1E-4</v>
      </c>
      <c r="AF21" s="83"/>
      <c r="AG21" s="81"/>
      <c r="AH21" s="82"/>
      <c r="AI21" s="59">
        <v>6.7200000000000003E-3</v>
      </c>
      <c r="AJ21" s="83"/>
      <c r="AK21" s="81"/>
      <c r="AL21" s="82"/>
      <c r="AM21" s="59">
        <v>6.3636363636363621E-3</v>
      </c>
      <c r="AN21" s="83"/>
      <c r="AO21" s="81"/>
      <c r="AP21" s="82"/>
      <c r="AQ21" s="59">
        <v>4.5306149643547207E-3</v>
      </c>
      <c r="AR21" s="83"/>
      <c r="AS21" s="81"/>
      <c r="AT21" s="82"/>
      <c r="AU21" s="59">
        <v>1.1365915624791067E-2</v>
      </c>
      <c r="AV21" s="83"/>
      <c r="AW21" s="81"/>
      <c r="AX21" s="82"/>
      <c r="AY21" s="59">
        <v>2.5910449939915907E-3</v>
      </c>
      <c r="AZ21" s="83"/>
      <c r="BA21" s="81"/>
      <c r="BB21" s="82"/>
      <c r="BC21" s="59">
        <v>3.3429163602326666E-3</v>
      </c>
      <c r="BD21" s="83"/>
      <c r="BE21" s="81"/>
      <c r="BF21" s="82"/>
      <c r="BG21" s="59">
        <v>2.3985608634819106E-3</v>
      </c>
      <c r="BH21" s="83"/>
      <c r="BI21" s="81"/>
      <c r="BJ21" s="82"/>
      <c r="BK21" s="59">
        <v>1.3174528301886791E-2</v>
      </c>
      <c r="BL21" s="83"/>
      <c r="BM21" s="81"/>
      <c r="BN21" s="82"/>
      <c r="BO21" s="59">
        <v>1.125E-2</v>
      </c>
      <c r="BP21" s="83"/>
      <c r="BQ21" s="81"/>
      <c r="BR21" s="82"/>
      <c r="BS21" s="59">
        <v>8.2075471698113203E-3</v>
      </c>
      <c r="BT21" s="83"/>
      <c r="BU21" s="81"/>
      <c r="BV21" s="82"/>
      <c r="BW21" s="59">
        <v>1.2935094339622641E-3</v>
      </c>
      <c r="BX21" s="83"/>
      <c r="BY21" s="81"/>
      <c r="BZ21" s="82"/>
      <c r="CA21" s="59">
        <v>2.8301886792452828E-3</v>
      </c>
      <c r="CB21" s="83"/>
      <c r="CC21" s="81"/>
      <c r="CD21" s="82"/>
      <c r="CE21" s="59">
        <v>2.3985608634819106E-3</v>
      </c>
      <c r="CF21" s="83"/>
      <c r="CG21" s="81"/>
      <c r="CH21" s="82"/>
      <c r="CI21" s="59">
        <v>6.6509433962264148E-3</v>
      </c>
      <c r="CJ21" s="83"/>
      <c r="CK21" s="81"/>
      <c r="CL21" s="82"/>
      <c r="CM21" s="59">
        <v>3.301886792452831E-5</v>
      </c>
      <c r="CN21" s="83"/>
      <c r="CO21" s="81"/>
      <c r="CP21" s="82"/>
      <c r="CQ21" s="59"/>
      <c r="CR21" s="83"/>
      <c r="CS21" s="81"/>
      <c r="CT21" s="82"/>
      <c r="CU21" s="59"/>
      <c r="CV21" s="83"/>
      <c r="CW21" s="81"/>
      <c r="CX21" s="82"/>
      <c r="CY21" s="59"/>
      <c r="CZ21" s="83"/>
      <c r="DA21" s="81"/>
      <c r="DB21" s="82"/>
      <c r="DC21" s="59">
        <v>2.0281412007946802E-3</v>
      </c>
      <c r="DD21" s="83"/>
      <c r="DE21" s="81"/>
      <c r="DF21" s="82"/>
    </row>
    <row r="22" spans="1:110" x14ac:dyDescent="0.25">
      <c r="A22" s="40" t="s">
        <v>38</v>
      </c>
      <c r="B22" s="46" t="s">
        <v>164</v>
      </c>
      <c r="C22" s="47">
        <v>2020</v>
      </c>
      <c r="D22" s="73">
        <f t="shared" si="0"/>
        <v>9.7769334209685688E-4</v>
      </c>
      <c r="E22" s="73">
        <f t="shared" si="1"/>
        <v>9.7769334209685688E-4</v>
      </c>
      <c r="F22" s="73">
        <f t="shared" si="2"/>
        <v>2.8971941788683112E-4</v>
      </c>
      <c r="G22" s="73">
        <f t="shared" si="3"/>
        <v>1.6656672663068826E-3</v>
      </c>
      <c r="H22" s="39">
        <f t="shared" si="4"/>
        <v>2</v>
      </c>
      <c r="I22" s="40"/>
      <c r="J22" s="56"/>
      <c r="K22" s="78"/>
      <c r="L22" s="60"/>
      <c r="M22" s="61"/>
      <c r="N22" s="64"/>
      <c r="O22" s="59"/>
      <c r="P22" s="60"/>
      <c r="Q22" s="61"/>
      <c r="R22" s="64"/>
      <c r="S22" s="59"/>
      <c r="T22" s="60"/>
      <c r="U22" s="61"/>
      <c r="V22" s="64"/>
      <c r="W22" s="78"/>
      <c r="X22" s="83"/>
      <c r="Y22" s="81"/>
      <c r="Z22" s="82"/>
      <c r="AA22" s="78"/>
      <c r="AB22" s="83"/>
      <c r="AC22" s="81"/>
      <c r="AD22" s="82"/>
      <c r="AE22" s="59"/>
      <c r="AF22" s="83"/>
      <c r="AG22" s="81"/>
      <c r="AH22" s="82"/>
      <c r="AI22" s="59"/>
      <c r="AJ22" s="83"/>
      <c r="AK22" s="81"/>
      <c r="AL22" s="82"/>
      <c r="AM22" s="59"/>
      <c r="AN22" s="83"/>
      <c r="AO22" s="81"/>
      <c r="AP22" s="82"/>
      <c r="AQ22" s="59">
        <v>1.6656672663068826E-3</v>
      </c>
      <c r="AR22" s="83"/>
      <c r="AS22" s="81"/>
      <c r="AT22" s="82"/>
      <c r="AU22" s="59">
        <v>2.8971941788683112E-4</v>
      </c>
      <c r="AV22" s="83"/>
      <c r="AW22" s="81"/>
      <c r="AX22" s="82"/>
      <c r="AY22" s="59"/>
      <c r="AZ22" s="83"/>
      <c r="BA22" s="81"/>
      <c r="BB22" s="82"/>
      <c r="BC22" s="59"/>
      <c r="BD22" s="83"/>
      <c r="BE22" s="81"/>
      <c r="BF22" s="82"/>
      <c r="BG22" s="59"/>
      <c r="BH22" s="83"/>
      <c r="BI22" s="81"/>
      <c r="BJ22" s="82"/>
      <c r="BK22" s="59"/>
      <c r="BL22" s="83"/>
      <c r="BM22" s="81"/>
      <c r="BN22" s="82"/>
      <c r="BO22" s="59"/>
      <c r="BP22" s="83"/>
      <c r="BQ22" s="81"/>
      <c r="BR22" s="82"/>
      <c r="BS22" s="59"/>
      <c r="BT22" s="83"/>
      <c r="BU22" s="81"/>
      <c r="BV22" s="82"/>
      <c r="BW22" s="59"/>
      <c r="BX22" s="83"/>
      <c r="BY22" s="81"/>
      <c r="BZ22" s="82"/>
      <c r="CA22" s="59"/>
      <c r="CB22" s="83"/>
      <c r="CC22" s="81"/>
      <c r="CD22" s="82"/>
      <c r="CE22" s="59"/>
      <c r="CF22" s="83"/>
      <c r="CG22" s="81"/>
      <c r="CH22" s="82"/>
      <c r="CI22" s="59"/>
      <c r="CJ22" s="83"/>
      <c r="CK22" s="81"/>
      <c r="CL22" s="82"/>
      <c r="CM22" s="59"/>
      <c r="CN22" s="83"/>
      <c r="CO22" s="81"/>
      <c r="CP22" s="82"/>
      <c r="CQ22" s="59"/>
      <c r="CR22" s="83"/>
      <c r="CS22" s="81"/>
      <c r="CT22" s="82"/>
      <c r="CU22" s="59"/>
      <c r="CV22" s="83"/>
      <c r="CW22" s="81"/>
      <c r="CX22" s="82"/>
      <c r="CY22" s="59"/>
      <c r="CZ22" s="83"/>
      <c r="DA22" s="81"/>
      <c r="DB22" s="82"/>
      <c r="DC22" s="59"/>
      <c r="DD22" s="83"/>
      <c r="DE22" s="81"/>
      <c r="DF22" s="82"/>
    </row>
    <row r="23" spans="1:110" x14ac:dyDescent="0.25">
      <c r="A23" s="40" t="s">
        <v>39</v>
      </c>
      <c r="B23" s="46" t="s">
        <v>164</v>
      </c>
      <c r="C23" s="47">
        <v>2020</v>
      </c>
      <c r="D23" s="73">
        <f t="shared" si="0"/>
        <v>2.0592452830188678E-3</v>
      </c>
      <c r="E23" s="73">
        <f t="shared" si="1"/>
        <v>2.0592452830188678E-3</v>
      </c>
      <c r="F23" s="73">
        <f t="shared" si="2"/>
        <v>2.0592452830188678E-3</v>
      </c>
      <c r="G23" s="73">
        <f t="shared" si="3"/>
        <v>2.0592452830188678E-3</v>
      </c>
      <c r="H23" s="39">
        <f t="shared" si="4"/>
        <v>1</v>
      </c>
      <c r="I23" s="40"/>
      <c r="J23" s="56"/>
      <c r="K23" s="59">
        <v>2.0592452830188678E-3</v>
      </c>
      <c r="L23" s="60"/>
      <c r="M23" s="61"/>
      <c r="N23" s="64"/>
      <c r="O23" s="70"/>
      <c r="P23" s="60"/>
      <c r="Q23" s="61"/>
      <c r="R23" s="64"/>
      <c r="S23" s="70"/>
      <c r="T23" s="60"/>
      <c r="U23" s="61"/>
      <c r="V23" s="64"/>
      <c r="W23" s="79"/>
      <c r="X23" s="83"/>
      <c r="Y23" s="81"/>
      <c r="Z23" s="82"/>
      <c r="AA23" s="78"/>
      <c r="AB23" s="83"/>
      <c r="AC23" s="81"/>
      <c r="AD23" s="82"/>
      <c r="AE23" s="59"/>
      <c r="AF23" s="83"/>
      <c r="AG23" s="81"/>
      <c r="AH23" s="82"/>
      <c r="AI23" s="59"/>
      <c r="AJ23" s="83"/>
      <c r="AK23" s="81"/>
      <c r="AL23" s="82"/>
      <c r="AM23" s="59"/>
      <c r="AN23" s="83"/>
      <c r="AO23" s="81"/>
      <c r="AP23" s="82"/>
      <c r="AQ23" s="59"/>
      <c r="AR23" s="83"/>
      <c r="AS23" s="81"/>
      <c r="AT23" s="82"/>
      <c r="AU23" s="59"/>
      <c r="AV23" s="83"/>
      <c r="AW23" s="81"/>
      <c r="AX23" s="82"/>
      <c r="AY23" s="59"/>
      <c r="AZ23" s="83"/>
      <c r="BA23" s="81"/>
      <c r="BB23" s="82"/>
      <c r="BC23" s="59"/>
      <c r="BD23" s="83"/>
      <c r="BE23" s="81"/>
      <c r="BF23" s="82"/>
      <c r="BG23" s="59"/>
      <c r="BH23" s="83"/>
      <c r="BI23" s="81"/>
      <c r="BJ23" s="82"/>
      <c r="BK23" s="59"/>
      <c r="BL23" s="83"/>
      <c r="BM23" s="81"/>
      <c r="BN23" s="82"/>
      <c r="BO23" s="59"/>
      <c r="BP23" s="83"/>
      <c r="BQ23" s="81"/>
      <c r="BR23" s="82"/>
      <c r="BS23" s="59"/>
      <c r="BT23" s="83"/>
      <c r="BU23" s="81"/>
      <c r="BV23" s="82"/>
      <c r="BW23" s="59"/>
      <c r="BX23" s="83"/>
      <c r="BY23" s="81"/>
      <c r="BZ23" s="82"/>
      <c r="CA23" s="59"/>
      <c r="CB23" s="83"/>
      <c r="CC23" s="81"/>
      <c r="CD23" s="82"/>
      <c r="CE23" s="59"/>
      <c r="CF23" s="83"/>
      <c r="CG23" s="81"/>
      <c r="CH23" s="82"/>
      <c r="CI23" s="59"/>
      <c r="CJ23" s="83"/>
      <c r="CK23" s="81"/>
      <c r="CL23" s="82"/>
      <c r="CM23" s="59"/>
      <c r="CN23" s="83"/>
      <c r="CO23" s="81"/>
      <c r="CP23" s="82"/>
      <c r="CQ23" s="59"/>
      <c r="CR23" s="83"/>
      <c r="CS23" s="81"/>
      <c r="CT23" s="82"/>
      <c r="CU23" s="59"/>
      <c r="CV23" s="83"/>
      <c r="CW23" s="81"/>
      <c r="CX23" s="82"/>
      <c r="CY23" s="59"/>
      <c r="CZ23" s="83"/>
      <c r="DA23" s="81"/>
      <c r="DB23" s="82"/>
      <c r="DC23" s="59">
        <v>1.26886766919983E-4</v>
      </c>
      <c r="DD23" s="83"/>
      <c r="DE23" s="81"/>
      <c r="DF23" s="82"/>
    </row>
    <row r="24" spans="1:110" x14ac:dyDescent="0.25">
      <c r="A24" s="40" t="s">
        <v>130</v>
      </c>
      <c r="B24" s="46" t="s">
        <v>164</v>
      </c>
      <c r="C24" s="47">
        <v>2020</v>
      </c>
      <c r="D24" s="73">
        <f t="shared" si="0"/>
        <v>3.4150943396226417E-5</v>
      </c>
      <c r="E24" s="73">
        <f t="shared" si="1"/>
        <v>3.4150943396226417E-5</v>
      </c>
      <c r="F24" s="73">
        <f t="shared" si="2"/>
        <v>3.4150943396226417E-5</v>
      </c>
      <c r="G24" s="73">
        <f t="shared" si="3"/>
        <v>3.4150943396226417E-5</v>
      </c>
      <c r="H24" s="39">
        <f t="shared" si="4"/>
        <v>1</v>
      </c>
      <c r="I24" s="40"/>
      <c r="J24" s="56"/>
      <c r="K24" s="59">
        <v>3.4150943396226417E-5</v>
      </c>
      <c r="L24" s="60"/>
      <c r="M24" s="61"/>
      <c r="N24" s="64"/>
      <c r="O24" s="70"/>
      <c r="P24" s="60"/>
      <c r="Q24" s="61"/>
      <c r="R24" s="64"/>
      <c r="S24" s="70"/>
      <c r="T24" s="60"/>
      <c r="U24" s="61"/>
      <c r="V24" s="64"/>
      <c r="W24" s="79"/>
      <c r="X24" s="83"/>
      <c r="Y24" s="81"/>
      <c r="Z24" s="82"/>
      <c r="AA24" s="59"/>
      <c r="AB24" s="83"/>
      <c r="AC24" s="81"/>
      <c r="AD24" s="82"/>
      <c r="AE24" s="59"/>
      <c r="AF24" s="83"/>
      <c r="AG24" s="81"/>
      <c r="AH24" s="82"/>
      <c r="AI24" s="59"/>
      <c r="AJ24" s="83"/>
      <c r="AK24" s="81"/>
      <c r="AL24" s="82"/>
      <c r="AM24" s="59"/>
      <c r="AN24" s="83"/>
      <c r="AO24" s="81"/>
      <c r="AP24" s="82"/>
      <c r="AQ24" s="59"/>
      <c r="AR24" s="83"/>
      <c r="AS24" s="81"/>
      <c r="AT24" s="82"/>
      <c r="AU24" s="59"/>
      <c r="AV24" s="83"/>
      <c r="AW24" s="81"/>
      <c r="AX24" s="82"/>
      <c r="AY24" s="59"/>
      <c r="AZ24" s="83"/>
      <c r="BA24" s="81"/>
      <c r="BB24" s="82"/>
      <c r="BC24" s="59"/>
      <c r="BD24" s="83"/>
      <c r="BE24" s="81"/>
      <c r="BF24" s="82"/>
      <c r="BG24" s="59"/>
      <c r="BH24" s="83"/>
      <c r="BI24" s="81"/>
      <c r="BJ24" s="82"/>
      <c r="BK24" s="59"/>
      <c r="BL24" s="83"/>
      <c r="BM24" s="81"/>
      <c r="BN24" s="82"/>
      <c r="BO24" s="59"/>
      <c r="BP24" s="83"/>
      <c r="BQ24" s="81"/>
      <c r="BR24" s="82"/>
      <c r="BS24" s="59"/>
      <c r="BT24" s="83"/>
      <c r="BU24" s="81"/>
      <c r="BV24" s="82"/>
      <c r="BW24" s="59"/>
      <c r="BX24" s="83"/>
      <c r="BY24" s="81"/>
      <c r="BZ24" s="82"/>
      <c r="CA24" s="59"/>
      <c r="CB24" s="83"/>
      <c r="CC24" s="81"/>
      <c r="CD24" s="82"/>
      <c r="CE24" s="59"/>
      <c r="CF24" s="83"/>
      <c r="CG24" s="81"/>
      <c r="CH24" s="82"/>
      <c r="CI24" s="59"/>
      <c r="CJ24" s="83"/>
      <c r="CK24" s="81"/>
      <c r="CL24" s="82"/>
      <c r="CM24" s="59"/>
      <c r="CN24" s="83"/>
      <c r="CO24" s="81"/>
      <c r="CP24" s="82"/>
      <c r="CQ24" s="59"/>
      <c r="CR24" s="83"/>
      <c r="CS24" s="81"/>
      <c r="CT24" s="82"/>
      <c r="CU24" s="59"/>
      <c r="CV24" s="83"/>
      <c r="CW24" s="81"/>
      <c r="CX24" s="82"/>
      <c r="CY24" s="59"/>
      <c r="CZ24" s="83"/>
      <c r="DA24" s="81"/>
      <c r="DB24" s="82"/>
      <c r="DC24" s="59">
        <v>1.7807239647997701E-7</v>
      </c>
      <c r="DD24" s="83"/>
      <c r="DE24" s="81"/>
      <c r="DF24" s="82"/>
    </row>
    <row r="25" spans="1:110" x14ac:dyDescent="0.25">
      <c r="A25" s="40" t="s">
        <v>42</v>
      </c>
      <c r="B25" s="46" t="s">
        <v>164</v>
      </c>
      <c r="C25" s="47">
        <v>2020</v>
      </c>
      <c r="D25" s="73">
        <f t="shared" si="0"/>
        <v>1.0396226415094339E-4</v>
      </c>
      <c r="E25" s="73">
        <f t="shared" si="1"/>
        <v>1.0396226415094339E-4</v>
      </c>
      <c r="F25" s="73">
        <f t="shared" si="2"/>
        <v>1.0396226415094339E-4</v>
      </c>
      <c r="G25" s="73">
        <f t="shared" si="3"/>
        <v>1.0396226415094339E-4</v>
      </c>
      <c r="H25" s="39">
        <f t="shared" si="4"/>
        <v>1</v>
      </c>
      <c r="I25" s="40"/>
      <c r="J25" s="56"/>
      <c r="K25" s="59">
        <v>1.0396226415094339E-4</v>
      </c>
      <c r="L25" s="60"/>
      <c r="M25" s="61"/>
      <c r="N25" s="64"/>
      <c r="O25" s="70"/>
      <c r="P25" s="60"/>
      <c r="Q25" s="61"/>
      <c r="R25" s="64"/>
      <c r="S25" s="70"/>
      <c r="T25" s="60"/>
      <c r="U25" s="61"/>
      <c r="V25" s="64"/>
      <c r="W25" s="79"/>
      <c r="X25" s="83"/>
      <c r="Y25" s="81"/>
      <c r="Z25" s="82"/>
      <c r="AA25" s="59"/>
      <c r="AB25" s="83"/>
      <c r="AC25" s="81"/>
      <c r="AD25" s="82"/>
      <c r="AE25" s="59"/>
      <c r="AF25" s="83"/>
      <c r="AG25" s="81"/>
      <c r="AH25" s="82"/>
      <c r="AI25" s="59"/>
      <c r="AJ25" s="83"/>
      <c r="AK25" s="81"/>
      <c r="AL25" s="82"/>
      <c r="AM25" s="59"/>
      <c r="AN25" s="83"/>
      <c r="AO25" s="81"/>
      <c r="AP25" s="82"/>
      <c r="AQ25" s="59"/>
      <c r="AR25" s="83"/>
      <c r="AS25" s="81"/>
      <c r="AT25" s="82"/>
      <c r="AU25" s="59"/>
      <c r="AV25" s="83"/>
      <c r="AW25" s="81"/>
      <c r="AX25" s="82"/>
      <c r="AY25" s="59"/>
      <c r="AZ25" s="83"/>
      <c r="BA25" s="81"/>
      <c r="BB25" s="82"/>
      <c r="BC25" s="59"/>
      <c r="BD25" s="83"/>
      <c r="BE25" s="81"/>
      <c r="BF25" s="82"/>
      <c r="BG25" s="59"/>
      <c r="BH25" s="83"/>
      <c r="BI25" s="81"/>
      <c r="BJ25" s="82"/>
      <c r="BK25" s="59"/>
      <c r="BL25" s="83"/>
      <c r="BM25" s="81"/>
      <c r="BN25" s="82"/>
      <c r="BO25" s="59"/>
      <c r="BP25" s="83"/>
      <c r="BQ25" s="81"/>
      <c r="BR25" s="82"/>
      <c r="BS25" s="59"/>
      <c r="BT25" s="83"/>
      <c r="BU25" s="81"/>
      <c r="BV25" s="82"/>
      <c r="BW25" s="59"/>
      <c r="BX25" s="83"/>
      <c r="BY25" s="81"/>
      <c r="BZ25" s="82"/>
      <c r="CA25" s="59"/>
      <c r="CB25" s="83"/>
      <c r="CC25" s="81"/>
      <c r="CD25" s="82"/>
      <c r="CE25" s="59"/>
      <c r="CF25" s="83"/>
      <c r="CG25" s="81"/>
      <c r="CH25" s="82"/>
      <c r="CI25" s="59"/>
      <c r="CJ25" s="83"/>
      <c r="CK25" s="81"/>
      <c r="CL25" s="82"/>
      <c r="CM25" s="59"/>
      <c r="CN25" s="83"/>
      <c r="CO25" s="81"/>
      <c r="CP25" s="82"/>
      <c r="CQ25" s="59"/>
      <c r="CR25" s="83"/>
      <c r="CS25" s="81"/>
      <c r="CT25" s="82"/>
      <c r="CU25" s="59"/>
      <c r="CV25" s="83"/>
      <c r="CW25" s="81"/>
      <c r="CX25" s="82"/>
      <c r="CY25" s="59"/>
      <c r="CZ25" s="83"/>
      <c r="DA25" s="81"/>
      <c r="DB25" s="82"/>
      <c r="DC25" s="59">
        <v>8.5603363759014493E-8</v>
      </c>
      <c r="DD25" s="83"/>
      <c r="DE25" s="81"/>
      <c r="DF25" s="82"/>
    </row>
    <row r="26" spans="1:110" x14ac:dyDescent="0.25">
      <c r="A26" s="40" t="s">
        <v>131</v>
      </c>
      <c r="B26" s="46" t="s">
        <v>164</v>
      </c>
      <c r="C26" s="47">
        <v>2020</v>
      </c>
      <c r="D26" s="73">
        <f t="shared" si="0"/>
        <v>6.1564823140435618E-4</v>
      </c>
      <c r="E26" s="73">
        <f t="shared" si="1"/>
        <v>7.9952028782730362E-4</v>
      </c>
      <c r="F26" s="73">
        <f t="shared" si="2"/>
        <v>2.6066851046193066E-6</v>
      </c>
      <c r="G26" s="73">
        <f t="shared" si="3"/>
        <v>1.114305453410889E-3</v>
      </c>
      <c r="H26" s="39">
        <f t="shared" si="4"/>
        <v>7</v>
      </c>
      <c r="I26" s="40"/>
      <c r="J26" s="56"/>
      <c r="K26" s="78">
        <v>7.5660377358490556E-5</v>
      </c>
      <c r="L26" s="60"/>
      <c r="M26" s="61"/>
      <c r="N26" s="64"/>
      <c r="O26" s="59">
        <v>5.7452830188679251E-4</v>
      </c>
      <c r="P26" s="60"/>
      <c r="Q26" s="61"/>
      <c r="R26" s="64"/>
      <c r="S26" s="70"/>
      <c r="T26" s="60"/>
      <c r="U26" s="61"/>
      <c r="V26" s="64"/>
      <c r="W26" s="70"/>
      <c r="X26" s="83"/>
      <c r="Y26" s="81"/>
      <c r="Z26" s="82"/>
      <c r="AA26" s="59"/>
      <c r="AB26" s="83"/>
      <c r="AC26" s="81"/>
      <c r="AD26" s="82"/>
      <c r="AE26" s="59"/>
      <c r="AF26" s="83"/>
      <c r="AG26" s="81"/>
      <c r="AH26" s="82"/>
      <c r="AI26" s="59"/>
      <c r="AJ26" s="83"/>
      <c r="AK26" s="81"/>
      <c r="AL26" s="82"/>
      <c r="AM26" s="59"/>
      <c r="AN26" s="83"/>
      <c r="AO26" s="81"/>
      <c r="AP26" s="82"/>
      <c r="AQ26" s="59"/>
      <c r="AR26" s="83"/>
      <c r="AS26" s="81"/>
      <c r="AT26" s="82"/>
      <c r="AU26" s="59"/>
      <c r="AV26" s="83"/>
      <c r="AW26" s="81"/>
      <c r="AX26" s="82"/>
      <c r="AY26" s="59">
        <v>2.6066851046193066E-6</v>
      </c>
      <c r="AZ26" s="83"/>
      <c r="BA26" s="81"/>
      <c r="BB26" s="82"/>
      <c r="BC26" s="59">
        <v>1.114305453410889E-3</v>
      </c>
      <c r="BD26" s="83"/>
      <c r="BE26" s="81"/>
      <c r="BF26" s="82"/>
      <c r="BG26" s="59">
        <v>7.9952028782730362E-4</v>
      </c>
      <c r="BH26" s="83"/>
      <c r="BI26" s="81"/>
      <c r="BJ26" s="82"/>
      <c r="BK26" s="59"/>
      <c r="BL26" s="83"/>
      <c r="BM26" s="81"/>
      <c r="BN26" s="82"/>
      <c r="BO26" s="59"/>
      <c r="BP26" s="83"/>
      <c r="BQ26" s="81"/>
      <c r="BR26" s="82"/>
      <c r="BS26" s="59"/>
      <c r="BT26" s="83"/>
      <c r="BU26" s="81"/>
      <c r="BV26" s="82"/>
      <c r="BW26" s="59"/>
      <c r="BX26" s="83"/>
      <c r="BY26" s="81"/>
      <c r="BZ26" s="82"/>
      <c r="CA26" s="59">
        <v>9.4339622641509435E-4</v>
      </c>
      <c r="CB26" s="83"/>
      <c r="CC26" s="81"/>
      <c r="CD26" s="82"/>
      <c r="CE26" s="59">
        <v>7.9952028782730362E-4</v>
      </c>
      <c r="CF26" s="83"/>
      <c r="CG26" s="81"/>
      <c r="CH26" s="82"/>
      <c r="CI26" s="59"/>
      <c r="CJ26" s="83"/>
      <c r="CK26" s="81"/>
      <c r="CL26" s="82"/>
      <c r="CM26" s="59"/>
      <c r="CN26" s="83"/>
      <c r="CO26" s="81"/>
      <c r="CP26" s="82"/>
      <c r="CQ26" s="59"/>
      <c r="CR26" s="83"/>
      <c r="CS26" s="81"/>
      <c r="CT26" s="82"/>
      <c r="CU26" s="59"/>
      <c r="CV26" s="83"/>
      <c r="CW26" s="81"/>
      <c r="CX26" s="82"/>
      <c r="CY26" s="59"/>
      <c r="CZ26" s="83"/>
      <c r="DA26" s="81"/>
      <c r="DB26" s="82"/>
      <c r="DC26" s="59">
        <v>6.7968757171194905E-4</v>
      </c>
      <c r="DD26" s="83"/>
      <c r="DE26" s="81"/>
      <c r="DF26" s="82"/>
    </row>
    <row r="27" spans="1:110" x14ac:dyDescent="0.25">
      <c r="A27" s="40" t="s">
        <v>144</v>
      </c>
      <c r="B27" s="46" t="s">
        <v>164</v>
      </c>
      <c r="C27" s="47">
        <v>2020</v>
      </c>
      <c r="D27" s="73" t="e">
        <f t="shared" si="0"/>
        <v>#DIV/0!</v>
      </c>
      <c r="E27" s="73" t="e">
        <f t="shared" si="1"/>
        <v>#NUM!</v>
      </c>
      <c r="F27" s="73">
        <f t="shared" si="2"/>
        <v>0</v>
      </c>
      <c r="G27" s="73">
        <f t="shared" si="3"/>
        <v>0</v>
      </c>
      <c r="H27" s="39">
        <f t="shared" si="4"/>
        <v>0</v>
      </c>
      <c r="I27" s="40"/>
      <c r="J27" s="56"/>
      <c r="K27" s="59"/>
      <c r="L27" s="60"/>
      <c r="M27" s="61"/>
      <c r="N27" s="64"/>
      <c r="O27" s="70"/>
      <c r="P27" s="60"/>
      <c r="Q27" s="61"/>
      <c r="R27" s="64"/>
      <c r="S27" s="70"/>
      <c r="T27" s="60"/>
      <c r="U27" s="61"/>
      <c r="V27" s="64"/>
      <c r="W27" s="70"/>
      <c r="X27" s="83"/>
      <c r="Y27" s="81"/>
      <c r="Z27" s="82"/>
      <c r="AA27" s="59"/>
      <c r="AB27" s="83"/>
      <c r="AC27" s="81"/>
      <c r="AD27" s="82"/>
      <c r="AE27" s="59"/>
      <c r="AF27" s="83"/>
      <c r="AG27" s="81"/>
      <c r="AH27" s="82"/>
      <c r="AI27" s="59"/>
      <c r="AJ27" s="83"/>
      <c r="AK27" s="81"/>
      <c r="AL27" s="82"/>
      <c r="AM27" s="59"/>
      <c r="AN27" s="83"/>
      <c r="AO27" s="81"/>
      <c r="AP27" s="82"/>
      <c r="AQ27" s="59"/>
      <c r="AR27" s="83"/>
      <c r="AS27" s="81"/>
      <c r="AT27" s="82"/>
      <c r="AU27" s="59"/>
      <c r="AV27" s="83"/>
      <c r="AW27" s="81"/>
      <c r="AX27" s="82"/>
      <c r="AY27" s="59"/>
      <c r="AZ27" s="83"/>
      <c r="BA27" s="81"/>
      <c r="BB27" s="82"/>
      <c r="BC27" s="59"/>
      <c r="BD27" s="83"/>
      <c r="BE27" s="81"/>
      <c r="BF27" s="82"/>
      <c r="BG27" s="59"/>
      <c r="BH27" s="83"/>
      <c r="BI27" s="81"/>
      <c r="BJ27" s="82"/>
      <c r="BK27" s="59"/>
      <c r="BL27" s="83"/>
      <c r="BM27" s="81"/>
      <c r="BN27" s="82"/>
      <c r="BO27" s="59"/>
      <c r="BP27" s="83"/>
      <c r="BQ27" s="81"/>
      <c r="BR27" s="82"/>
      <c r="BS27" s="59"/>
      <c r="BT27" s="83"/>
      <c r="BU27" s="81"/>
      <c r="BV27" s="82"/>
      <c r="BW27" s="59"/>
      <c r="BX27" s="83"/>
      <c r="BY27" s="81"/>
      <c r="BZ27" s="82"/>
      <c r="CA27" s="59"/>
      <c r="CB27" s="83"/>
      <c r="CC27" s="81"/>
      <c r="CD27" s="82"/>
      <c r="CE27" s="59"/>
      <c r="CF27" s="83"/>
      <c r="CG27" s="81"/>
      <c r="CH27" s="82"/>
      <c r="CI27" s="59"/>
      <c r="CJ27" s="83"/>
      <c r="CK27" s="81"/>
      <c r="CL27" s="82"/>
      <c r="CM27" s="59"/>
      <c r="CN27" s="83"/>
      <c r="CO27" s="81"/>
      <c r="CP27" s="82"/>
      <c r="CQ27" s="59"/>
      <c r="CR27" s="83"/>
      <c r="CS27" s="81"/>
      <c r="CT27" s="82"/>
      <c r="CU27" s="59"/>
      <c r="CV27" s="83"/>
      <c r="CW27" s="81"/>
      <c r="CX27" s="82"/>
      <c r="CY27" s="59"/>
      <c r="CZ27" s="83"/>
      <c r="DA27" s="81"/>
      <c r="DB27" s="82"/>
      <c r="DC27" s="59">
        <v>2.8825969905943898E-7</v>
      </c>
      <c r="DD27" s="83"/>
      <c r="DE27" s="81"/>
      <c r="DF27" s="82"/>
    </row>
    <row r="28" spans="1:110" x14ac:dyDescent="0.25">
      <c r="A28" s="40" t="s">
        <v>132</v>
      </c>
      <c r="B28" s="46" t="s">
        <v>164</v>
      </c>
      <c r="C28" s="47">
        <v>2020</v>
      </c>
      <c r="D28" s="73">
        <f t="shared" si="0"/>
        <v>1.8867924528301889E-7</v>
      </c>
      <c r="E28" s="73">
        <f t="shared" si="1"/>
        <v>1.8867924528301889E-7</v>
      </c>
      <c r="F28" s="73">
        <f t="shared" si="2"/>
        <v>1.8867924528301889E-7</v>
      </c>
      <c r="G28" s="73">
        <f t="shared" si="3"/>
        <v>1.8867924528301889E-7</v>
      </c>
      <c r="H28" s="39">
        <f t="shared" si="4"/>
        <v>1</v>
      </c>
      <c r="I28" s="40"/>
      <c r="J28" s="56"/>
      <c r="K28" s="59">
        <v>1.8867924528301889E-7</v>
      </c>
      <c r="L28" s="60"/>
      <c r="M28" s="61"/>
      <c r="N28" s="64"/>
      <c r="O28" s="70"/>
      <c r="P28" s="60"/>
      <c r="Q28" s="61"/>
      <c r="R28" s="64"/>
      <c r="S28" s="70"/>
      <c r="T28" s="60"/>
      <c r="U28" s="61"/>
      <c r="V28" s="64"/>
      <c r="W28" s="70"/>
      <c r="X28" s="83"/>
      <c r="Y28" s="81"/>
      <c r="Z28" s="82"/>
      <c r="AA28" s="70"/>
      <c r="AB28" s="83"/>
      <c r="AC28" s="81"/>
      <c r="AD28" s="82"/>
      <c r="AE28" s="70"/>
      <c r="AF28" s="83"/>
      <c r="AG28" s="81"/>
      <c r="AH28" s="82"/>
      <c r="AI28" s="70"/>
      <c r="AJ28" s="83"/>
      <c r="AK28" s="81"/>
      <c r="AL28" s="82"/>
      <c r="AM28" s="70"/>
      <c r="AN28" s="83"/>
      <c r="AO28" s="81"/>
      <c r="AP28" s="82"/>
      <c r="AQ28" s="70"/>
      <c r="AR28" s="83"/>
      <c r="AS28" s="81"/>
      <c r="AT28" s="82"/>
      <c r="AU28" s="70"/>
      <c r="AV28" s="83"/>
      <c r="AW28" s="81"/>
      <c r="AX28" s="82"/>
      <c r="AY28" s="70"/>
      <c r="AZ28" s="83"/>
      <c r="BA28" s="81"/>
      <c r="BB28" s="82"/>
      <c r="BC28" s="70"/>
      <c r="BD28" s="83"/>
      <c r="BE28" s="81"/>
      <c r="BF28" s="82"/>
      <c r="BG28" s="70"/>
      <c r="BH28" s="83"/>
      <c r="BI28" s="81"/>
      <c r="BJ28" s="82"/>
      <c r="BK28" s="70"/>
      <c r="BL28" s="83"/>
      <c r="BM28" s="81"/>
      <c r="BN28" s="82"/>
      <c r="BO28" s="70"/>
      <c r="BP28" s="83"/>
      <c r="BQ28" s="81"/>
      <c r="BR28" s="82"/>
      <c r="BS28" s="70"/>
      <c r="BT28" s="83"/>
      <c r="BU28" s="81"/>
      <c r="BV28" s="82"/>
      <c r="BW28" s="70"/>
      <c r="BX28" s="83"/>
      <c r="BY28" s="81"/>
      <c r="BZ28" s="82"/>
      <c r="CA28" s="70"/>
      <c r="CB28" s="83"/>
      <c r="CC28" s="81"/>
      <c r="CD28" s="82"/>
      <c r="CE28" s="70"/>
      <c r="CF28" s="83"/>
      <c r="CG28" s="81"/>
      <c r="CH28" s="82"/>
      <c r="CI28" s="70"/>
      <c r="CJ28" s="83"/>
      <c r="CK28" s="81"/>
      <c r="CL28" s="82"/>
      <c r="CM28" s="70"/>
      <c r="CN28" s="83"/>
      <c r="CO28" s="81"/>
      <c r="CP28" s="82"/>
      <c r="CQ28" s="70"/>
      <c r="CR28" s="83"/>
      <c r="CS28" s="81"/>
      <c r="CT28" s="82"/>
      <c r="CU28" s="70"/>
      <c r="CV28" s="83"/>
      <c r="CW28" s="81"/>
      <c r="CX28" s="82"/>
      <c r="CY28" s="70"/>
      <c r="CZ28" s="83"/>
      <c r="DA28" s="81"/>
      <c r="DB28" s="82"/>
      <c r="DC28" s="70">
        <v>9.7278863305973096E-9</v>
      </c>
      <c r="DD28" s="83"/>
      <c r="DE28" s="81"/>
      <c r="DF28" s="82"/>
    </row>
    <row r="29" spans="1:110" x14ac:dyDescent="0.25">
      <c r="A29" s="40" t="s">
        <v>146</v>
      </c>
      <c r="B29" s="46" t="s">
        <v>164</v>
      </c>
      <c r="C29" s="47">
        <v>2020</v>
      </c>
      <c r="D29" s="73" t="e">
        <f t="shared" si="0"/>
        <v>#DIV/0!</v>
      </c>
      <c r="E29" s="73" t="e">
        <f t="shared" si="1"/>
        <v>#NUM!</v>
      </c>
      <c r="F29" s="73">
        <f t="shared" si="2"/>
        <v>0</v>
      </c>
      <c r="G29" s="73">
        <f t="shared" si="3"/>
        <v>0</v>
      </c>
      <c r="H29" s="39">
        <f t="shared" si="4"/>
        <v>0</v>
      </c>
      <c r="I29" s="40"/>
      <c r="J29" s="56"/>
      <c r="K29" s="59"/>
      <c r="L29" s="60"/>
      <c r="M29" s="61"/>
      <c r="N29" s="64"/>
      <c r="O29" s="70"/>
      <c r="P29" s="60"/>
      <c r="Q29" s="61"/>
      <c r="R29" s="64"/>
      <c r="S29" s="70"/>
      <c r="T29" s="60"/>
      <c r="U29" s="61"/>
      <c r="V29" s="64"/>
      <c r="W29" s="70"/>
      <c r="X29" s="83"/>
      <c r="Y29" s="81"/>
      <c r="Z29" s="82"/>
      <c r="AA29" s="59"/>
      <c r="AB29" s="83"/>
      <c r="AC29" s="81"/>
      <c r="AD29" s="82"/>
      <c r="AE29" s="59"/>
      <c r="AF29" s="83"/>
      <c r="AG29" s="81"/>
      <c r="AH29" s="82"/>
      <c r="AI29" s="59"/>
      <c r="AJ29" s="83"/>
      <c r="AK29" s="81"/>
      <c r="AL29" s="82"/>
      <c r="AM29" s="59"/>
      <c r="AN29" s="83"/>
      <c r="AO29" s="81"/>
      <c r="AP29" s="82"/>
      <c r="AQ29" s="59"/>
      <c r="AR29" s="83"/>
      <c r="AS29" s="81"/>
      <c r="AT29" s="82"/>
      <c r="AU29" s="59"/>
      <c r="AV29" s="83"/>
      <c r="AW29" s="81"/>
      <c r="AX29" s="82"/>
      <c r="AY29" s="59"/>
      <c r="AZ29" s="83"/>
      <c r="BA29" s="81"/>
      <c r="BB29" s="82"/>
      <c r="BC29" s="59"/>
      <c r="BD29" s="83"/>
      <c r="BE29" s="81"/>
      <c r="BF29" s="82"/>
      <c r="BG29" s="59"/>
      <c r="BH29" s="83"/>
      <c r="BI29" s="81"/>
      <c r="BJ29" s="82"/>
      <c r="BK29" s="59"/>
      <c r="BL29" s="83"/>
      <c r="BM29" s="81"/>
      <c r="BN29" s="82"/>
      <c r="BO29" s="59"/>
      <c r="BP29" s="83"/>
      <c r="BQ29" s="81"/>
      <c r="BR29" s="82"/>
      <c r="BS29" s="59"/>
      <c r="BT29" s="83"/>
      <c r="BU29" s="81"/>
      <c r="BV29" s="82"/>
      <c r="BW29" s="59"/>
      <c r="BX29" s="83"/>
      <c r="BY29" s="81"/>
      <c r="BZ29" s="82"/>
      <c r="CA29" s="59"/>
      <c r="CB29" s="83"/>
      <c r="CC29" s="81"/>
      <c r="CD29" s="82"/>
      <c r="CE29" s="59"/>
      <c r="CF29" s="83"/>
      <c r="CG29" s="81"/>
      <c r="CH29" s="82"/>
      <c r="CI29" s="59"/>
      <c r="CJ29" s="83"/>
      <c r="CK29" s="81"/>
      <c r="CL29" s="82"/>
      <c r="CM29" s="59"/>
      <c r="CN29" s="83"/>
      <c r="CO29" s="81"/>
      <c r="CP29" s="82"/>
      <c r="CQ29" s="59"/>
      <c r="CR29" s="83"/>
      <c r="CS29" s="81"/>
      <c r="CT29" s="82"/>
      <c r="CU29" s="59"/>
      <c r="CV29" s="83"/>
      <c r="CW29" s="81"/>
      <c r="CX29" s="82"/>
      <c r="CY29" s="59"/>
      <c r="CZ29" s="83"/>
      <c r="DA29" s="81"/>
      <c r="DB29" s="82"/>
      <c r="DC29" s="59"/>
      <c r="DD29" s="83"/>
      <c r="DE29" s="81"/>
      <c r="DF29" s="82"/>
    </row>
    <row r="30" spans="1:110" x14ac:dyDescent="0.25">
      <c r="A30" s="40" t="s">
        <v>143</v>
      </c>
      <c r="B30" s="46" t="s">
        <v>164</v>
      </c>
      <c r="C30" s="47">
        <v>2020</v>
      </c>
      <c r="D30" s="73" t="e">
        <f t="shared" si="0"/>
        <v>#DIV/0!</v>
      </c>
      <c r="E30" s="73" t="e">
        <f t="shared" si="1"/>
        <v>#NUM!</v>
      </c>
      <c r="F30" s="73">
        <f t="shared" si="2"/>
        <v>0</v>
      </c>
      <c r="G30" s="73">
        <f t="shared" si="3"/>
        <v>0</v>
      </c>
      <c r="H30" s="39">
        <f t="shared" si="4"/>
        <v>0</v>
      </c>
      <c r="I30" s="40"/>
      <c r="J30" s="56"/>
      <c r="K30" s="59"/>
      <c r="L30" s="60"/>
      <c r="M30" s="61"/>
      <c r="N30" s="64"/>
      <c r="O30" s="70"/>
      <c r="P30" s="60"/>
      <c r="Q30" s="61"/>
      <c r="R30" s="64"/>
      <c r="S30" s="70"/>
      <c r="T30" s="60"/>
      <c r="U30" s="61"/>
      <c r="V30" s="64"/>
      <c r="W30" s="70"/>
      <c r="X30" s="83"/>
      <c r="Y30" s="81"/>
      <c r="Z30" s="82"/>
      <c r="AA30" s="59"/>
      <c r="AB30" s="83"/>
      <c r="AC30" s="81"/>
      <c r="AD30" s="82"/>
      <c r="AE30" s="59"/>
      <c r="AF30" s="83"/>
      <c r="AG30" s="81"/>
      <c r="AH30" s="82"/>
      <c r="AI30" s="59"/>
      <c r="AJ30" s="83"/>
      <c r="AK30" s="81"/>
      <c r="AL30" s="82"/>
      <c r="AM30" s="59"/>
      <c r="AN30" s="83"/>
      <c r="AO30" s="81"/>
      <c r="AP30" s="82"/>
      <c r="AQ30" s="59"/>
      <c r="AR30" s="83"/>
      <c r="AS30" s="81"/>
      <c r="AT30" s="82"/>
      <c r="AU30" s="59"/>
      <c r="AV30" s="83"/>
      <c r="AW30" s="81"/>
      <c r="AX30" s="82"/>
      <c r="AY30" s="59"/>
      <c r="AZ30" s="83"/>
      <c r="BA30" s="81"/>
      <c r="BB30" s="82"/>
      <c r="BC30" s="59"/>
      <c r="BD30" s="83"/>
      <c r="BE30" s="81"/>
      <c r="BF30" s="82"/>
      <c r="BG30" s="59"/>
      <c r="BH30" s="83"/>
      <c r="BI30" s="81"/>
      <c r="BJ30" s="82"/>
      <c r="BK30" s="59"/>
      <c r="BL30" s="83"/>
      <c r="BM30" s="81"/>
      <c r="BN30" s="82"/>
      <c r="BO30" s="59"/>
      <c r="BP30" s="83"/>
      <c r="BQ30" s="81"/>
      <c r="BR30" s="82"/>
      <c r="BS30" s="59"/>
      <c r="BT30" s="83"/>
      <c r="BU30" s="81"/>
      <c r="BV30" s="82"/>
      <c r="BW30" s="59"/>
      <c r="BX30" s="83"/>
      <c r="BY30" s="81"/>
      <c r="BZ30" s="82"/>
      <c r="CA30" s="59"/>
      <c r="CB30" s="83"/>
      <c r="CC30" s="81"/>
      <c r="CD30" s="82"/>
      <c r="CE30" s="59"/>
      <c r="CF30" s="83"/>
      <c r="CG30" s="81"/>
      <c r="CH30" s="82"/>
      <c r="CI30" s="59"/>
      <c r="CJ30" s="83"/>
      <c r="CK30" s="81"/>
      <c r="CL30" s="82"/>
      <c r="CM30" s="59"/>
      <c r="CN30" s="83"/>
      <c r="CO30" s="81"/>
      <c r="CP30" s="82"/>
      <c r="CQ30" s="59"/>
      <c r="CR30" s="83"/>
      <c r="CS30" s="81"/>
      <c r="CT30" s="82"/>
      <c r="CU30" s="59"/>
      <c r="CV30" s="83"/>
      <c r="CW30" s="81"/>
      <c r="CX30" s="82"/>
      <c r="CY30" s="59"/>
      <c r="CZ30" s="83"/>
      <c r="DA30" s="81"/>
      <c r="DB30" s="82"/>
      <c r="DC30" s="59"/>
      <c r="DD30" s="83"/>
      <c r="DE30" s="81"/>
      <c r="DF30" s="82"/>
    </row>
    <row r="31" spans="1:110" x14ac:dyDescent="0.25">
      <c r="A31" s="40" t="s">
        <v>133</v>
      </c>
      <c r="B31" s="46" t="s">
        <v>164</v>
      </c>
      <c r="C31" s="47">
        <v>2020</v>
      </c>
      <c r="D31" s="73">
        <f t="shared" si="0"/>
        <v>4.3915094339622644E-5</v>
      </c>
      <c r="E31" s="73">
        <f t="shared" si="1"/>
        <v>4.3915094339622637E-5</v>
      </c>
      <c r="F31" s="73">
        <f t="shared" si="2"/>
        <v>2.6415094339622642E-5</v>
      </c>
      <c r="G31" s="73">
        <f t="shared" si="3"/>
        <v>6.1415094339622642E-5</v>
      </c>
      <c r="H31" s="39">
        <f t="shared" si="4"/>
        <v>2</v>
      </c>
      <c r="I31" s="40"/>
      <c r="J31" s="56"/>
      <c r="K31" s="78">
        <v>2.6415094339622642E-5</v>
      </c>
      <c r="L31" s="60"/>
      <c r="M31" s="61"/>
      <c r="N31" s="64"/>
      <c r="O31" s="59">
        <v>6.1415094339622642E-5</v>
      </c>
      <c r="P31" s="60"/>
      <c r="Q31" s="61"/>
      <c r="R31" s="64"/>
      <c r="S31" s="70"/>
      <c r="T31" s="60"/>
      <c r="U31" s="61"/>
      <c r="V31" s="64"/>
      <c r="W31" s="70"/>
      <c r="X31" s="83"/>
      <c r="Y31" s="81"/>
      <c r="Z31" s="82"/>
      <c r="AA31" s="59"/>
      <c r="AB31" s="83"/>
      <c r="AC31" s="81"/>
      <c r="AD31" s="82"/>
      <c r="AE31" s="59"/>
      <c r="AF31" s="83"/>
      <c r="AG31" s="81"/>
      <c r="AH31" s="82"/>
      <c r="AI31" s="59"/>
      <c r="AJ31" s="83"/>
      <c r="AK31" s="81"/>
      <c r="AL31" s="82"/>
      <c r="AM31" s="59"/>
      <c r="AN31" s="83"/>
      <c r="AO31" s="81"/>
      <c r="AP31" s="82"/>
      <c r="AQ31" s="59"/>
      <c r="AR31" s="83"/>
      <c r="AS31" s="81"/>
      <c r="AT31" s="82"/>
      <c r="AU31" s="59"/>
      <c r="AV31" s="83"/>
      <c r="AW31" s="81"/>
      <c r="AX31" s="82"/>
      <c r="AY31" s="59"/>
      <c r="AZ31" s="83"/>
      <c r="BA31" s="81"/>
      <c r="BB31" s="82"/>
      <c r="BC31" s="59"/>
      <c r="BD31" s="83"/>
      <c r="BE31" s="81"/>
      <c r="BF31" s="82"/>
      <c r="BG31" s="59"/>
      <c r="BH31" s="83"/>
      <c r="BI31" s="81"/>
      <c r="BJ31" s="82"/>
      <c r="BK31" s="59"/>
      <c r="BL31" s="83"/>
      <c r="BM31" s="81"/>
      <c r="BN31" s="82"/>
      <c r="BO31" s="59"/>
      <c r="BP31" s="83"/>
      <c r="BQ31" s="81"/>
      <c r="BR31" s="82"/>
      <c r="BS31" s="59"/>
      <c r="BT31" s="83"/>
      <c r="BU31" s="81"/>
      <c r="BV31" s="82"/>
      <c r="BW31" s="59"/>
      <c r="BX31" s="83"/>
      <c r="BY31" s="81"/>
      <c r="BZ31" s="82"/>
      <c r="CA31" s="59"/>
      <c r="CB31" s="83"/>
      <c r="CC31" s="81"/>
      <c r="CD31" s="82"/>
      <c r="CE31" s="59"/>
      <c r="CF31" s="83"/>
      <c r="CG31" s="81"/>
      <c r="CH31" s="82"/>
      <c r="CI31" s="59"/>
      <c r="CJ31" s="83"/>
      <c r="CK31" s="81"/>
      <c r="CL31" s="82"/>
      <c r="CM31" s="59"/>
      <c r="CN31" s="83"/>
      <c r="CO31" s="81"/>
      <c r="CP31" s="82"/>
      <c r="CQ31" s="59"/>
      <c r="CR31" s="83"/>
      <c r="CS31" s="81"/>
      <c r="CT31" s="82"/>
      <c r="CU31" s="59"/>
      <c r="CV31" s="83"/>
      <c r="CW31" s="81"/>
      <c r="CX31" s="82"/>
      <c r="CY31" s="59"/>
      <c r="CZ31" s="83"/>
      <c r="DA31" s="81"/>
      <c r="DB31" s="82"/>
      <c r="DC31" s="59">
        <v>8.7757734058425393E-5</v>
      </c>
      <c r="DD31" s="83"/>
      <c r="DE31" s="81"/>
      <c r="DF31" s="82"/>
    </row>
    <row r="32" spans="1:110" x14ac:dyDescent="0.25">
      <c r="A32" s="40" t="s">
        <v>45</v>
      </c>
      <c r="B32" s="46" t="s">
        <v>164</v>
      </c>
      <c r="C32" s="47">
        <v>2020</v>
      </c>
      <c r="D32" s="73">
        <f t="shared" si="0"/>
        <v>1.9811320754716984E-5</v>
      </c>
      <c r="E32" s="73">
        <f t="shared" si="1"/>
        <v>1.9811320754716984E-5</v>
      </c>
      <c r="F32" s="73">
        <f t="shared" si="2"/>
        <v>1.9811320754716984E-5</v>
      </c>
      <c r="G32" s="73">
        <f t="shared" si="3"/>
        <v>1.9811320754716984E-5</v>
      </c>
      <c r="H32" s="39">
        <f t="shared" si="4"/>
        <v>1</v>
      </c>
      <c r="I32" s="40"/>
      <c r="J32" s="56"/>
      <c r="K32" s="59"/>
      <c r="L32" s="60"/>
      <c r="M32" s="61"/>
      <c r="N32" s="64"/>
      <c r="O32" s="59">
        <v>1.9811320754716984E-5</v>
      </c>
      <c r="P32" s="60"/>
      <c r="Q32" s="61"/>
      <c r="R32" s="64"/>
      <c r="S32" s="70"/>
      <c r="T32" s="60"/>
      <c r="U32" s="61"/>
      <c r="V32" s="64"/>
      <c r="W32" s="70"/>
      <c r="X32" s="83"/>
      <c r="Y32" s="81"/>
      <c r="Z32" s="82"/>
      <c r="AA32" s="59"/>
      <c r="AB32" s="83"/>
      <c r="AC32" s="81"/>
      <c r="AD32" s="82"/>
      <c r="AE32" s="59"/>
      <c r="AF32" s="83"/>
      <c r="AG32" s="81"/>
      <c r="AH32" s="82"/>
      <c r="AI32" s="59"/>
      <c r="AJ32" s="83"/>
      <c r="AK32" s="81"/>
      <c r="AL32" s="82"/>
      <c r="AM32" s="59"/>
      <c r="AN32" s="83"/>
      <c r="AO32" s="81"/>
      <c r="AP32" s="82"/>
      <c r="AQ32" s="59"/>
      <c r="AR32" s="83"/>
      <c r="AS32" s="81"/>
      <c r="AT32" s="82"/>
      <c r="AU32" s="59"/>
      <c r="AV32" s="83"/>
      <c r="AW32" s="81"/>
      <c r="AX32" s="82"/>
      <c r="AY32" s="59"/>
      <c r="AZ32" s="83"/>
      <c r="BA32" s="81"/>
      <c r="BB32" s="82"/>
      <c r="BC32" s="59"/>
      <c r="BD32" s="83"/>
      <c r="BE32" s="81"/>
      <c r="BF32" s="82"/>
      <c r="BG32" s="59"/>
      <c r="BH32" s="83"/>
      <c r="BI32" s="81"/>
      <c r="BJ32" s="82"/>
      <c r="BK32" s="59"/>
      <c r="BL32" s="83"/>
      <c r="BM32" s="81"/>
      <c r="BN32" s="82"/>
      <c r="BO32" s="59"/>
      <c r="BP32" s="83"/>
      <c r="BQ32" s="81"/>
      <c r="BR32" s="82"/>
      <c r="BS32" s="59"/>
      <c r="BT32" s="83"/>
      <c r="BU32" s="81"/>
      <c r="BV32" s="82"/>
      <c r="BW32" s="59"/>
      <c r="BX32" s="83"/>
      <c r="BY32" s="81"/>
      <c r="BZ32" s="82"/>
      <c r="CA32" s="59"/>
      <c r="CB32" s="83"/>
      <c r="CC32" s="81"/>
      <c r="CD32" s="82"/>
      <c r="CE32" s="59"/>
      <c r="CF32" s="83"/>
      <c r="CG32" s="81"/>
      <c r="CH32" s="82"/>
      <c r="CI32" s="59"/>
      <c r="CJ32" s="83"/>
      <c r="CK32" s="81"/>
      <c r="CL32" s="82"/>
      <c r="CM32" s="59"/>
      <c r="CN32" s="83"/>
      <c r="CO32" s="81"/>
      <c r="CP32" s="82"/>
      <c r="CQ32" s="59"/>
      <c r="CR32" s="83"/>
      <c r="CS32" s="81"/>
      <c r="CT32" s="82"/>
      <c r="CU32" s="59"/>
      <c r="CV32" s="83"/>
      <c r="CW32" s="81"/>
      <c r="CX32" s="82"/>
      <c r="CY32" s="59"/>
      <c r="CZ32" s="83"/>
      <c r="DA32" s="81"/>
      <c r="DB32" s="82"/>
      <c r="DC32" s="59">
        <v>1.0119913751013401E-5</v>
      </c>
      <c r="DD32" s="83"/>
      <c r="DE32" s="81"/>
      <c r="DF32" s="82"/>
    </row>
    <row r="33" spans="1:110" x14ac:dyDescent="0.25">
      <c r="A33" s="40" t="s">
        <v>48</v>
      </c>
      <c r="B33" s="46" t="s">
        <v>164</v>
      </c>
      <c r="C33" s="47">
        <v>2020</v>
      </c>
      <c r="D33" s="73" t="e">
        <f t="shared" si="0"/>
        <v>#DIV/0!</v>
      </c>
      <c r="E33" s="73" t="e">
        <f t="shared" si="1"/>
        <v>#NUM!</v>
      </c>
      <c r="F33" s="73">
        <f t="shared" si="2"/>
        <v>0</v>
      </c>
      <c r="G33" s="73">
        <f t="shared" si="3"/>
        <v>0</v>
      </c>
      <c r="H33" s="39">
        <f t="shared" si="4"/>
        <v>0</v>
      </c>
      <c r="I33" s="40"/>
      <c r="J33" s="56"/>
      <c r="K33" s="59"/>
      <c r="L33" s="60"/>
      <c r="M33" s="61"/>
      <c r="N33" s="64"/>
      <c r="O33" s="70"/>
      <c r="P33" s="60"/>
      <c r="Q33" s="61"/>
      <c r="R33" s="64"/>
      <c r="S33" s="70"/>
      <c r="T33" s="60"/>
      <c r="U33" s="61"/>
      <c r="V33" s="64"/>
      <c r="W33" s="70"/>
      <c r="X33" s="83"/>
      <c r="Y33" s="81"/>
      <c r="Z33" s="82"/>
      <c r="AA33" s="59"/>
      <c r="AB33" s="83"/>
      <c r="AC33" s="81"/>
      <c r="AD33" s="82"/>
      <c r="AE33" s="59"/>
      <c r="AF33" s="83"/>
      <c r="AG33" s="81"/>
      <c r="AH33" s="82"/>
      <c r="AI33" s="59"/>
      <c r="AJ33" s="83"/>
      <c r="AK33" s="81"/>
      <c r="AL33" s="82"/>
      <c r="AM33" s="59"/>
      <c r="AN33" s="83"/>
      <c r="AO33" s="81"/>
      <c r="AP33" s="82"/>
      <c r="AQ33" s="59"/>
      <c r="AR33" s="83"/>
      <c r="AS33" s="81"/>
      <c r="AT33" s="82"/>
      <c r="AU33" s="59"/>
      <c r="AV33" s="83"/>
      <c r="AW33" s="81"/>
      <c r="AX33" s="82"/>
      <c r="AY33" s="59"/>
      <c r="AZ33" s="83"/>
      <c r="BA33" s="81"/>
      <c r="BB33" s="82"/>
      <c r="BC33" s="59"/>
      <c r="BD33" s="83"/>
      <c r="BE33" s="81"/>
      <c r="BF33" s="82"/>
      <c r="BG33" s="59"/>
      <c r="BH33" s="83"/>
      <c r="BI33" s="81"/>
      <c r="BJ33" s="82"/>
      <c r="BK33" s="59"/>
      <c r="BL33" s="83"/>
      <c r="BM33" s="81"/>
      <c r="BN33" s="82"/>
      <c r="BO33" s="59"/>
      <c r="BP33" s="83"/>
      <c r="BQ33" s="81"/>
      <c r="BR33" s="82"/>
      <c r="BS33" s="59"/>
      <c r="BT33" s="83"/>
      <c r="BU33" s="81"/>
      <c r="BV33" s="82"/>
      <c r="BW33" s="59"/>
      <c r="BX33" s="83"/>
      <c r="BY33" s="81"/>
      <c r="BZ33" s="82"/>
      <c r="CA33" s="59"/>
      <c r="CB33" s="83"/>
      <c r="CC33" s="81"/>
      <c r="CD33" s="82"/>
      <c r="CE33" s="59"/>
      <c r="CF33" s="83"/>
      <c r="CG33" s="81"/>
      <c r="CH33" s="82"/>
      <c r="CI33" s="59"/>
      <c r="CJ33" s="83"/>
      <c r="CK33" s="81"/>
      <c r="CL33" s="82"/>
      <c r="CM33" s="59"/>
      <c r="CN33" s="83"/>
      <c r="CO33" s="81"/>
      <c r="CP33" s="82"/>
      <c r="CQ33" s="59"/>
      <c r="CR33" s="83"/>
      <c r="CS33" s="81"/>
      <c r="CT33" s="82"/>
      <c r="CU33" s="59"/>
      <c r="CV33" s="83"/>
      <c r="CW33" s="81"/>
      <c r="CX33" s="82"/>
      <c r="CY33" s="59"/>
      <c r="CZ33" s="83"/>
      <c r="DA33" s="81"/>
      <c r="DB33" s="82"/>
      <c r="DC33" s="59">
        <v>4.18694157005434E-5</v>
      </c>
      <c r="DD33" s="83"/>
      <c r="DE33" s="81"/>
      <c r="DF33" s="82"/>
    </row>
    <row r="34" spans="1:110" x14ac:dyDescent="0.25">
      <c r="A34" s="40" t="s">
        <v>49</v>
      </c>
      <c r="B34" s="46" t="s">
        <v>164</v>
      </c>
      <c r="C34" s="47">
        <v>2020</v>
      </c>
      <c r="D34" s="73" t="e">
        <f t="shared" si="0"/>
        <v>#DIV/0!</v>
      </c>
      <c r="E34" s="73" t="e">
        <f t="shared" si="1"/>
        <v>#NUM!</v>
      </c>
      <c r="F34" s="73">
        <f t="shared" si="2"/>
        <v>0</v>
      </c>
      <c r="G34" s="73">
        <f t="shared" si="3"/>
        <v>0</v>
      </c>
      <c r="H34" s="39">
        <f t="shared" si="4"/>
        <v>0</v>
      </c>
      <c r="I34" s="40"/>
      <c r="J34" s="56"/>
      <c r="K34" s="59"/>
      <c r="L34" s="60"/>
      <c r="M34" s="61"/>
      <c r="N34" s="64"/>
      <c r="O34" s="70"/>
      <c r="P34" s="60"/>
      <c r="Q34" s="61"/>
      <c r="R34" s="64"/>
      <c r="S34" s="70"/>
      <c r="T34" s="60"/>
      <c r="U34" s="61"/>
      <c r="V34" s="64"/>
      <c r="W34" s="70"/>
      <c r="X34" s="83"/>
      <c r="Y34" s="81"/>
      <c r="Z34" s="82"/>
      <c r="AA34" s="59"/>
      <c r="AB34" s="83"/>
      <c r="AC34" s="81"/>
      <c r="AD34" s="82"/>
      <c r="AE34" s="59"/>
      <c r="AF34" s="83"/>
      <c r="AG34" s="81"/>
      <c r="AH34" s="82"/>
      <c r="AI34" s="59"/>
      <c r="AJ34" s="83"/>
      <c r="AK34" s="81"/>
      <c r="AL34" s="82"/>
      <c r="AM34" s="59"/>
      <c r="AN34" s="83"/>
      <c r="AO34" s="81"/>
      <c r="AP34" s="82"/>
      <c r="AQ34" s="59"/>
      <c r="AR34" s="73"/>
      <c r="AS34" s="81"/>
      <c r="AT34" s="82"/>
      <c r="AU34" s="59"/>
      <c r="AV34" s="83"/>
      <c r="AW34" s="81"/>
      <c r="AX34" s="82"/>
      <c r="AY34" s="59"/>
      <c r="AZ34" s="73"/>
      <c r="BA34" s="81"/>
      <c r="BB34" s="82"/>
      <c r="BC34" s="59"/>
      <c r="BD34" s="83"/>
      <c r="BE34" s="81"/>
      <c r="BF34" s="82"/>
      <c r="BG34" s="59"/>
      <c r="BH34" s="73"/>
      <c r="BI34" s="81"/>
      <c r="BJ34" s="82"/>
      <c r="BK34" s="59"/>
      <c r="BL34" s="83"/>
      <c r="BM34" s="81"/>
      <c r="BN34" s="82"/>
      <c r="BO34" s="59"/>
      <c r="BP34" s="73"/>
      <c r="BQ34" s="81"/>
      <c r="BR34" s="82"/>
      <c r="BS34" s="59"/>
      <c r="BT34" s="83"/>
      <c r="BU34" s="81"/>
      <c r="BV34" s="82"/>
      <c r="BW34" s="59"/>
      <c r="BX34" s="73"/>
      <c r="BY34" s="81"/>
      <c r="BZ34" s="82"/>
      <c r="CA34" s="59"/>
      <c r="CB34" s="83"/>
      <c r="CC34" s="81"/>
      <c r="CD34" s="82"/>
      <c r="CE34" s="59"/>
      <c r="CF34" s="73"/>
      <c r="CG34" s="81"/>
      <c r="CH34" s="82"/>
      <c r="CI34" s="59"/>
      <c r="CJ34" s="83"/>
      <c r="CK34" s="81"/>
      <c r="CL34" s="82"/>
      <c r="CM34" s="59"/>
      <c r="CN34" s="73"/>
      <c r="CO34" s="81"/>
      <c r="CP34" s="82"/>
      <c r="CQ34" s="59"/>
      <c r="CR34" s="83"/>
      <c r="CS34" s="81"/>
      <c r="CT34" s="82"/>
      <c r="CU34" s="59"/>
      <c r="CV34" s="73"/>
      <c r="CW34" s="81"/>
      <c r="CX34" s="82"/>
      <c r="CY34" s="59"/>
      <c r="CZ34" s="83"/>
      <c r="DA34" s="81"/>
      <c r="DB34" s="82"/>
      <c r="DC34" s="59">
        <v>3.5217290673633201E-6</v>
      </c>
      <c r="DD34" s="83"/>
      <c r="DE34" s="81"/>
      <c r="DF34" s="82"/>
    </row>
    <row r="35" spans="1:110" x14ac:dyDescent="0.25">
      <c r="A35" s="40" t="s">
        <v>51</v>
      </c>
      <c r="B35" s="46" t="s">
        <v>164</v>
      </c>
      <c r="C35" s="47">
        <v>2020</v>
      </c>
      <c r="D35" s="73">
        <f t="shared" si="0"/>
        <v>2.0433962264150942E-4</v>
      </c>
      <c r="E35" s="73">
        <f t="shared" si="1"/>
        <v>2.0433962264150942E-4</v>
      </c>
      <c r="F35" s="73">
        <f t="shared" si="2"/>
        <v>2.0433962264150942E-4</v>
      </c>
      <c r="G35" s="73">
        <f t="shared" si="3"/>
        <v>2.0433962264150942E-4</v>
      </c>
      <c r="H35" s="39">
        <f t="shared" si="4"/>
        <v>1</v>
      </c>
      <c r="I35" s="40"/>
      <c r="J35" s="56"/>
      <c r="K35" s="59">
        <v>2.0433962264150942E-4</v>
      </c>
      <c r="L35" s="60"/>
      <c r="M35" s="61"/>
      <c r="N35" s="64"/>
      <c r="O35" s="70"/>
      <c r="P35" s="60"/>
      <c r="Q35" s="61"/>
      <c r="R35" s="64"/>
      <c r="S35" s="70"/>
      <c r="T35" s="60"/>
      <c r="U35" s="61"/>
      <c r="V35" s="64"/>
      <c r="W35" s="70"/>
      <c r="X35" s="83"/>
      <c r="Y35" s="81"/>
      <c r="Z35" s="82"/>
      <c r="AA35" s="59"/>
      <c r="AB35" s="83"/>
      <c r="AC35" s="81"/>
      <c r="AD35" s="82"/>
      <c r="AE35" s="59"/>
      <c r="AF35" s="83"/>
      <c r="AG35" s="81"/>
      <c r="AH35" s="82"/>
      <c r="AI35" s="59"/>
      <c r="AJ35" s="83"/>
      <c r="AK35" s="81"/>
      <c r="AL35" s="82"/>
      <c r="AM35" s="59"/>
      <c r="AN35" s="83"/>
      <c r="AO35" s="81"/>
      <c r="AP35" s="82"/>
      <c r="AQ35" s="59"/>
      <c r="AR35" s="83"/>
      <c r="AS35" s="81"/>
      <c r="AT35" s="82"/>
      <c r="AU35" s="59"/>
      <c r="AV35" s="83"/>
      <c r="AW35" s="81"/>
      <c r="AX35" s="82"/>
      <c r="AY35" s="59"/>
      <c r="AZ35" s="83"/>
      <c r="BA35" s="81"/>
      <c r="BB35" s="82"/>
      <c r="BC35" s="59"/>
      <c r="BD35" s="83"/>
      <c r="BE35" s="81"/>
      <c r="BF35" s="82"/>
      <c r="BG35" s="59"/>
      <c r="BH35" s="83"/>
      <c r="BI35" s="81"/>
      <c r="BJ35" s="82"/>
      <c r="BK35" s="59"/>
      <c r="BL35" s="83"/>
      <c r="BM35" s="81"/>
      <c r="BN35" s="82"/>
      <c r="BO35" s="59"/>
      <c r="BP35" s="83"/>
      <c r="BQ35" s="81"/>
      <c r="BR35" s="82"/>
      <c r="BS35" s="59"/>
      <c r="BT35" s="83"/>
      <c r="BU35" s="81"/>
      <c r="BV35" s="82"/>
      <c r="BW35" s="59"/>
      <c r="BX35" s="83"/>
      <c r="BY35" s="81"/>
      <c r="BZ35" s="82"/>
      <c r="CA35" s="59"/>
      <c r="CB35" s="83"/>
      <c r="CC35" s="81"/>
      <c r="CD35" s="82"/>
      <c r="CE35" s="59"/>
      <c r="CF35" s="83"/>
      <c r="CG35" s="81"/>
      <c r="CH35" s="82"/>
      <c r="CI35" s="59"/>
      <c r="CJ35" s="83"/>
      <c r="CK35" s="81"/>
      <c r="CL35" s="82"/>
      <c r="CM35" s="59"/>
      <c r="CN35" s="83"/>
      <c r="CO35" s="81"/>
      <c r="CP35" s="82"/>
      <c r="CQ35" s="59"/>
      <c r="CR35" s="83"/>
      <c r="CS35" s="81"/>
      <c r="CT35" s="82"/>
      <c r="CU35" s="59"/>
      <c r="CV35" s="83"/>
      <c r="CW35" s="81"/>
      <c r="CX35" s="82"/>
      <c r="CY35" s="59"/>
      <c r="CZ35" s="83"/>
      <c r="DA35" s="81"/>
      <c r="DB35" s="82"/>
      <c r="DC35" s="59">
        <v>2.0259247288799701E-7</v>
      </c>
      <c r="DD35" s="83"/>
      <c r="DE35" s="81"/>
      <c r="DF35" s="82"/>
    </row>
    <row r="36" spans="1:110" x14ac:dyDescent="0.25">
      <c r="A36" s="40" t="s">
        <v>52</v>
      </c>
      <c r="B36" s="46" t="s">
        <v>164</v>
      </c>
      <c r="C36" s="47">
        <v>2020</v>
      </c>
      <c r="D36" s="73" t="e">
        <f t="shared" si="0"/>
        <v>#DIV/0!</v>
      </c>
      <c r="E36" s="73" t="e">
        <f t="shared" si="1"/>
        <v>#NUM!</v>
      </c>
      <c r="F36" s="73">
        <f t="shared" si="2"/>
        <v>0</v>
      </c>
      <c r="G36" s="73">
        <f t="shared" si="3"/>
        <v>0</v>
      </c>
      <c r="H36" s="39">
        <f t="shared" si="4"/>
        <v>0</v>
      </c>
      <c r="I36" s="40"/>
      <c r="J36" s="56"/>
      <c r="K36" s="59"/>
      <c r="L36" s="60"/>
      <c r="M36" s="61"/>
      <c r="N36" s="64"/>
      <c r="O36" s="70"/>
      <c r="P36" s="60"/>
      <c r="Q36" s="61"/>
      <c r="R36" s="64"/>
      <c r="S36" s="70"/>
      <c r="T36" s="60"/>
      <c r="U36" s="61"/>
      <c r="V36" s="64"/>
      <c r="W36" s="70"/>
      <c r="X36" s="83"/>
      <c r="Y36" s="81"/>
      <c r="Z36" s="82"/>
      <c r="AA36" s="59"/>
      <c r="AB36" s="83"/>
      <c r="AC36" s="81"/>
      <c r="AD36" s="82"/>
      <c r="AE36" s="59"/>
      <c r="AF36" s="83"/>
      <c r="AG36" s="81"/>
      <c r="AH36" s="82"/>
      <c r="AI36" s="59"/>
      <c r="AJ36" s="83"/>
      <c r="AK36" s="81"/>
      <c r="AL36" s="82"/>
      <c r="AM36" s="59"/>
      <c r="AN36" s="83"/>
      <c r="AO36" s="81"/>
      <c r="AP36" s="82"/>
      <c r="AQ36" s="59"/>
      <c r="AR36" s="83"/>
      <c r="AS36" s="81"/>
      <c r="AT36" s="82"/>
      <c r="AU36" s="59"/>
      <c r="AV36" s="83"/>
      <c r="AW36" s="81"/>
      <c r="AX36" s="82"/>
      <c r="AY36" s="59"/>
      <c r="AZ36" s="83"/>
      <c r="BA36" s="81"/>
      <c r="BB36" s="82"/>
      <c r="BC36" s="59"/>
      <c r="BD36" s="83"/>
      <c r="BE36" s="81"/>
      <c r="BF36" s="82"/>
      <c r="BG36" s="59"/>
      <c r="BH36" s="83"/>
      <c r="BI36" s="81"/>
      <c r="BJ36" s="82"/>
      <c r="BK36" s="59"/>
      <c r="BL36" s="83"/>
      <c r="BM36" s="81"/>
      <c r="BN36" s="82"/>
      <c r="BO36" s="59"/>
      <c r="BP36" s="83"/>
      <c r="BQ36" s="81"/>
      <c r="BR36" s="82"/>
      <c r="BS36" s="59"/>
      <c r="BT36" s="83"/>
      <c r="BU36" s="81"/>
      <c r="BV36" s="82"/>
      <c r="BW36" s="59"/>
      <c r="BX36" s="83"/>
      <c r="BY36" s="81"/>
      <c r="BZ36" s="82"/>
      <c r="CA36" s="59"/>
      <c r="CB36" s="83"/>
      <c r="CC36" s="81"/>
      <c r="CD36" s="82"/>
      <c r="CE36" s="59"/>
      <c r="CF36" s="83"/>
      <c r="CG36" s="81"/>
      <c r="CH36" s="82"/>
      <c r="CI36" s="59"/>
      <c r="CJ36" s="83"/>
      <c r="CK36" s="81"/>
      <c r="CL36" s="82"/>
      <c r="CM36" s="59"/>
      <c r="CN36" s="83"/>
      <c r="CO36" s="81"/>
      <c r="CP36" s="82"/>
      <c r="CQ36" s="59"/>
      <c r="CR36" s="83"/>
      <c r="CS36" s="81"/>
      <c r="CT36" s="82"/>
      <c r="CU36" s="59"/>
      <c r="CV36" s="83"/>
      <c r="CW36" s="81"/>
      <c r="CX36" s="82"/>
      <c r="CY36" s="59"/>
      <c r="CZ36" s="83"/>
      <c r="DA36" s="81"/>
      <c r="DB36" s="82"/>
      <c r="DC36" s="59">
        <v>4.0192656208140002E-5</v>
      </c>
      <c r="DD36" s="83"/>
      <c r="DE36" s="81"/>
      <c r="DF36" s="82"/>
    </row>
    <row r="37" spans="1:110" x14ac:dyDescent="0.25">
      <c r="A37" s="40" t="s">
        <v>134</v>
      </c>
      <c r="B37" s="46" t="s">
        <v>164</v>
      </c>
      <c r="C37" s="47">
        <v>2020</v>
      </c>
      <c r="D37" s="73">
        <f t="shared" si="0"/>
        <v>1.7082579988910807E-4</v>
      </c>
      <c r="E37" s="73">
        <f t="shared" si="1"/>
        <v>1.5486368556224755E-4</v>
      </c>
      <c r="F37" s="73">
        <f t="shared" si="2"/>
        <v>1.941509433962264E-8</v>
      </c>
      <c r="G37" s="73">
        <f t="shared" si="3"/>
        <v>3.7471698113207547E-4</v>
      </c>
      <c r="H37" s="39">
        <f t="shared" si="4"/>
        <v>6</v>
      </c>
      <c r="I37" s="40"/>
      <c r="J37" s="56"/>
      <c r="K37" s="78">
        <v>3.7471698113207547E-4</v>
      </c>
      <c r="L37" s="60"/>
      <c r="M37" s="61"/>
      <c r="N37" s="64"/>
      <c r="O37" s="59">
        <v>1.941509433962264E-8</v>
      </c>
      <c r="P37" s="60"/>
      <c r="Q37" s="61"/>
      <c r="R37" s="64"/>
      <c r="S37" s="70"/>
      <c r="T37" s="60"/>
      <c r="U37" s="61"/>
      <c r="V37" s="64"/>
      <c r="W37" s="70"/>
      <c r="X37" s="83"/>
      <c r="Y37" s="81"/>
      <c r="Z37" s="82"/>
      <c r="AA37" s="59"/>
      <c r="AB37" s="83"/>
      <c r="AC37" s="81"/>
      <c r="AD37" s="82"/>
      <c r="AE37" s="59"/>
      <c r="AF37" s="83"/>
      <c r="AG37" s="81"/>
      <c r="AH37" s="82"/>
      <c r="AI37" s="59"/>
      <c r="AJ37" s="83"/>
      <c r="AK37" s="81"/>
      <c r="AL37" s="82"/>
      <c r="AM37" s="59"/>
      <c r="AN37" s="83"/>
      <c r="AO37" s="81"/>
      <c r="AP37" s="82"/>
      <c r="AQ37" s="59"/>
      <c r="AR37" s="83"/>
      <c r="AS37" s="81"/>
      <c r="AT37" s="82"/>
      <c r="AU37" s="59"/>
      <c r="AV37" s="83"/>
      <c r="AW37" s="81"/>
      <c r="AX37" s="82"/>
      <c r="AY37" s="59"/>
      <c r="AZ37" s="83"/>
      <c r="BA37" s="81"/>
      <c r="BB37" s="82"/>
      <c r="BC37" s="59">
        <v>2.0057498161396001E-4</v>
      </c>
      <c r="BD37" s="83"/>
      <c r="BE37" s="81"/>
      <c r="BF37" s="82"/>
      <c r="BG37" s="59">
        <v>1.3991605036977814E-4</v>
      </c>
      <c r="BH37" s="83"/>
      <c r="BI37" s="81"/>
      <c r="BJ37" s="82"/>
      <c r="BK37" s="59"/>
      <c r="BL37" s="83"/>
      <c r="BM37" s="81"/>
      <c r="BN37" s="82"/>
      <c r="BO37" s="59"/>
      <c r="BP37" s="83"/>
      <c r="BQ37" s="81"/>
      <c r="BR37" s="82"/>
      <c r="BS37" s="59"/>
      <c r="BT37" s="83"/>
      <c r="BU37" s="81"/>
      <c r="BV37" s="82"/>
      <c r="BW37" s="59"/>
      <c r="BX37" s="83"/>
      <c r="BY37" s="81"/>
      <c r="BZ37" s="82"/>
      <c r="CA37" s="59">
        <v>1.6981132075471697E-4</v>
      </c>
      <c r="CB37" s="83"/>
      <c r="CC37" s="81"/>
      <c r="CD37" s="82"/>
      <c r="CE37" s="59">
        <v>1.3991605036977814E-4</v>
      </c>
      <c r="CF37" s="83"/>
      <c r="CG37" s="81"/>
      <c r="CH37" s="82"/>
      <c r="CI37" s="59"/>
      <c r="CJ37" s="83"/>
      <c r="CK37" s="81"/>
      <c r="CL37" s="82"/>
      <c r="CM37" s="59"/>
      <c r="CN37" s="83"/>
      <c r="CO37" s="81"/>
      <c r="CP37" s="82"/>
      <c r="CQ37" s="59"/>
      <c r="CR37" s="83"/>
      <c r="CS37" s="81"/>
      <c r="CT37" s="82"/>
      <c r="CU37" s="59"/>
      <c r="CV37" s="83"/>
      <c r="CW37" s="81"/>
      <c r="CX37" s="82"/>
      <c r="CY37" s="59"/>
      <c r="CZ37" s="83"/>
      <c r="DA37" s="81"/>
      <c r="DB37" s="82"/>
      <c r="DC37" s="59">
        <v>7.8938383981097095E-9</v>
      </c>
      <c r="DD37" s="83"/>
      <c r="DE37" s="81"/>
      <c r="DF37" s="82"/>
    </row>
    <row r="38" spans="1:110" x14ac:dyDescent="0.25">
      <c r="A38" s="40" t="s">
        <v>145</v>
      </c>
      <c r="B38" s="46" t="s">
        <v>164</v>
      </c>
      <c r="C38" s="47">
        <v>2020</v>
      </c>
      <c r="D38" s="73" t="e">
        <f t="shared" si="0"/>
        <v>#DIV/0!</v>
      </c>
      <c r="E38" s="73" t="e">
        <f t="shared" si="1"/>
        <v>#NUM!</v>
      </c>
      <c r="F38" s="73">
        <f t="shared" si="2"/>
        <v>0</v>
      </c>
      <c r="G38" s="73">
        <f t="shared" si="3"/>
        <v>0</v>
      </c>
      <c r="H38" s="39">
        <f t="shared" si="4"/>
        <v>0</v>
      </c>
      <c r="I38" s="40"/>
      <c r="J38" s="56"/>
      <c r="K38" s="59"/>
      <c r="L38" s="60"/>
      <c r="M38" s="61"/>
      <c r="N38" s="64"/>
      <c r="O38" s="70"/>
      <c r="P38" s="60"/>
      <c r="Q38" s="61"/>
      <c r="R38" s="64"/>
      <c r="S38" s="70"/>
      <c r="T38" s="60"/>
      <c r="U38" s="61"/>
      <c r="V38" s="64"/>
      <c r="W38" s="70"/>
      <c r="X38" s="83"/>
      <c r="Y38" s="81"/>
      <c r="Z38" s="82"/>
      <c r="AA38" s="59"/>
      <c r="AB38" s="83"/>
      <c r="AC38" s="81"/>
      <c r="AD38" s="82"/>
      <c r="AE38" s="59"/>
      <c r="AF38" s="83"/>
      <c r="AG38" s="81"/>
      <c r="AH38" s="82"/>
      <c r="AI38" s="59"/>
      <c r="AJ38" s="83"/>
      <c r="AK38" s="81"/>
      <c r="AL38" s="82"/>
      <c r="AM38" s="59"/>
      <c r="AN38" s="83"/>
      <c r="AO38" s="81"/>
      <c r="AP38" s="82"/>
      <c r="AQ38" s="59"/>
      <c r="AR38" s="83"/>
      <c r="AS38" s="81"/>
      <c r="AT38" s="82"/>
      <c r="AU38" s="59"/>
      <c r="AV38" s="83"/>
      <c r="AW38" s="81"/>
      <c r="AX38" s="82"/>
      <c r="AY38" s="59"/>
      <c r="AZ38" s="83"/>
      <c r="BA38" s="81"/>
      <c r="BB38" s="82"/>
      <c r="BC38" s="59"/>
      <c r="BD38" s="83"/>
      <c r="BE38" s="81"/>
      <c r="BF38" s="82"/>
      <c r="BG38" s="59"/>
      <c r="BH38" s="83"/>
      <c r="BI38" s="81"/>
      <c r="BJ38" s="82"/>
      <c r="BK38" s="59"/>
      <c r="BL38" s="83"/>
      <c r="BM38" s="81"/>
      <c r="BN38" s="82"/>
      <c r="BO38" s="59"/>
      <c r="BP38" s="83"/>
      <c r="BQ38" s="81"/>
      <c r="BR38" s="82"/>
      <c r="BS38" s="59"/>
      <c r="BT38" s="83"/>
      <c r="BU38" s="81"/>
      <c r="BV38" s="82"/>
      <c r="BW38" s="59"/>
      <c r="BX38" s="83"/>
      <c r="BY38" s="81"/>
      <c r="BZ38" s="82"/>
      <c r="CA38" s="59"/>
      <c r="CB38" s="83"/>
      <c r="CC38" s="81"/>
      <c r="CD38" s="82"/>
      <c r="CE38" s="59"/>
      <c r="CF38" s="83"/>
      <c r="CG38" s="81"/>
      <c r="CH38" s="82"/>
      <c r="CI38" s="59"/>
      <c r="CJ38" s="83"/>
      <c r="CK38" s="81"/>
      <c r="CL38" s="82"/>
      <c r="CM38" s="59"/>
      <c r="CN38" s="83"/>
      <c r="CO38" s="81"/>
      <c r="CP38" s="82"/>
      <c r="CQ38" s="59"/>
      <c r="CR38" s="83"/>
      <c r="CS38" s="81"/>
      <c r="CT38" s="82"/>
      <c r="CU38" s="59"/>
      <c r="CV38" s="83"/>
      <c r="CW38" s="81"/>
      <c r="CX38" s="82"/>
      <c r="CY38" s="59"/>
      <c r="CZ38" s="83"/>
      <c r="DA38" s="81"/>
      <c r="DB38" s="82"/>
      <c r="DC38" s="59">
        <v>5.7293871108713898E-5</v>
      </c>
      <c r="DD38" s="83"/>
      <c r="DE38" s="81"/>
      <c r="DF38" s="82"/>
    </row>
    <row r="39" spans="1:110" x14ac:dyDescent="0.25">
      <c r="A39" s="40" t="s">
        <v>54</v>
      </c>
      <c r="B39" s="46" t="s">
        <v>164</v>
      </c>
      <c r="C39" s="47">
        <v>2020</v>
      </c>
      <c r="D39" s="73" t="e">
        <f t="shared" si="0"/>
        <v>#DIV/0!</v>
      </c>
      <c r="E39" s="73" t="e">
        <f t="shared" si="1"/>
        <v>#NUM!</v>
      </c>
      <c r="F39" s="73">
        <f t="shared" si="2"/>
        <v>0</v>
      </c>
      <c r="G39" s="73">
        <f t="shared" si="3"/>
        <v>0</v>
      </c>
      <c r="H39" s="39">
        <f t="shared" si="4"/>
        <v>0</v>
      </c>
      <c r="I39" s="40"/>
      <c r="J39" s="56"/>
      <c r="K39" s="59"/>
      <c r="L39" s="60"/>
      <c r="M39" s="61"/>
      <c r="N39" s="64"/>
      <c r="O39" s="70"/>
      <c r="P39" s="60"/>
      <c r="Q39" s="61"/>
      <c r="R39" s="64"/>
      <c r="S39" s="70"/>
      <c r="T39" s="60"/>
      <c r="U39" s="61"/>
      <c r="V39" s="64"/>
      <c r="W39" s="70"/>
      <c r="X39" s="83"/>
      <c r="Y39" s="81"/>
      <c r="Z39" s="82"/>
      <c r="AA39" s="59"/>
      <c r="AB39" s="83"/>
      <c r="AC39" s="81"/>
      <c r="AD39" s="82"/>
      <c r="AE39" s="59"/>
      <c r="AF39" s="83"/>
      <c r="AG39" s="81"/>
      <c r="AH39" s="82"/>
      <c r="AI39" s="59"/>
      <c r="AJ39" s="83"/>
      <c r="AK39" s="81"/>
      <c r="AL39" s="82"/>
      <c r="AM39" s="59"/>
      <c r="AN39" s="83"/>
      <c r="AO39" s="81"/>
      <c r="AP39" s="82"/>
      <c r="AQ39" s="59"/>
      <c r="AR39" s="83"/>
      <c r="AS39" s="81"/>
      <c r="AT39" s="82"/>
      <c r="AU39" s="59"/>
      <c r="AV39" s="83"/>
      <c r="AW39" s="81"/>
      <c r="AX39" s="82"/>
      <c r="AY39" s="59"/>
      <c r="AZ39" s="83"/>
      <c r="BA39" s="81"/>
      <c r="BB39" s="82"/>
      <c r="BC39" s="59"/>
      <c r="BD39" s="83"/>
      <c r="BE39" s="81"/>
      <c r="BF39" s="82"/>
      <c r="BG39" s="59"/>
      <c r="BH39" s="83"/>
      <c r="BI39" s="81"/>
      <c r="BJ39" s="82"/>
      <c r="BK39" s="59"/>
      <c r="BL39" s="83"/>
      <c r="BM39" s="81"/>
      <c r="BN39" s="82"/>
      <c r="BO39" s="59"/>
      <c r="BP39" s="83"/>
      <c r="BQ39" s="81"/>
      <c r="BR39" s="82"/>
      <c r="BS39" s="59"/>
      <c r="BT39" s="83"/>
      <c r="BU39" s="81"/>
      <c r="BV39" s="82"/>
      <c r="BW39" s="59"/>
      <c r="BX39" s="83"/>
      <c r="BY39" s="81"/>
      <c r="BZ39" s="82"/>
      <c r="CA39" s="59"/>
      <c r="CB39" s="83"/>
      <c r="CC39" s="81"/>
      <c r="CD39" s="82"/>
      <c r="CE39" s="59"/>
      <c r="CF39" s="83"/>
      <c r="CG39" s="81"/>
      <c r="CH39" s="82"/>
      <c r="CI39" s="59"/>
      <c r="CJ39" s="83"/>
      <c r="CK39" s="81"/>
      <c r="CL39" s="82"/>
      <c r="CM39" s="59"/>
      <c r="CN39" s="83"/>
      <c r="CO39" s="81"/>
      <c r="CP39" s="82"/>
      <c r="CQ39" s="59"/>
      <c r="CR39" s="83"/>
      <c r="CS39" s="81"/>
      <c r="CT39" s="82"/>
      <c r="CU39" s="59"/>
      <c r="CV39" s="83"/>
      <c r="CW39" s="81"/>
      <c r="CX39" s="82"/>
      <c r="CY39" s="59"/>
      <c r="CZ39" s="83"/>
      <c r="DA39" s="81"/>
      <c r="DB39" s="82"/>
      <c r="DC39" s="59">
        <v>0</v>
      </c>
      <c r="DD39" s="83"/>
      <c r="DE39" s="81"/>
      <c r="DF39" s="82"/>
    </row>
    <row r="40" spans="1:110" x14ac:dyDescent="0.25">
      <c r="A40" s="40" t="s">
        <v>135</v>
      </c>
      <c r="B40" s="46" t="s">
        <v>164</v>
      </c>
      <c r="C40" s="47">
        <v>2020</v>
      </c>
      <c r="D40" s="73">
        <f t="shared" si="0"/>
        <v>1.5252830188679246E-6</v>
      </c>
      <c r="E40" s="73">
        <f t="shared" si="1"/>
        <v>1.5252830188679246E-6</v>
      </c>
      <c r="F40" s="73">
        <f t="shared" si="2"/>
        <v>3.1698113207547169E-8</v>
      </c>
      <c r="G40" s="73">
        <f t="shared" si="3"/>
        <v>3.0188679245283022E-6</v>
      </c>
      <c r="H40" s="39">
        <f t="shared" si="4"/>
        <v>2</v>
      </c>
      <c r="I40" s="40"/>
      <c r="J40" s="56"/>
      <c r="K40" s="59">
        <v>3.0188679245283022E-6</v>
      </c>
      <c r="L40" s="60"/>
      <c r="M40" s="61"/>
      <c r="N40" s="64"/>
      <c r="O40" s="59">
        <v>3.1698113207547169E-8</v>
      </c>
      <c r="P40" s="60"/>
      <c r="Q40" s="61"/>
      <c r="R40" s="64"/>
      <c r="S40" s="70"/>
      <c r="T40" s="60"/>
      <c r="U40" s="61"/>
      <c r="V40" s="64"/>
      <c r="W40" s="70"/>
      <c r="X40" s="83"/>
      <c r="Y40" s="81"/>
      <c r="Z40" s="82"/>
      <c r="AA40" s="70"/>
      <c r="AB40" s="83"/>
      <c r="AC40" s="81"/>
      <c r="AD40" s="82"/>
      <c r="AE40" s="70"/>
      <c r="AF40" s="83"/>
      <c r="AG40" s="81"/>
      <c r="AH40" s="82"/>
      <c r="AI40" s="70"/>
      <c r="AJ40" s="83"/>
      <c r="AK40" s="81"/>
      <c r="AL40" s="82"/>
      <c r="AM40" s="70"/>
      <c r="AN40" s="83"/>
      <c r="AO40" s="81"/>
      <c r="AP40" s="82"/>
      <c r="AQ40" s="70"/>
      <c r="AR40" s="83"/>
      <c r="AS40" s="81"/>
      <c r="AT40" s="82"/>
      <c r="AU40" s="70"/>
      <c r="AV40" s="83"/>
      <c r="AW40" s="81"/>
      <c r="AX40" s="82"/>
      <c r="AY40" s="70"/>
      <c r="AZ40" s="83"/>
      <c r="BA40" s="81"/>
      <c r="BB40" s="82"/>
      <c r="BC40" s="70"/>
      <c r="BD40" s="83"/>
      <c r="BE40" s="81"/>
      <c r="BF40" s="82"/>
      <c r="BG40" s="70"/>
      <c r="BH40" s="83"/>
      <c r="BI40" s="81"/>
      <c r="BJ40" s="82"/>
      <c r="BK40" s="70"/>
      <c r="BL40" s="83"/>
      <c r="BM40" s="81"/>
      <c r="BN40" s="82"/>
      <c r="BO40" s="70"/>
      <c r="BP40" s="83"/>
      <c r="BQ40" s="81"/>
      <c r="BR40" s="82"/>
      <c r="BS40" s="70"/>
      <c r="BT40" s="83"/>
      <c r="BU40" s="81"/>
      <c r="BV40" s="82"/>
      <c r="BW40" s="70"/>
      <c r="BX40" s="83"/>
      <c r="BY40" s="81"/>
      <c r="BZ40" s="82"/>
      <c r="CA40" s="70"/>
      <c r="CB40" s="83"/>
      <c r="CC40" s="81"/>
      <c r="CD40" s="82"/>
      <c r="CE40" s="70"/>
      <c r="CF40" s="83"/>
      <c r="CG40" s="81"/>
      <c r="CH40" s="82"/>
      <c r="CI40" s="70"/>
      <c r="CJ40" s="83"/>
      <c r="CK40" s="81"/>
      <c r="CL40" s="82"/>
      <c r="CM40" s="70"/>
      <c r="CN40" s="83"/>
      <c r="CO40" s="81"/>
      <c r="CP40" s="82"/>
      <c r="CQ40" s="70"/>
      <c r="CR40" s="83"/>
      <c r="CS40" s="81"/>
      <c r="CT40" s="82"/>
      <c r="CU40" s="70"/>
      <c r="CV40" s="83"/>
      <c r="CW40" s="81"/>
      <c r="CX40" s="82"/>
      <c r="CY40" s="70"/>
      <c r="CZ40" s="83"/>
      <c r="DA40" s="81"/>
      <c r="DB40" s="82"/>
      <c r="DC40" s="70"/>
      <c r="DD40" s="83"/>
      <c r="DE40" s="81"/>
      <c r="DF40" s="82"/>
    </row>
    <row r="41" spans="1:110" x14ac:dyDescent="0.25">
      <c r="A41" s="40" t="s">
        <v>56</v>
      </c>
      <c r="B41" s="46" t="s">
        <v>164</v>
      </c>
      <c r="C41" s="47">
        <v>2020</v>
      </c>
      <c r="D41" s="73">
        <f t="shared" si="0"/>
        <v>7.8160377358490569E-6</v>
      </c>
      <c r="E41" s="73">
        <f t="shared" si="1"/>
        <v>7.8160377358490569E-6</v>
      </c>
      <c r="F41" s="73">
        <f t="shared" si="2"/>
        <v>4.3396226415094338E-6</v>
      </c>
      <c r="G41" s="73">
        <f t="shared" si="3"/>
        <v>1.1292452830188678E-5</v>
      </c>
      <c r="H41" s="39">
        <f t="shared" si="4"/>
        <v>2</v>
      </c>
      <c r="I41" s="40"/>
      <c r="J41" s="56"/>
      <c r="K41" s="59">
        <v>4.3396226415094338E-6</v>
      </c>
      <c r="L41" s="60"/>
      <c r="M41" s="61"/>
      <c r="N41" s="64"/>
      <c r="O41" s="59">
        <v>1.1292452830188678E-5</v>
      </c>
      <c r="P41" s="60"/>
      <c r="Q41" s="61"/>
      <c r="R41" s="64"/>
      <c r="S41" s="70"/>
      <c r="T41" s="60"/>
      <c r="U41" s="61"/>
      <c r="V41" s="64"/>
      <c r="W41" s="70"/>
      <c r="X41" s="83"/>
      <c r="Y41" s="81"/>
      <c r="Z41" s="82"/>
      <c r="AA41" s="59"/>
      <c r="AB41" s="83"/>
      <c r="AC41" s="81"/>
      <c r="AD41" s="82"/>
      <c r="AE41" s="59"/>
      <c r="AF41" s="83"/>
      <c r="AG41" s="81"/>
      <c r="AH41" s="82"/>
      <c r="AI41" s="59"/>
      <c r="AJ41" s="83"/>
      <c r="AK41" s="81"/>
      <c r="AL41" s="82"/>
      <c r="AM41" s="59"/>
      <c r="AN41" s="83"/>
      <c r="AO41" s="81"/>
      <c r="AP41" s="82"/>
      <c r="AQ41" s="59"/>
      <c r="AR41" s="83"/>
      <c r="AS41" s="81"/>
      <c r="AT41" s="82"/>
      <c r="AU41" s="59"/>
      <c r="AV41" s="83"/>
      <c r="AW41" s="81"/>
      <c r="AX41" s="82"/>
      <c r="AY41" s="59"/>
      <c r="AZ41" s="83"/>
      <c r="BA41" s="81"/>
      <c r="BB41" s="82"/>
      <c r="BC41" s="59"/>
      <c r="BD41" s="83"/>
      <c r="BE41" s="81"/>
      <c r="BF41" s="82"/>
      <c r="BG41" s="59"/>
      <c r="BH41" s="83"/>
      <c r="BI41" s="81"/>
      <c r="BJ41" s="82"/>
      <c r="BK41" s="59"/>
      <c r="BL41" s="83"/>
      <c r="BM41" s="81"/>
      <c r="BN41" s="82"/>
      <c r="BO41" s="59"/>
      <c r="BP41" s="83"/>
      <c r="BQ41" s="81"/>
      <c r="BR41" s="82"/>
      <c r="BS41" s="59"/>
      <c r="BT41" s="83"/>
      <c r="BU41" s="81"/>
      <c r="BV41" s="82"/>
      <c r="BW41" s="59"/>
      <c r="BX41" s="83"/>
      <c r="BY41" s="81"/>
      <c r="BZ41" s="82"/>
      <c r="CA41" s="59"/>
      <c r="CB41" s="83"/>
      <c r="CC41" s="81"/>
      <c r="CD41" s="82"/>
      <c r="CE41" s="59"/>
      <c r="CF41" s="83"/>
      <c r="CG41" s="81"/>
      <c r="CH41" s="82"/>
      <c r="CI41" s="59"/>
      <c r="CJ41" s="83"/>
      <c r="CK41" s="81"/>
      <c r="CL41" s="82"/>
      <c r="CM41" s="59"/>
      <c r="CN41" s="83"/>
      <c r="CO41" s="81"/>
      <c r="CP41" s="82"/>
      <c r="CQ41" s="59"/>
      <c r="CR41" s="83"/>
      <c r="CS41" s="81"/>
      <c r="CT41" s="82"/>
      <c r="CU41" s="59"/>
      <c r="CV41" s="83"/>
      <c r="CW41" s="81"/>
      <c r="CX41" s="82"/>
      <c r="CY41" s="59"/>
      <c r="CZ41" s="83"/>
      <c r="DA41" s="81"/>
      <c r="DB41" s="82"/>
      <c r="DC41" s="59">
        <v>4.8240124639910099E-8</v>
      </c>
      <c r="DD41" s="83"/>
      <c r="DE41" s="81"/>
      <c r="DF41" s="82"/>
    </row>
    <row r="42" spans="1:110" x14ac:dyDescent="0.25">
      <c r="A42" s="40" t="s">
        <v>58</v>
      </c>
      <c r="B42" s="46" t="s">
        <v>164</v>
      </c>
      <c r="C42" s="47">
        <v>2020</v>
      </c>
      <c r="D42" s="73" t="e">
        <f t="shared" si="0"/>
        <v>#DIV/0!</v>
      </c>
      <c r="E42" s="73" t="e">
        <f t="shared" si="1"/>
        <v>#NUM!</v>
      </c>
      <c r="F42" s="73">
        <f t="shared" si="2"/>
        <v>0</v>
      </c>
      <c r="G42" s="73">
        <f t="shared" si="3"/>
        <v>0</v>
      </c>
      <c r="H42" s="39">
        <f t="shared" si="4"/>
        <v>0</v>
      </c>
      <c r="I42" s="40"/>
      <c r="J42" s="56"/>
      <c r="K42" s="59"/>
      <c r="L42" s="60"/>
      <c r="M42" s="61"/>
      <c r="N42" s="64"/>
      <c r="O42" s="70"/>
      <c r="P42" s="60"/>
      <c r="Q42" s="61"/>
      <c r="R42" s="64"/>
      <c r="S42" s="70"/>
      <c r="T42" s="60"/>
      <c r="U42" s="61"/>
      <c r="V42" s="64"/>
      <c r="W42" s="70"/>
      <c r="X42" s="83"/>
      <c r="Y42" s="81"/>
      <c r="Z42" s="82"/>
      <c r="AA42" s="59"/>
      <c r="AB42" s="83"/>
      <c r="AC42" s="81"/>
      <c r="AD42" s="82"/>
      <c r="AE42" s="59"/>
      <c r="AF42" s="83"/>
      <c r="AG42" s="81"/>
      <c r="AH42" s="82"/>
      <c r="AI42" s="59"/>
      <c r="AJ42" s="83"/>
      <c r="AK42" s="81"/>
      <c r="AL42" s="82"/>
      <c r="AM42" s="59"/>
      <c r="AN42" s="83"/>
      <c r="AO42" s="81"/>
      <c r="AP42" s="82"/>
      <c r="AQ42" s="59"/>
      <c r="AR42" s="83"/>
      <c r="AS42" s="81"/>
      <c r="AT42" s="82"/>
      <c r="AU42" s="59"/>
      <c r="AV42" s="83"/>
      <c r="AW42" s="81"/>
      <c r="AX42" s="82"/>
      <c r="AY42" s="59"/>
      <c r="AZ42" s="83"/>
      <c r="BA42" s="81"/>
      <c r="BB42" s="82"/>
      <c r="BC42" s="59"/>
      <c r="BD42" s="83"/>
      <c r="BE42" s="81"/>
      <c r="BF42" s="82"/>
      <c r="BG42" s="59"/>
      <c r="BH42" s="83"/>
      <c r="BI42" s="81"/>
      <c r="BJ42" s="82"/>
      <c r="BK42" s="59"/>
      <c r="BL42" s="83"/>
      <c r="BM42" s="81"/>
      <c r="BN42" s="82"/>
      <c r="BO42" s="59"/>
      <c r="BP42" s="83"/>
      <c r="BQ42" s="81"/>
      <c r="BR42" s="82"/>
      <c r="BS42" s="59"/>
      <c r="BT42" s="83"/>
      <c r="BU42" s="81"/>
      <c r="BV42" s="82"/>
      <c r="BW42" s="59"/>
      <c r="BX42" s="83"/>
      <c r="BY42" s="81"/>
      <c r="BZ42" s="82"/>
      <c r="CA42" s="59"/>
      <c r="CB42" s="83"/>
      <c r="CC42" s="81"/>
      <c r="CD42" s="82"/>
      <c r="CE42" s="59"/>
      <c r="CF42" s="83"/>
      <c r="CG42" s="81"/>
      <c r="CH42" s="82"/>
      <c r="CI42" s="59"/>
      <c r="CJ42" s="83"/>
      <c r="CK42" s="81"/>
      <c r="CL42" s="82"/>
      <c r="CM42" s="59"/>
      <c r="CN42" s="83"/>
      <c r="CO42" s="81"/>
      <c r="CP42" s="82"/>
      <c r="CQ42" s="59"/>
      <c r="CR42" s="83"/>
      <c r="CS42" s="81"/>
      <c r="CT42" s="82"/>
      <c r="CU42" s="59"/>
      <c r="CV42" s="83"/>
      <c r="CW42" s="81"/>
      <c r="CX42" s="82"/>
      <c r="CY42" s="59"/>
      <c r="CZ42" s="83"/>
      <c r="DA42" s="81"/>
      <c r="DB42" s="82"/>
      <c r="DC42" s="59">
        <v>1.4497662259946599E-4</v>
      </c>
      <c r="DD42" s="83"/>
      <c r="DE42" s="81"/>
      <c r="DF42" s="82"/>
    </row>
    <row r="43" spans="1:110" x14ac:dyDescent="0.25">
      <c r="A43" s="41"/>
      <c r="B43" s="48"/>
      <c r="C43" s="48"/>
      <c r="D43" s="41"/>
      <c r="E43" s="41"/>
      <c r="F43" s="41"/>
      <c r="G43" s="41"/>
      <c r="H43" s="52"/>
      <c r="I43" s="41"/>
      <c r="J43" s="57"/>
      <c r="K43" s="41"/>
      <c r="L43" s="41"/>
      <c r="M43" s="52"/>
      <c r="N43" s="57"/>
      <c r="O43" s="41"/>
      <c r="P43" s="41"/>
      <c r="Q43" s="52"/>
      <c r="R43" s="57"/>
      <c r="S43" s="41"/>
      <c r="T43" s="41"/>
      <c r="U43" s="52"/>
      <c r="V43" s="57"/>
      <c r="W43" s="41"/>
      <c r="X43" s="84"/>
      <c r="Y43" s="84"/>
      <c r="Z43" s="85"/>
      <c r="AA43" s="84"/>
      <c r="AB43" s="84"/>
      <c r="AC43" s="84"/>
      <c r="AD43" s="85"/>
      <c r="AE43" s="84"/>
      <c r="AF43" s="84"/>
      <c r="AG43" s="84"/>
      <c r="AH43" s="85"/>
      <c r="AI43" s="84"/>
      <c r="AJ43" s="84"/>
      <c r="AK43" s="84"/>
      <c r="AL43" s="85"/>
      <c r="AM43" s="84"/>
      <c r="AN43" s="84"/>
      <c r="AO43" s="84"/>
      <c r="AP43" s="85"/>
      <c r="AQ43" s="84"/>
      <c r="AR43" s="84"/>
      <c r="AS43" s="84"/>
      <c r="AT43" s="85"/>
      <c r="AU43" s="84"/>
      <c r="AV43" s="84"/>
      <c r="AW43" s="84"/>
      <c r="AX43" s="85"/>
      <c r="AY43" s="84"/>
      <c r="AZ43" s="84"/>
      <c r="BA43" s="84"/>
      <c r="BB43" s="85"/>
      <c r="BC43" s="84"/>
      <c r="BD43" s="84"/>
      <c r="BE43" s="84"/>
      <c r="BF43" s="85"/>
      <c r="BG43" s="84"/>
      <c r="BH43" s="84"/>
      <c r="BI43" s="84"/>
      <c r="BJ43" s="85"/>
      <c r="BK43" s="84"/>
      <c r="BL43" s="84"/>
      <c r="BM43" s="84"/>
      <c r="BN43" s="85"/>
      <c r="BO43" s="84"/>
      <c r="BP43" s="84"/>
      <c r="BQ43" s="84"/>
      <c r="BR43" s="85"/>
      <c r="BS43" s="84"/>
      <c r="BT43" s="84"/>
      <c r="BU43" s="84"/>
      <c r="BV43" s="85"/>
      <c r="BW43" s="84"/>
      <c r="BX43" s="84"/>
      <c r="BY43" s="84"/>
      <c r="BZ43" s="85"/>
      <c r="CA43" s="84"/>
      <c r="CB43" s="84"/>
      <c r="CC43" s="84"/>
      <c r="CD43" s="85"/>
      <c r="CE43" s="84"/>
      <c r="CF43" s="84"/>
      <c r="CG43" s="84"/>
      <c r="CH43" s="85"/>
      <c r="CI43" s="84"/>
      <c r="CJ43" s="84"/>
      <c r="CK43" s="84"/>
      <c r="CL43" s="85"/>
      <c r="CM43" s="84"/>
      <c r="CN43" s="84"/>
      <c r="CO43" s="84"/>
      <c r="CP43" s="85"/>
      <c r="CQ43" s="84"/>
      <c r="CR43" s="84"/>
      <c r="CS43" s="84"/>
      <c r="CT43" s="85"/>
      <c r="CU43" s="84"/>
      <c r="CV43" s="84"/>
      <c r="CW43" s="84"/>
      <c r="CX43" s="85"/>
      <c r="CY43" s="84"/>
      <c r="CZ43" s="84"/>
      <c r="DA43" s="84"/>
      <c r="DB43" s="85"/>
      <c r="DC43" s="84"/>
      <c r="DD43" s="84"/>
      <c r="DE43" s="84"/>
      <c r="DF43" s="85"/>
    </row>
    <row r="47" spans="1:110" x14ac:dyDescent="0.25">
      <c r="AN47" s="77"/>
    </row>
    <row r="48" spans="1:110" x14ac:dyDescent="0.25">
      <c r="AN48" s="77"/>
    </row>
    <row r="49" spans="15:40" x14ac:dyDescent="0.25">
      <c r="Q49" s="77"/>
      <c r="AN49" s="77"/>
    </row>
    <row r="50" spans="15:40" x14ac:dyDescent="0.25">
      <c r="AN50" s="77"/>
    </row>
    <row r="51" spans="15:40" x14ac:dyDescent="0.25">
      <c r="AN51" s="77"/>
    </row>
    <row r="52" spans="15:40" x14ac:dyDescent="0.25">
      <c r="AN52" s="77"/>
    </row>
    <row r="53" spans="15:40" x14ac:dyDescent="0.25">
      <c r="AN53" s="77"/>
    </row>
    <row r="54" spans="15:40" x14ac:dyDescent="0.25">
      <c r="O54" s="59"/>
      <c r="AN54" s="77"/>
    </row>
    <row r="55" spans="15:40" x14ac:dyDescent="0.25">
      <c r="O55" s="59"/>
      <c r="AN55" s="77"/>
    </row>
    <row r="56" spans="15:40" x14ac:dyDescent="0.25">
      <c r="O56" s="59"/>
      <c r="AN56" s="77"/>
    </row>
    <row r="57" spans="15:40" x14ac:dyDescent="0.25">
      <c r="O57" s="59"/>
    </row>
    <row r="68" spans="15:15" x14ac:dyDescent="0.25">
      <c r="O68" s="59"/>
    </row>
  </sheetData>
  <mergeCells count="51">
    <mergeCell ref="CE1:CH1"/>
    <mergeCell ref="CA2:CD2"/>
    <mergeCell ref="CE2:CH2"/>
    <mergeCell ref="AA1:AD1"/>
    <mergeCell ref="AY1:BB1"/>
    <mergeCell ref="BC1:BF1"/>
    <mergeCell ref="BG1:BJ1"/>
    <mergeCell ref="BC2:BF2"/>
    <mergeCell ref="BG2:BJ2"/>
    <mergeCell ref="AE2:AH2"/>
    <mergeCell ref="AI2:AL2"/>
    <mergeCell ref="AM2:AP2"/>
    <mergeCell ref="AQ2:AT2"/>
    <mergeCell ref="AE1:AH1"/>
    <mergeCell ref="AI1:AL1"/>
    <mergeCell ref="AM1:AP1"/>
    <mergeCell ref="D1:J1"/>
    <mergeCell ref="K1:N1"/>
    <mergeCell ref="O1:R1"/>
    <mergeCell ref="S1:V1"/>
    <mergeCell ref="W1:Z1"/>
    <mergeCell ref="AQ1:AT1"/>
    <mergeCell ref="K2:N2"/>
    <mergeCell ref="O2:R2"/>
    <mergeCell ref="S2:V2"/>
    <mergeCell ref="W2:Z2"/>
    <mergeCell ref="AA2:AD2"/>
    <mergeCell ref="AU2:AX2"/>
    <mergeCell ref="AY2:BB2"/>
    <mergeCell ref="DC2:DF2"/>
    <mergeCell ref="AU1:AX1"/>
    <mergeCell ref="DC1:DF1"/>
    <mergeCell ref="BK1:BN1"/>
    <mergeCell ref="BO1:BR1"/>
    <mergeCell ref="BK2:BN2"/>
    <mergeCell ref="BO2:BR2"/>
    <mergeCell ref="BS1:BV1"/>
    <mergeCell ref="BW1:BZ1"/>
    <mergeCell ref="BS2:BV2"/>
    <mergeCell ref="BW2:BZ2"/>
    <mergeCell ref="CA1:CD1"/>
    <mergeCell ref="CI1:CL1"/>
    <mergeCell ref="CI2:CL2"/>
    <mergeCell ref="CY1:DB1"/>
    <mergeCell ref="CY2:DB2"/>
    <mergeCell ref="CM1:CP1"/>
    <mergeCell ref="CM2:CP2"/>
    <mergeCell ref="CQ1:CT1"/>
    <mergeCell ref="CU1:CX1"/>
    <mergeCell ref="CQ2:CT2"/>
    <mergeCell ref="CU2:CX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P51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4.42578125" bestFit="1" customWidth="1"/>
  </cols>
  <sheetData>
    <row r="1" spans="1:94" x14ac:dyDescent="0.25">
      <c r="A1" s="53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167</v>
      </c>
      <c r="L1" s="121"/>
      <c r="M1" s="121"/>
      <c r="N1" s="122"/>
      <c r="O1" s="114" t="s">
        <v>201</v>
      </c>
      <c r="P1" s="115"/>
      <c r="Q1" s="115"/>
      <c r="R1" s="116"/>
      <c r="S1" s="120" t="s">
        <v>207</v>
      </c>
      <c r="T1" s="121"/>
      <c r="U1" s="121"/>
      <c r="V1" s="122"/>
      <c r="W1" s="114" t="s">
        <v>208</v>
      </c>
      <c r="X1" s="115"/>
      <c r="Y1" s="115"/>
      <c r="Z1" s="116"/>
      <c r="AA1" s="120" t="s">
        <v>209</v>
      </c>
      <c r="AB1" s="121"/>
      <c r="AC1" s="121"/>
      <c r="AD1" s="122"/>
      <c r="AE1" s="114" t="s">
        <v>187</v>
      </c>
      <c r="AF1" s="115"/>
      <c r="AG1" s="115"/>
      <c r="AH1" s="116"/>
      <c r="AI1" s="120" t="s">
        <v>210</v>
      </c>
      <c r="AJ1" s="121"/>
      <c r="AK1" s="121"/>
      <c r="AL1" s="122"/>
      <c r="AM1" s="114" t="s">
        <v>211</v>
      </c>
      <c r="AN1" s="115"/>
      <c r="AO1" s="115"/>
      <c r="AP1" s="116"/>
      <c r="AQ1" s="120" t="s">
        <v>169</v>
      </c>
      <c r="AR1" s="121"/>
      <c r="AS1" s="121"/>
      <c r="AT1" s="122"/>
      <c r="AU1" s="114" t="s">
        <v>213</v>
      </c>
      <c r="AV1" s="115"/>
      <c r="AW1" s="115"/>
      <c r="AX1" s="116"/>
      <c r="AY1" s="120" t="s">
        <v>190</v>
      </c>
      <c r="AZ1" s="121"/>
      <c r="BA1" s="121"/>
      <c r="BB1" s="122"/>
      <c r="BC1" s="114" t="s">
        <v>214</v>
      </c>
      <c r="BD1" s="115"/>
      <c r="BE1" s="115"/>
      <c r="BF1" s="116"/>
      <c r="BG1" s="120" t="s">
        <v>215</v>
      </c>
      <c r="BH1" s="121"/>
      <c r="BI1" s="121"/>
      <c r="BJ1" s="122"/>
      <c r="BK1" s="114" t="s">
        <v>216</v>
      </c>
      <c r="BL1" s="115"/>
      <c r="BM1" s="115"/>
      <c r="BN1" s="116"/>
      <c r="BO1" s="120" t="s">
        <v>218</v>
      </c>
      <c r="BP1" s="121"/>
      <c r="BQ1" s="121"/>
      <c r="BR1" s="122"/>
      <c r="BS1" s="114" t="s">
        <v>220</v>
      </c>
      <c r="BT1" s="115"/>
      <c r="BU1" s="115"/>
      <c r="BV1" s="116"/>
      <c r="BW1" s="120" t="s">
        <v>221</v>
      </c>
      <c r="BX1" s="121"/>
      <c r="BY1" s="121"/>
      <c r="BZ1" s="122"/>
      <c r="CA1" s="114" t="s">
        <v>222</v>
      </c>
      <c r="CB1" s="115"/>
      <c r="CC1" s="115"/>
      <c r="CD1" s="116"/>
      <c r="CE1" s="120" t="s">
        <v>229</v>
      </c>
      <c r="CF1" s="121"/>
      <c r="CG1" s="121"/>
      <c r="CH1" s="122"/>
      <c r="CI1" s="114" t="s">
        <v>232</v>
      </c>
      <c r="CJ1" s="115"/>
      <c r="CK1" s="115"/>
      <c r="CL1" s="116"/>
      <c r="CM1" s="120"/>
      <c r="CN1" s="121"/>
      <c r="CO1" s="121"/>
      <c r="CP1" s="122"/>
    </row>
    <row r="2" spans="1:9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198</v>
      </c>
      <c r="L2" s="130"/>
      <c r="M2" s="130"/>
      <c r="N2" s="131"/>
      <c r="O2" s="123" t="s">
        <v>202</v>
      </c>
      <c r="P2" s="124"/>
      <c r="Q2" s="124"/>
      <c r="R2" s="125"/>
      <c r="S2" s="129" t="s">
        <v>198</v>
      </c>
      <c r="T2" s="130"/>
      <c r="U2" s="130"/>
      <c r="V2" s="131"/>
      <c r="W2" s="123" t="s">
        <v>198</v>
      </c>
      <c r="X2" s="124"/>
      <c r="Y2" s="124"/>
      <c r="Z2" s="125"/>
      <c r="AA2" s="129" t="s">
        <v>198</v>
      </c>
      <c r="AB2" s="130"/>
      <c r="AC2" s="130"/>
      <c r="AD2" s="131"/>
      <c r="AE2" s="123" t="s">
        <v>198</v>
      </c>
      <c r="AF2" s="124"/>
      <c r="AG2" s="124"/>
      <c r="AH2" s="125"/>
      <c r="AI2" s="129" t="s">
        <v>198</v>
      </c>
      <c r="AJ2" s="130"/>
      <c r="AK2" s="130"/>
      <c r="AL2" s="131"/>
      <c r="AM2" s="123" t="s">
        <v>198</v>
      </c>
      <c r="AN2" s="124"/>
      <c r="AO2" s="124"/>
      <c r="AP2" s="125"/>
      <c r="AQ2" s="129" t="s">
        <v>212</v>
      </c>
      <c r="AR2" s="130"/>
      <c r="AS2" s="130"/>
      <c r="AT2" s="131"/>
      <c r="AU2" s="123" t="s">
        <v>212</v>
      </c>
      <c r="AV2" s="124"/>
      <c r="AW2" s="124"/>
      <c r="AX2" s="125"/>
      <c r="AY2" s="129" t="s">
        <v>212</v>
      </c>
      <c r="AZ2" s="130"/>
      <c r="BA2" s="130"/>
      <c r="BB2" s="131"/>
      <c r="BC2" s="123" t="s">
        <v>212</v>
      </c>
      <c r="BD2" s="124"/>
      <c r="BE2" s="124"/>
      <c r="BF2" s="125"/>
      <c r="BG2" s="129" t="s">
        <v>212</v>
      </c>
      <c r="BH2" s="130"/>
      <c r="BI2" s="130"/>
      <c r="BJ2" s="131"/>
      <c r="BK2" s="123" t="s">
        <v>198</v>
      </c>
      <c r="BL2" s="124"/>
      <c r="BM2" s="124"/>
      <c r="BN2" s="125"/>
      <c r="BO2" s="129" t="s">
        <v>212</v>
      </c>
      <c r="BP2" s="130"/>
      <c r="BQ2" s="130"/>
      <c r="BR2" s="131"/>
      <c r="BS2" s="123" t="s">
        <v>219</v>
      </c>
      <c r="BT2" s="124"/>
      <c r="BU2" s="124"/>
      <c r="BV2" s="125"/>
      <c r="BW2" s="129" t="s">
        <v>198</v>
      </c>
      <c r="BX2" s="130"/>
      <c r="BY2" s="130"/>
      <c r="BZ2" s="131"/>
      <c r="CA2" s="123" t="s">
        <v>224</v>
      </c>
      <c r="CB2" s="124"/>
      <c r="CC2" s="124"/>
      <c r="CD2" s="125"/>
      <c r="CE2" s="129" t="s">
        <v>198</v>
      </c>
      <c r="CF2" s="130"/>
      <c r="CG2" s="130"/>
      <c r="CH2" s="131"/>
      <c r="CI2" s="123" t="s">
        <v>198</v>
      </c>
      <c r="CJ2" s="124"/>
      <c r="CK2" s="124"/>
      <c r="CL2" s="125"/>
      <c r="CM2" s="129"/>
      <c r="CN2" s="130"/>
      <c r="CO2" s="130"/>
      <c r="CP2" s="131"/>
    </row>
    <row r="3" spans="1:9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</row>
    <row r="4" spans="1:9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</row>
    <row r="5" spans="1:9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780</v>
      </c>
      <c r="E5" s="73">
        <f>MEDIAN(K5,O5,S5,W5,AA5,AE5,AI5,AM5,AQ5,AU5,AY5,BC5,BG5,BK5,BO5,BS5,BW5,CA5,CE5)</f>
        <v>780</v>
      </c>
      <c r="F5" s="73">
        <f>MIN(K5,O5,S5,W5,AA5,AE5,AI5,AM5,AQ5,AU5,AY5,BC5,BG5,BK5,BO5,BS5,BW5,CA5,CE5)</f>
        <v>500</v>
      </c>
      <c r="G5" s="73">
        <f>MAX(K5,O5,S5,W5,AA5,AE5,AI5,AM5,AQ5,AU5,AY5,BC5,BG5,BK5,BO5,BS5,BW5,CA5,CE5)</f>
        <v>1060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>
        <v>2018</v>
      </c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/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>
        <v>1060</v>
      </c>
      <c r="BX5" s="39"/>
      <c r="BY5" s="61"/>
      <c r="BZ5" s="64"/>
      <c r="CA5" s="39">
        <v>500</v>
      </c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</row>
    <row r="6" spans="1:94" x14ac:dyDescent="0.25">
      <c r="A6" t="s">
        <v>181</v>
      </c>
      <c r="B6" s="46" t="s">
        <v>197</v>
      </c>
      <c r="C6" s="47">
        <v>2020</v>
      </c>
      <c r="D6" s="73">
        <f t="shared" ref="D6:D18" si="0">AVERAGE(K6,O6,S6,W6,AA6,AE6,AI6,AM6,AQ6,AU6,AY6,BC6,BG6,BK6,BO6,BS6,BW6,CA6,CE6)</f>
        <v>6.7906250000000004</v>
      </c>
      <c r="E6" s="73">
        <f t="shared" ref="E6:E18" si="1">MEDIAN(K6,O6,S6,W6,AA6,AE6,AI6,AM6,AQ6,AU6,AY6,BC6,BG6,BK6,BO6,BS6,BW6,CA6,CE6)</f>
        <v>6.9</v>
      </c>
      <c r="F6" s="73">
        <f t="shared" ref="F6:F18" si="2">MIN(K6,O6,S6,W6,AA6,AE6,AI6,AM6,AQ6,AU6,AY6,BC6,BG6,BK6,BO6,BS6,BW6,CA6,CE6)</f>
        <v>6</v>
      </c>
      <c r="G6" s="73">
        <f t="shared" ref="G6:G18" si="3">MAX(K6,O6,S6,W6,AA6,AE6,AI6,AM6,AQ6,AU6,AY6,BC6,BG6,BK6,BO6,BS6,BW6,CA6,CE6)</f>
        <v>7.3624999999999998</v>
      </c>
      <c r="H6" s="39">
        <f t="shared" ref="H6:H18" si="4">COUNT(K6,O6,S6,W6,AA6,AE6,AI6,AM6,AQ6,AU6,AY6,BC6,BG6,BK6,BO6,BS6,BW6,CA6,CE6)</f>
        <v>4</v>
      </c>
      <c r="I6" s="39"/>
      <c r="J6" s="63"/>
      <c r="K6" s="39"/>
      <c r="L6" s="39"/>
      <c r="M6" s="61">
        <v>2018</v>
      </c>
      <c r="N6" s="64"/>
      <c r="O6" s="39"/>
      <c r="P6" s="39"/>
      <c r="Q6" s="61"/>
      <c r="R6" s="64"/>
      <c r="S6" s="39"/>
      <c r="T6" s="39"/>
      <c r="U6" s="61"/>
      <c r="V6" s="64"/>
      <c r="W6" s="39">
        <v>7.3624999999999998</v>
      </c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/>
      <c r="AJ6" s="39"/>
      <c r="AK6" s="61"/>
      <c r="AL6" s="64"/>
      <c r="AM6" s="39"/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>
        <v>6.8</v>
      </c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>
        <v>7</v>
      </c>
      <c r="BT6" s="39"/>
      <c r="BU6" s="61"/>
      <c r="BV6" s="64"/>
      <c r="BW6" s="39"/>
      <c r="BX6" s="39"/>
      <c r="BY6" s="61"/>
      <c r="BZ6" s="64"/>
      <c r="CA6" s="39">
        <v>6</v>
      </c>
      <c r="CB6" s="39"/>
      <c r="CC6" s="61"/>
      <c r="CD6" s="64"/>
      <c r="CE6" s="39"/>
      <c r="CF6" s="39" t="s">
        <v>230</v>
      </c>
      <c r="CG6" s="61"/>
      <c r="CH6" s="64"/>
      <c r="CI6" s="39"/>
      <c r="CJ6" s="39"/>
      <c r="CK6" s="61"/>
      <c r="CL6" s="64"/>
      <c r="CM6" s="39"/>
      <c r="CN6" s="39"/>
      <c r="CO6" s="61"/>
      <c r="CP6" s="64"/>
    </row>
    <row r="7" spans="1:94" x14ac:dyDescent="0.25">
      <c r="A7" t="s">
        <v>12</v>
      </c>
      <c r="B7" s="46" t="s">
        <v>197</v>
      </c>
      <c r="C7" s="47">
        <v>2020</v>
      </c>
      <c r="D7" s="73">
        <f t="shared" si="0"/>
        <v>475.76499999999999</v>
      </c>
      <c r="E7" s="73">
        <f t="shared" si="1"/>
        <v>409.28</v>
      </c>
      <c r="F7" s="73">
        <f t="shared" si="2"/>
        <v>239</v>
      </c>
      <c r="G7" s="73">
        <f t="shared" si="3"/>
        <v>845.5</v>
      </c>
      <c r="H7" s="39">
        <f t="shared" si="4"/>
        <v>4</v>
      </c>
      <c r="I7" s="39"/>
      <c r="J7" s="63"/>
      <c r="K7" s="39"/>
      <c r="L7" s="39"/>
      <c r="M7" s="61">
        <v>2018</v>
      </c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>
        <v>845.5</v>
      </c>
      <c r="BT7" s="39"/>
      <c r="BU7" s="61"/>
      <c r="BV7" s="64"/>
      <c r="BW7" s="39">
        <v>239</v>
      </c>
      <c r="BX7" s="39"/>
      <c r="BY7" s="61"/>
      <c r="BZ7" s="64"/>
      <c r="CA7" s="39">
        <v>525</v>
      </c>
      <c r="CB7" s="39"/>
      <c r="CC7" s="61"/>
      <c r="CD7" s="64"/>
      <c r="CE7" s="39">
        <v>293.56</v>
      </c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</row>
    <row r="8" spans="1:94" x14ac:dyDescent="0.25">
      <c r="A8" t="s">
        <v>15</v>
      </c>
      <c r="B8" s="46" t="s">
        <v>197</v>
      </c>
      <c r="C8" s="47">
        <v>2020</v>
      </c>
      <c r="D8" s="73">
        <f t="shared" si="0"/>
        <v>4796</v>
      </c>
      <c r="E8" s="73">
        <f t="shared" si="1"/>
        <v>3850</v>
      </c>
      <c r="F8" s="73">
        <f t="shared" si="2"/>
        <v>1484</v>
      </c>
      <c r="G8" s="73">
        <f t="shared" si="3"/>
        <v>10000</v>
      </c>
      <c r="H8" s="39">
        <f t="shared" si="4"/>
        <v>4</v>
      </c>
      <c r="I8" s="39"/>
      <c r="J8" s="63"/>
      <c r="K8" s="39">
        <v>4700</v>
      </c>
      <c r="L8" s="39"/>
      <c r="M8" s="61">
        <v>2018</v>
      </c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  <c r="AA8" s="39"/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/>
      <c r="AN8" s="39"/>
      <c r="AO8" s="61"/>
      <c r="AP8" s="64"/>
      <c r="AQ8" s="39"/>
      <c r="AR8" s="39"/>
      <c r="AS8" s="61"/>
      <c r="AT8" s="64"/>
      <c r="AU8" s="39"/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>
        <v>10000</v>
      </c>
      <c r="BX8" s="39"/>
      <c r="BY8" s="61"/>
      <c r="BZ8" s="64"/>
      <c r="CA8" s="39">
        <v>3000</v>
      </c>
      <c r="CB8" s="39"/>
      <c r="CC8" s="61"/>
      <c r="CD8" s="64"/>
      <c r="CE8" s="39">
        <v>1484</v>
      </c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</row>
    <row r="9" spans="1:94" x14ac:dyDescent="0.25">
      <c r="A9" t="s">
        <v>16</v>
      </c>
      <c r="B9" s="46" t="s">
        <v>197</v>
      </c>
      <c r="C9" s="47">
        <v>2020</v>
      </c>
      <c r="D9" s="73">
        <f t="shared" si="0"/>
        <v>22.705069444444444</v>
      </c>
      <c r="E9" s="73">
        <f t="shared" si="1"/>
        <v>22.78</v>
      </c>
      <c r="F9" s="73">
        <f t="shared" si="2"/>
        <v>12</v>
      </c>
      <c r="G9" s="73">
        <f t="shared" si="3"/>
        <v>42</v>
      </c>
      <c r="H9" s="39">
        <f t="shared" si="4"/>
        <v>18</v>
      </c>
      <c r="I9" s="39"/>
      <c r="J9" s="63"/>
      <c r="K9" s="39">
        <v>13</v>
      </c>
      <c r="L9" s="39"/>
      <c r="M9" s="61">
        <v>2018</v>
      </c>
      <c r="N9" s="64"/>
      <c r="O9" s="39">
        <v>15</v>
      </c>
      <c r="P9" s="39"/>
      <c r="Q9" s="61"/>
      <c r="R9" s="64"/>
      <c r="S9" s="39"/>
      <c r="T9" s="39"/>
      <c r="U9" s="61"/>
      <c r="V9" s="64"/>
      <c r="W9" s="39">
        <v>18.40625</v>
      </c>
      <c r="X9" s="39"/>
      <c r="Y9" s="61"/>
      <c r="Z9" s="64"/>
      <c r="AA9" s="39">
        <v>14</v>
      </c>
      <c r="AB9" s="39"/>
      <c r="AC9" s="61"/>
      <c r="AD9" s="64"/>
      <c r="AE9" s="39">
        <v>27.7</v>
      </c>
      <c r="AF9" s="39"/>
      <c r="AG9" s="61"/>
      <c r="AH9" s="64"/>
      <c r="AI9" s="39">
        <v>19.5</v>
      </c>
      <c r="AJ9" s="39"/>
      <c r="AK9" s="61"/>
      <c r="AL9" s="64"/>
      <c r="AM9" s="39">
        <v>27</v>
      </c>
      <c r="AN9" s="39"/>
      <c r="AO9" s="61"/>
      <c r="AP9" s="64"/>
      <c r="AQ9" s="39">
        <v>27.5</v>
      </c>
      <c r="AR9" s="39"/>
      <c r="AS9" s="61"/>
      <c r="AT9" s="64"/>
      <c r="AU9" s="39">
        <v>12</v>
      </c>
      <c r="AV9" s="39"/>
      <c r="AW9" s="61"/>
      <c r="AX9" s="64"/>
      <c r="AY9" s="39">
        <v>42</v>
      </c>
      <c r="AZ9" s="39"/>
      <c r="BA9" s="61"/>
      <c r="BB9" s="64"/>
      <c r="BC9" s="39">
        <v>27.5</v>
      </c>
      <c r="BD9" s="39"/>
      <c r="BE9" s="61"/>
      <c r="BF9" s="64"/>
      <c r="BG9" s="39">
        <v>18.149999999999999</v>
      </c>
      <c r="BH9" s="39"/>
      <c r="BI9" s="61"/>
      <c r="BJ9" s="64"/>
      <c r="BK9" s="39">
        <v>30.375</v>
      </c>
      <c r="BL9" s="39"/>
      <c r="BM9" s="61"/>
      <c r="BN9" s="64"/>
      <c r="BO9" s="39">
        <v>24</v>
      </c>
      <c r="BP9" s="39"/>
      <c r="BQ9" s="61"/>
      <c r="BR9" s="64"/>
      <c r="BS9" s="39">
        <v>25</v>
      </c>
      <c r="BT9" s="39"/>
      <c r="BU9" s="61"/>
      <c r="BV9" s="64"/>
      <c r="BW9" s="39">
        <v>29</v>
      </c>
      <c r="BX9" s="39"/>
      <c r="BY9" s="61"/>
      <c r="BZ9" s="64"/>
      <c r="CA9" s="39">
        <v>17</v>
      </c>
      <c r="CB9" s="39"/>
      <c r="CC9" s="61"/>
      <c r="CD9" s="64"/>
      <c r="CE9" s="39">
        <v>21.56</v>
      </c>
      <c r="CF9" s="39"/>
      <c r="CG9" s="61"/>
      <c r="CH9" s="64"/>
      <c r="CI9" s="39">
        <v>21</v>
      </c>
      <c r="CJ9" s="39"/>
      <c r="CK9" s="61"/>
      <c r="CL9" s="64"/>
      <c r="CM9" s="39"/>
      <c r="CN9" s="39"/>
      <c r="CO9" s="61"/>
      <c r="CP9" s="64"/>
    </row>
    <row r="10" spans="1:94" x14ac:dyDescent="0.25">
      <c r="A10" t="s">
        <v>29</v>
      </c>
      <c r="B10" s="46" t="s">
        <v>197</v>
      </c>
      <c r="C10" s="47">
        <v>2020</v>
      </c>
      <c r="D10" s="73">
        <f t="shared" ref="D10" si="5">AVERAGE(K10,O10,S10,W10,AA10,AE10,AI10,AM10,AQ10,AU10,AY10,BC10,BG10,BK10,BO10,BS10,BW10,CA10,CE10)</f>
        <v>6720</v>
      </c>
      <c r="E10" s="73">
        <f t="shared" ref="E10" si="6">MEDIAN(K10,O10,S10,W10,AA10,AE10,AI10,AM10,AQ10,AU10,AY10,BC10,BG10,BK10,BO10,BS10,BW10,CA10,CE10)</f>
        <v>6720</v>
      </c>
      <c r="F10" s="73">
        <f t="shared" ref="F10" si="7">MIN(K10,O10,S10,W10,AA10,AE10,AI10,AM10,AQ10,AU10,AY10,BC10,BG10,BK10,BO10,BS10,BW10,CA10,CE10)</f>
        <v>6720</v>
      </c>
      <c r="G10" s="73">
        <f t="shared" ref="G10" si="8">MAX(K10,O10,S10,W10,AA10,AE10,AI10,AM10,AQ10,AU10,AY10,BC10,BG10,BK10,BO10,BS10,BW10,CA10,CE10)</f>
        <v>6720</v>
      </c>
      <c r="H10" s="39">
        <f t="shared" ref="H10" si="9">COUNT(K10,O10,S10,W10,AA10,AE10,AI10,AM10,AQ10,AU10,AY10,BC10,BG10,BK10,BO10,BS10,BW10,CA10,CE10)</f>
        <v>1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/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>
        <v>6720</v>
      </c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</row>
    <row r="11" spans="1:94" x14ac:dyDescent="0.25">
      <c r="A11" t="s">
        <v>33</v>
      </c>
      <c r="B11" s="46" t="s">
        <v>197</v>
      </c>
      <c r="C11" s="47">
        <v>2020</v>
      </c>
      <c r="D11" s="73">
        <f t="shared" si="0"/>
        <v>423.25</v>
      </c>
      <c r="E11" s="73">
        <f t="shared" si="1"/>
        <v>423.25</v>
      </c>
      <c r="F11" s="73">
        <f t="shared" si="2"/>
        <v>56.5</v>
      </c>
      <c r="G11" s="73">
        <f t="shared" si="3"/>
        <v>790</v>
      </c>
      <c r="H11" s="39">
        <f t="shared" si="4"/>
        <v>2</v>
      </c>
      <c r="I11" s="39"/>
      <c r="J11" s="63"/>
      <c r="K11" s="39"/>
      <c r="L11" s="39"/>
      <c r="M11" s="61">
        <v>2018</v>
      </c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/>
      <c r="AJ11" s="39"/>
      <c r="AK11" s="61"/>
      <c r="AL11" s="64"/>
      <c r="AM11" s="39"/>
      <c r="AN11" s="39"/>
      <c r="AO11" s="61"/>
      <c r="AP11" s="64"/>
      <c r="AQ11" s="39"/>
      <c r="AR11" s="39"/>
      <c r="AS11" s="61"/>
      <c r="AT11" s="64"/>
      <c r="AU11" s="39"/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>
        <v>56.5</v>
      </c>
      <c r="BT11" s="39"/>
      <c r="BU11" s="61"/>
      <c r="BV11" s="64"/>
      <c r="BW11" s="39"/>
      <c r="BX11" s="39"/>
      <c r="BY11" s="61"/>
      <c r="BZ11" s="64"/>
      <c r="CA11" s="39">
        <v>790</v>
      </c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</row>
    <row r="12" spans="1:94" x14ac:dyDescent="0.25">
      <c r="A12" t="s">
        <v>34</v>
      </c>
      <c r="B12" s="46" t="s">
        <v>197</v>
      </c>
      <c r="C12" s="47">
        <v>2020</v>
      </c>
      <c r="D12" s="73">
        <f t="shared" si="0"/>
        <v>103.43833333333333</v>
      </c>
      <c r="E12" s="73">
        <f t="shared" si="1"/>
        <v>109</v>
      </c>
      <c r="F12" s="73">
        <f t="shared" si="2"/>
        <v>75.314999999999998</v>
      </c>
      <c r="G12" s="73">
        <f t="shared" si="3"/>
        <v>126</v>
      </c>
      <c r="H12" s="39">
        <f t="shared" si="4"/>
        <v>3</v>
      </c>
      <c r="I12" s="39"/>
      <c r="J12" s="63"/>
      <c r="K12" s="39"/>
      <c r="L12" s="39"/>
      <c r="M12" s="61">
        <v>2018</v>
      </c>
      <c r="N12" s="64"/>
      <c r="O12" s="39"/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/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>
        <v>126</v>
      </c>
      <c r="BT12" s="39"/>
      <c r="BU12" s="61"/>
      <c r="BV12" s="64"/>
      <c r="BW12" s="39"/>
      <c r="BX12" s="39"/>
      <c r="BY12" s="61"/>
      <c r="BZ12" s="64"/>
      <c r="CA12" s="39">
        <v>109</v>
      </c>
      <c r="CB12" s="39"/>
      <c r="CC12" s="61"/>
      <c r="CD12" s="64"/>
      <c r="CE12" s="39">
        <v>75.314999999999998</v>
      </c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</row>
    <row r="13" spans="1:94" x14ac:dyDescent="0.25">
      <c r="A13" t="s">
        <v>37</v>
      </c>
      <c r="B13" s="46" t="s">
        <v>197</v>
      </c>
      <c r="C13" s="47">
        <v>2020</v>
      </c>
      <c r="D13" s="73">
        <f t="shared" si="0"/>
        <v>179.25361842105264</v>
      </c>
      <c r="E13" s="73">
        <f t="shared" si="1"/>
        <v>183</v>
      </c>
      <c r="F13" s="73">
        <f t="shared" si="2"/>
        <v>116</v>
      </c>
      <c r="G13" s="73">
        <f t="shared" si="3"/>
        <v>217.19374999999999</v>
      </c>
      <c r="H13" s="39">
        <f t="shared" si="4"/>
        <v>19</v>
      </c>
      <c r="I13" s="39"/>
      <c r="J13" s="63"/>
      <c r="K13" s="39">
        <v>200</v>
      </c>
      <c r="L13" s="39"/>
      <c r="M13" s="61">
        <v>2018</v>
      </c>
      <c r="N13" s="64"/>
      <c r="O13" s="77">
        <v>201.5</v>
      </c>
      <c r="P13" s="39"/>
      <c r="Q13" s="61"/>
      <c r="R13" s="64"/>
      <c r="S13" s="39">
        <v>216</v>
      </c>
      <c r="T13" s="39"/>
      <c r="U13" s="61"/>
      <c r="V13" s="64"/>
      <c r="W13" s="39">
        <v>217.19374999999999</v>
      </c>
      <c r="X13" s="39"/>
      <c r="Y13" s="61"/>
      <c r="Z13" s="64"/>
      <c r="AA13" s="39">
        <v>150</v>
      </c>
      <c r="AB13" s="39"/>
      <c r="AC13" s="61"/>
      <c r="AD13" s="64"/>
      <c r="AE13" s="39">
        <v>198</v>
      </c>
      <c r="AF13" s="39"/>
      <c r="AG13" s="61"/>
      <c r="AH13" s="64"/>
      <c r="AI13" s="39">
        <v>175.5</v>
      </c>
      <c r="AJ13" s="39"/>
      <c r="AK13" s="61"/>
      <c r="AL13" s="64"/>
      <c r="AM13" s="39">
        <v>198</v>
      </c>
      <c r="AN13" s="39"/>
      <c r="AO13" s="61"/>
      <c r="AP13" s="64"/>
      <c r="AQ13" s="39">
        <v>155</v>
      </c>
      <c r="AR13" s="39"/>
      <c r="AS13" s="61"/>
      <c r="AT13" s="64"/>
      <c r="AU13" s="39">
        <v>116</v>
      </c>
      <c r="AV13" s="39"/>
      <c r="AW13" s="61"/>
      <c r="AX13" s="64"/>
      <c r="AY13" s="39">
        <v>203</v>
      </c>
      <c r="AZ13" s="39"/>
      <c r="BA13" s="61"/>
      <c r="BB13" s="64"/>
      <c r="BC13" s="39">
        <v>155</v>
      </c>
      <c r="BD13" s="39"/>
      <c r="BE13" s="61"/>
      <c r="BF13" s="64"/>
      <c r="BG13" s="39">
        <v>198.83</v>
      </c>
      <c r="BH13" s="39"/>
      <c r="BI13" s="61"/>
      <c r="BJ13" s="64"/>
      <c r="BK13" s="39">
        <v>151.875</v>
      </c>
      <c r="BL13" s="39"/>
      <c r="BM13" s="61"/>
      <c r="BN13" s="64"/>
      <c r="BO13" s="39">
        <v>170</v>
      </c>
      <c r="BP13" s="39"/>
      <c r="BQ13" s="61"/>
      <c r="BR13" s="64"/>
      <c r="BS13" s="39">
        <v>186</v>
      </c>
      <c r="BT13" s="39"/>
      <c r="BU13" s="61"/>
      <c r="BV13" s="64"/>
      <c r="BW13" s="39">
        <v>183</v>
      </c>
      <c r="BX13" s="39"/>
      <c r="BY13" s="61"/>
      <c r="BZ13" s="64"/>
      <c r="CA13" s="39">
        <v>180</v>
      </c>
      <c r="CB13" s="39"/>
      <c r="CC13" s="61"/>
      <c r="CD13" s="64"/>
      <c r="CE13" s="39">
        <v>150.91999999999999</v>
      </c>
      <c r="CF13" s="39"/>
      <c r="CG13" s="61"/>
      <c r="CH13" s="64"/>
      <c r="CI13" s="39">
        <v>185</v>
      </c>
      <c r="CJ13" s="39"/>
      <c r="CK13" s="61"/>
      <c r="CL13" s="64"/>
      <c r="CM13" s="39"/>
      <c r="CN13" s="39"/>
      <c r="CO13" s="61"/>
      <c r="CP13" s="64"/>
    </row>
    <row r="14" spans="1:94" x14ac:dyDescent="0.25">
      <c r="A14" t="s">
        <v>38</v>
      </c>
      <c r="B14" s="46" t="s">
        <v>197</v>
      </c>
      <c r="C14" s="47">
        <v>2020</v>
      </c>
      <c r="D14" s="73">
        <f t="shared" si="0"/>
        <v>342.91399999999999</v>
      </c>
      <c r="E14" s="73">
        <f t="shared" si="1"/>
        <v>376.57</v>
      </c>
      <c r="F14" s="73">
        <f t="shared" si="2"/>
        <v>111</v>
      </c>
      <c r="G14" s="73">
        <f t="shared" si="3"/>
        <v>610</v>
      </c>
      <c r="H14" s="39">
        <f t="shared" si="4"/>
        <v>5</v>
      </c>
      <c r="I14" s="39"/>
      <c r="J14" s="63"/>
      <c r="K14" s="39">
        <v>377</v>
      </c>
      <c r="L14" s="39"/>
      <c r="M14" s="61">
        <v>2018</v>
      </c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/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>
        <v>610</v>
      </c>
      <c r="BT14" s="39"/>
      <c r="BU14" s="61"/>
      <c r="BV14" s="64"/>
      <c r="BW14" s="39">
        <v>111</v>
      </c>
      <c r="BX14" s="39"/>
      <c r="BY14" s="61"/>
      <c r="BZ14" s="64"/>
      <c r="CA14" s="39">
        <v>240</v>
      </c>
      <c r="CB14" s="39"/>
      <c r="CC14" s="61"/>
      <c r="CD14" s="64"/>
      <c r="CE14" s="39">
        <v>376.57</v>
      </c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</row>
    <row r="15" spans="1:94" x14ac:dyDescent="0.25">
      <c r="A15" t="s">
        <v>39</v>
      </c>
      <c r="B15" s="46" t="s">
        <v>197</v>
      </c>
      <c r="C15" s="47">
        <v>2020</v>
      </c>
      <c r="D15" s="73">
        <f t="shared" ref="D15:D16" si="10">AVERAGE(K15,O15,S15,W15,AA15,AE15,AI15,AM15,AQ15,AU15,AY15,BC15,BG15,BK15,BO15,BS15,BW15,CA15,CE15)</f>
        <v>37.657000000000004</v>
      </c>
      <c r="E15" s="73">
        <f t="shared" ref="E15:E16" si="11">MEDIAN(K15,O15,S15,W15,AA15,AE15,AI15,AM15,AQ15,AU15,AY15,BC15,BG15,BK15,BO15,BS15,BW15,CA15,CE15)</f>
        <v>37.657000000000004</v>
      </c>
      <c r="F15" s="73">
        <f t="shared" ref="F15:F16" si="12">MIN(K15,O15,S15,W15,AA15,AE15,AI15,AM15,AQ15,AU15,AY15,BC15,BG15,BK15,BO15,BS15,BW15,CA15,CE15)</f>
        <v>37.657000000000004</v>
      </c>
      <c r="G15" s="73">
        <f t="shared" ref="G15:G16" si="13">MAX(K15,O15,S15,W15,AA15,AE15,AI15,AM15,AQ15,AU15,AY15,BC15,BG15,BK15,BO15,BS15,BW15,CA15,CE15)</f>
        <v>37.657000000000004</v>
      </c>
      <c r="H15" s="39">
        <f>COUNT(K15,O15,S15,W15,AA15,AE15,AI15,AM15,AQ15,AU15,AY15,BC15,BG15,BK15,BO15,BS15,BW15,CA16,#REF!)</f>
        <v>1</v>
      </c>
      <c r="I15" s="39"/>
      <c r="J15" s="63"/>
      <c r="K15" s="39"/>
      <c r="L15" s="39"/>
      <c r="M15" s="61">
        <v>2018</v>
      </c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/>
      <c r="AF15" s="39"/>
      <c r="AG15" s="61"/>
      <c r="AH15" s="64"/>
      <c r="AI15" s="39"/>
      <c r="AJ15" s="39"/>
      <c r="AK15" s="61"/>
      <c r="AL15" s="64"/>
      <c r="AM15" s="39"/>
      <c r="AN15" s="39"/>
      <c r="AO15" s="61"/>
      <c r="AP15" s="64"/>
      <c r="AQ15" s="39"/>
      <c r="AR15" s="39"/>
      <c r="AS15" s="61"/>
      <c r="AT15" s="64"/>
      <c r="AU15" s="39"/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  <c r="BW15" s="39"/>
      <c r="BX15" s="39"/>
      <c r="BY15" s="61"/>
      <c r="BZ15" s="64"/>
      <c r="CB15" s="39"/>
      <c r="CC15" s="61"/>
      <c r="CD15" s="64"/>
      <c r="CE15" s="39">
        <v>37.657000000000004</v>
      </c>
      <c r="CF15" s="39"/>
      <c r="CG15" s="61"/>
      <c r="CH15" s="64"/>
      <c r="CI15" s="39"/>
      <c r="CJ15" s="39"/>
      <c r="CK15" s="61"/>
      <c r="CL15" s="64"/>
      <c r="CM15" s="39"/>
      <c r="CN15" s="39"/>
      <c r="CO15" s="61"/>
      <c r="CP15" s="64"/>
    </row>
    <row r="16" spans="1:94" x14ac:dyDescent="0.25">
      <c r="A16" t="s">
        <v>131</v>
      </c>
      <c r="B16" s="46" t="s">
        <v>197</v>
      </c>
      <c r="C16" s="47">
        <v>2020</v>
      </c>
      <c r="D16" s="73">
        <f t="shared" si="10"/>
        <v>32.06071428571429</v>
      </c>
      <c r="E16" s="73">
        <f t="shared" si="11"/>
        <v>35</v>
      </c>
      <c r="F16" s="73">
        <f t="shared" si="12"/>
        <v>12</v>
      </c>
      <c r="G16" s="73">
        <f t="shared" si="13"/>
        <v>50.625</v>
      </c>
      <c r="H16" s="39">
        <f>COUNT(K16,O16,S16,W16,AA16,AE16,AI16,AM16,AQ16,AU16,AY16,BC16,BG16,BK16,BO16,BS16,BW16,#REF!,CE15)</f>
        <v>6</v>
      </c>
      <c r="I16" s="39"/>
      <c r="J16" s="63"/>
      <c r="K16" s="39"/>
      <c r="L16" s="39"/>
      <c r="M16" s="61">
        <v>2018</v>
      </c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  <c r="AA16" s="39"/>
      <c r="AB16" s="39"/>
      <c r="AC16" s="61"/>
      <c r="AD16" s="64"/>
      <c r="AE16" s="39"/>
      <c r="AF16" s="39"/>
      <c r="AG16" s="61"/>
      <c r="AH16" s="64"/>
      <c r="AI16" s="39">
        <v>13</v>
      </c>
      <c r="AJ16" s="39"/>
      <c r="AK16" s="61"/>
      <c r="AL16" s="64"/>
      <c r="AM16" s="39"/>
      <c r="AN16" s="39"/>
      <c r="AO16" s="61"/>
      <c r="AP16" s="64"/>
      <c r="AQ16" s="39"/>
      <c r="AR16" s="39"/>
      <c r="AS16" s="61"/>
      <c r="AT16" s="64"/>
      <c r="AU16" s="39">
        <v>12</v>
      </c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>
        <v>50.625</v>
      </c>
      <c r="BL16" s="39"/>
      <c r="BM16" s="61"/>
      <c r="BN16" s="64"/>
      <c r="BO16" s="39"/>
      <c r="BP16" s="39"/>
      <c r="BQ16" s="61"/>
      <c r="BR16" s="64"/>
      <c r="BS16" s="39">
        <v>35</v>
      </c>
      <c r="BT16" s="39"/>
      <c r="BU16" s="61"/>
      <c r="BV16" s="64"/>
      <c r="BW16" s="39">
        <v>48</v>
      </c>
      <c r="BX16" s="39"/>
      <c r="BY16" s="61"/>
      <c r="BZ16" s="64"/>
      <c r="CA16" s="39">
        <v>35</v>
      </c>
      <c r="CB16" s="39"/>
      <c r="CC16" s="61"/>
      <c r="CD16" s="64"/>
      <c r="CE16">
        <v>30.8</v>
      </c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</row>
    <row r="17" spans="1:94" x14ac:dyDescent="0.25">
      <c r="A17" t="s">
        <v>196</v>
      </c>
      <c r="B17" s="46" t="s">
        <v>197</v>
      </c>
      <c r="C17" s="47">
        <v>2020</v>
      </c>
      <c r="D17" s="73">
        <f t="shared" si="0"/>
        <v>125750</v>
      </c>
      <c r="E17" s="73">
        <f t="shared" si="1"/>
        <v>125750</v>
      </c>
      <c r="F17" s="73">
        <f t="shared" si="2"/>
        <v>119500</v>
      </c>
      <c r="G17" s="73">
        <f t="shared" si="3"/>
        <v>132000</v>
      </c>
      <c r="H17" s="39">
        <f t="shared" si="4"/>
        <v>2</v>
      </c>
      <c r="I17" s="39"/>
      <c r="J17" s="63"/>
      <c r="K17" s="39"/>
      <c r="L17" s="39"/>
      <c r="M17" s="61">
        <v>2018</v>
      </c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/>
      <c r="AJ17" s="39"/>
      <c r="AK17" s="61"/>
      <c r="AL17" s="64"/>
      <c r="AM17" s="39"/>
      <c r="AN17" s="39"/>
      <c r="AO17" s="61"/>
      <c r="AP17" s="64"/>
      <c r="AQ17" s="39"/>
      <c r="AR17" s="39"/>
      <c r="AS17" s="61"/>
      <c r="AT17" s="64"/>
      <c r="AU17" s="39"/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>
        <v>132000</v>
      </c>
      <c r="BX17" s="39"/>
      <c r="BY17" s="61"/>
      <c r="BZ17" s="64"/>
      <c r="CA17" s="39">
        <v>119500</v>
      </c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</row>
    <row r="18" spans="1:94" x14ac:dyDescent="0.25">
      <c r="A18" t="s">
        <v>134</v>
      </c>
      <c r="B18" s="46" t="s">
        <v>197</v>
      </c>
      <c r="C18" s="47">
        <v>2020</v>
      </c>
      <c r="D18" s="73">
        <f t="shared" si="0"/>
        <v>4.666666666666667</v>
      </c>
      <c r="E18" s="73">
        <f t="shared" si="1"/>
        <v>6.08</v>
      </c>
      <c r="F18" s="73">
        <f t="shared" si="2"/>
        <v>0.54</v>
      </c>
      <c r="G18" s="73">
        <f t="shared" si="3"/>
        <v>7</v>
      </c>
      <c r="H18" s="39">
        <f t="shared" si="4"/>
        <v>6</v>
      </c>
      <c r="I18" s="39"/>
      <c r="J18" s="63"/>
      <c r="K18" s="39"/>
      <c r="L18" s="39"/>
      <c r="M18" s="61">
        <v>2018</v>
      </c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>
        <v>6</v>
      </c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>
        <v>0.54</v>
      </c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>
        <v>7</v>
      </c>
      <c r="BT18" s="39"/>
      <c r="BU18" s="61"/>
      <c r="BV18" s="64"/>
      <c r="BW18" s="39">
        <v>1.3</v>
      </c>
      <c r="BX18" s="39"/>
      <c r="BY18" s="61"/>
      <c r="BZ18" s="64"/>
      <c r="CA18" s="39">
        <v>7</v>
      </c>
      <c r="CB18" s="39"/>
      <c r="CC18" s="61"/>
      <c r="CD18" s="64"/>
      <c r="CE18" s="39">
        <v>6.1599999999999993</v>
      </c>
      <c r="CF18" s="39"/>
      <c r="CG18" s="61"/>
      <c r="CH18" s="64"/>
      <c r="CI18" s="39">
        <v>8</v>
      </c>
      <c r="CJ18" s="39"/>
      <c r="CK18" s="61"/>
      <c r="CL18" s="64"/>
      <c r="CM18" s="39"/>
      <c r="CN18" s="39"/>
      <c r="CO18" s="61"/>
      <c r="CP18" s="64"/>
    </row>
    <row r="19" spans="1:94" x14ac:dyDescent="0.25">
      <c r="A19" t="s">
        <v>55</v>
      </c>
      <c r="B19" s="46" t="s">
        <v>197</v>
      </c>
      <c r="C19" s="47">
        <v>2020</v>
      </c>
      <c r="D19" s="73">
        <f>AVERAGE(K19,O19,S19,W19,AA19,AE19,AI19,AM19,AQ19,AU19,AY19,BC19,BG19,BK19,BO19,BS20,BW19,CA20,CE19)</f>
        <v>3680.1262333333329</v>
      </c>
      <c r="E19" s="73">
        <f>MEDIAN(K19,O19,S19,W19,AA19,AE19,AI19,AM19,AQ19,AU19,AY19,BC19,BG19,BK19,BO19,BS20,BW19,CA20,CE19)</f>
        <v>5450</v>
      </c>
      <c r="F19" s="73">
        <f>MIN(K19,O19,S19,W19,AA19,AE19,AI19,AM19,AQ19,AU19,AY19,BC19,BG19,BK19,BO19,BS20,BW19,CA20,CE19)</f>
        <v>90.378700000000009</v>
      </c>
      <c r="G19" s="73">
        <f>MAX(K19,O19,S19,W19,AA19,AE19,AI19,AM19,AQ19,AU19,AY19,BC19,BG19,BK19,BO19,BS20,BW19,CA20,CE19)</f>
        <v>5500</v>
      </c>
      <c r="H19" s="39">
        <f>COUNT(K19,O19,S19,W19,AA19,AE19,AI19,AM19,AQ19,AU19,AY19,BC19,BG19,BK19,BO19,BS20,BW19,CA20,CE19)</f>
        <v>3</v>
      </c>
      <c r="I19" s="39"/>
      <c r="J19" s="63"/>
      <c r="K19" s="39"/>
      <c r="L19" s="39"/>
      <c r="M19" s="61">
        <v>2018</v>
      </c>
      <c r="N19" s="64"/>
      <c r="O19" s="39"/>
      <c r="P19" s="39"/>
      <c r="Q19" s="61"/>
      <c r="R19" s="64"/>
      <c r="S19" s="39"/>
      <c r="T19" s="39"/>
      <c r="U19" s="61"/>
      <c r="V19" s="64"/>
      <c r="W19" s="39"/>
      <c r="X19" s="39"/>
      <c r="Y19" s="61"/>
      <c r="Z19" s="64"/>
      <c r="AA19" s="39"/>
      <c r="AB19" s="39"/>
      <c r="AC19" s="61"/>
      <c r="AD19" s="64"/>
      <c r="AE19" s="39"/>
      <c r="AF19" s="39"/>
      <c r="AG19" s="61"/>
      <c r="AH19" s="64"/>
      <c r="AI19" s="39"/>
      <c r="AJ19" s="39"/>
      <c r="AK19" s="61"/>
      <c r="AL19" s="64"/>
      <c r="AM19" s="39"/>
      <c r="AN19" s="39"/>
      <c r="AO19" s="61"/>
      <c r="AP19" s="64"/>
      <c r="AQ19" s="39"/>
      <c r="AR19" s="39"/>
      <c r="AS19" s="61"/>
      <c r="AT19" s="64"/>
      <c r="AU19" s="39"/>
      <c r="AV19" s="39"/>
      <c r="AW19" s="61"/>
      <c r="AX19" s="64"/>
      <c r="AY19" s="39"/>
      <c r="AZ19" s="39"/>
      <c r="BA19" s="61"/>
      <c r="BB19" s="64"/>
      <c r="BC19" s="39"/>
      <c r="BD19" s="39"/>
      <c r="BE19" s="61"/>
      <c r="BF19" s="64"/>
      <c r="BG19" s="39"/>
      <c r="BH19" s="39"/>
      <c r="BI19" s="61"/>
      <c r="BJ19" s="64"/>
      <c r="BK19" s="39"/>
      <c r="BL19" s="39"/>
      <c r="BM19" s="61"/>
      <c r="BN19" s="64"/>
      <c r="BO19" s="39"/>
      <c r="BP19" s="39"/>
      <c r="BQ19" s="61"/>
      <c r="BR19" s="64"/>
      <c r="BT19" s="39"/>
      <c r="BU19" s="61"/>
      <c r="BV19" s="64"/>
      <c r="BW19" s="39"/>
      <c r="BX19" s="39"/>
      <c r="BY19" s="61"/>
      <c r="BZ19" s="64"/>
      <c r="CB19" s="39"/>
      <c r="CC19" s="61"/>
      <c r="CD19" s="64"/>
      <c r="CE19" s="39">
        <v>90.378700000000009</v>
      </c>
      <c r="CF19" s="39"/>
      <c r="CG19" s="61"/>
      <c r="CH19" s="64"/>
      <c r="CI19" s="39"/>
      <c r="CJ19" s="39"/>
      <c r="CK19" s="61"/>
      <c r="CL19" s="64"/>
      <c r="CM19" s="39"/>
      <c r="CN19" s="39"/>
      <c r="CO19" s="61"/>
      <c r="CP19" s="64"/>
    </row>
    <row r="20" spans="1:94" x14ac:dyDescent="0.25">
      <c r="A20" t="s">
        <v>57</v>
      </c>
      <c r="B20" s="46" t="s">
        <v>197</v>
      </c>
      <c r="C20" s="47">
        <v>2020</v>
      </c>
      <c r="D20" s="73" t="e">
        <f>AVERAGE(K20,O20,S20,W20,AA20,AE20,AI20,AM20,AQ20,AU20,AY20,BC20,BG20,BK20,BO20,#REF!,BW20,#REF!,CE20)</f>
        <v>#REF!</v>
      </c>
      <c r="E20" s="73" t="e">
        <f>MEDIAN(K20,O20,S20,W20,AA20,AE20,AI20,AM20,AQ20,AU20,AY20,BC20,BG20,BK20,BO20,#REF!,BW20,#REF!,CE20)</f>
        <v>#REF!</v>
      </c>
      <c r="F20" s="73" t="e">
        <f>MIN(K20,O20,S20,W20,AA20,AE20,AI20,AM20,AQ20,AU20,AY20,BC20,BG20,BK20,BO20,#REF!,BW20,#REF!,CE20)</f>
        <v>#REF!</v>
      </c>
      <c r="G20" s="73" t="e">
        <f>MAX(K20,O20,S20,W20,AA20,AE20,AI20,AM20,AQ20,AU20,AY20,BC20,BG20,BK20,BO20,#REF!,BW20,#REF!,CE20)</f>
        <v>#REF!</v>
      </c>
      <c r="H20" s="39">
        <f>COUNT(K20,O20,S20,W20,AA20,AE20,AI20,AM20,AQ20,AU20,AY20,BC20,BG20,BK20,BO20,#REF!,BW20,#REF!,CE20)</f>
        <v>0</v>
      </c>
      <c r="I20" s="40"/>
      <c r="J20" s="56"/>
      <c r="K20" s="59"/>
      <c r="L20" s="60"/>
      <c r="M20" s="61">
        <v>2018</v>
      </c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  <c r="AA20" s="70"/>
      <c r="AB20" s="60"/>
      <c r="AC20" s="61"/>
      <c r="AD20" s="64"/>
      <c r="AE20" s="70"/>
      <c r="AF20" s="60"/>
      <c r="AG20" s="61"/>
      <c r="AH20" s="64"/>
      <c r="AI20" s="70"/>
      <c r="AJ20" s="60"/>
      <c r="AK20" s="61"/>
      <c r="AL20" s="64"/>
      <c r="AM20" s="70"/>
      <c r="AN20" s="60"/>
      <c r="AO20" s="61"/>
      <c r="AP20" s="64"/>
      <c r="AQ20" s="70"/>
      <c r="AR20" s="60"/>
      <c r="AS20" s="61"/>
      <c r="AT20" s="64"/>
      <c r="AU20" s="70"/>
      <c r="AV20" s="60"/>
      <c r="AW20" s="61"/>
      <c r="AX20" s="64"/>
      <c r="AY20" s="70"/>
      <c r="AZ20" s="60"/>
      <c r="BA20" s="61"/>
      <c r="BB20" s="64"/>
      <c r="BC20" s="70"/>
      <c r="BD20" s="60"/>
      <c r="BE20" s="61"/>
      <c r="BF20" s="64"/>
      <c r="BG20" s="70"/>
      <c r="BH20" s="60"/>
      <c r="BI20" s="61"/>
      <c r="BJ20" s="64"/>
      <c r="BK20" s="70"/>
      <c r="BL20" s="60"/>
      <c r="BM20" s="61"/>
      <c r="BN20" s="64"/>
      <c r="BO20" s="70"/>
      <c r="BP20" s="60"/>
      <c r="BQ20" s="61"/>
      <c r="BR20" s="64"/>
      <c r="BS20" s="39">
        <v>5450</v>
      </c>
      <c r="BT20" s="60"/>
      <c r="BU20" s="61"/>
      <c r="BV20" s="64"/>
      <c r="BW20" s="70"/>
      <c r="BX20" s="60"/>
      <c r="BY20" s="61"/>
      <c r="BZ20" s="64"/>
      <c r="CA20" s="39">
        <v>5500</v>
      </c>
      <c r="CB20" s="60"/>
      <c r="CC20" s="61"/>
      <c r="CD20" s="64"/>
      <c r="CE20" s="70"/>
      <c r="CF20" s="60"/>
      <c r="CG20" s="61"/>
      <c r="CH20" s="64"/>
      <c r="CI20" s="70"/>
      <c r="CJ20" s="60"/>
      <c r="CK20" s="61"/>
      <c r="CL20" s="64"/>
      <c r="CM20" s="70"/>
      <c r="CN20" s="60"/>
      <c r="CO20" s="61"/>
      <c r="CP20" s="64"/>
    </row>
    <row r="21" spans="1:9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  <c r="AA21" s="41"/>
      <c r="AB21" s="41"/>
      <c r="AC21" s="52"/>
      <c r="AD21" s="57"/>
      <c r="AE21" s="41"/>
      <c r="AF21" s="41"/>
      <c r="AG21" s="52"/>
      <c r="AH21" s="57"/>
      <c r="AI21" s="41"/>
      <c r="AJ21" s="41"/>
      <c r="AK21" s="52"/>
      <c r="AL21" s="57"/>
      <c r="AM21" s="41"/>
      <c r="AN21" s="41"/>
      <c r="AO21" s="52"/>
      <c r="AP21" s="57"/>
      <c r="AQ21" s="41"/>
      <c r="AR21" s="41"/>
      <c r="AS21" s="52"/>
      <c r="AT21" s="57"/>
      <c r="AU21" s="41"/>
      <c r="AV21" s="41"/>
      <c r="AW21" s="52"/>
      <c r="AX21" s="57"/>
      <c r="AY21" s="41"/>
      <c r="AZ21" s="41"/>
      <c r="BA21" s="52"/>
      <c r="BB21" s="57"/>
      <c r="BC21" s="41"/>
      <c r="BD21" s="41"/>
      <c r="BE21" s="52"/>
      <c r="BF21" s="57"/>
      <c r="BG21" s="41"/>
      <c r="BH21" s="41"/>
      <c r="BI21" s="52"/>
      <c r="BJ21" s="57"/>
      <c r="BK21" s="41"/>
      <c r="BL21" s="41"/>
      <c r="BM21" s="52"/>
      <c r="BN21" s="57"/>
      <c r="BO21" s="41"/>
      <c r="BP21" s="41"/>
      <c r="BQ21" s="52"/>
      <c r="BR21" s="57"/>
      <c r="BS21" s="41"/>
      <c r="BT21" s="41"/>
      <c r="BU21" s="52"/>
      <c r="BV21" s="57"/>
      <c r="BW21" s="41"/>
      <c r="BX21" s="41"/>
      <c r="BY21" s="52"/>
      <c r="BZ21" s="57"/>
      <c r="CA21" s="41"/>
      <c r="CB21" s="41"/>
      <c r="CC21" s="52"/>
      <c r="CD21" s="57"/>
      <c r="CE21" s="41"/>
      <c r="CF21" s="41"/>
      <c r="CG21" s="52"/>
      <c r="CH21" s="57"/>
      <c r="CI21" s="41"/>
      <c r="CJ21" s="41"/>
      <c r="CK21" s="52"/>
      <c r="CL21" s="57"/>
      <c r="CM21" s="41"/>
      <c r="CN21" s="41"/>
      <c r="CO21" s="52"/>
      <c r="CP21" s="57"/>
    </row>
    <row r="43" spans="4:4" x14ac:dyDescent="0.25">
      <c r="D43" s="77"/>
    </row>
    <row r="45" spans="4:4" x14ac:dyDescent="0.25">
      <c r="D45" s="77"/>
    </row>
    <row r="48" spans="4:4" x14ac:dyDescent="0.25">
      <c r="D48" s="77"/>
    </row>
    <row r="50" spans="4:4" x14ac:dyDescent="0.25">
      <c r="D50" s="77"/>
    </row>
    <row r="51" spans="4:4" x14ac:dyDescent="0.25">
      <c r="D51" s="77"/>
    </row>
  </sheetData>
  <sortState ref="G21:G35">
    <sortCondition ref="G21"/>
  </sortState>
  <mergeCells count="43">
    <mergeCell ref="D1:J1"/>
    <mergeCell ref="K1:N1"/>
    <mergeCell ref="O1:R1"/>
    <mergeCell ref="S1:V1"/>
    <mergeCell ref="K2:N2"/>
    <mergeCell ref="O2:R2"/>
    <mergeCell ref="S2:V2"/>
    <mergeCell ref="W1:Z1"/>
    <mergeCell ref="AA1:AD1"/>
    <mergeCell ref="AE1:AH1"/>
    <mergeCell ref="W2:Z2"/>
    <mergeCell ref="AA2:AD2"/>
    <mergeCell ref="AE2:AH2"/>
    <mergeCell ref="AI1:AL1"/>
    <mergeCell ref="AM1:AP1"/>
    <mergeCell ref="AQ1:AT1"/>
    <mergeCell ref="AI2:AL2"/>
    <mergeCell ref="AM2:AP2"/>
    <mergeCell ref="AQ2:AT2"/>
    <mergeCell ref="AU1:AX1"/>
    <mergeCell ref="AY1:BB1"/>
    <mergeCell ref="BC1:BF1"/>
    <mergeCell ref="AU2:AX2"/>
    <mergeCell ref="AY2:BB2"/>
    <mergeCell ref="BC2:BF2"/>
    <mergeCell ref="BG1:BJ1"/>
    <mergeCell ref="BK1:BN1"/>
    <mergeCell ref="BO1:BR1"/>
    <mergeCell ref="BG2:BJ2"/>
    <mergeCell ref="BK2:BN2"/>
    <mergeCell ref="BO2:BR2"/>
    <mergeCell ref="BS1:BV1"/>
    <mergeCell ref="BW1:BZ1"/>
    <mergeCell ref="CA1:CD1"/>
    <mergeCell ref="BS2:BV2"/>
    <mergeCell ref="BW2:BZ2"/>
    <mergeCell ref="CA2:CD2"/>
    <mergeCell ref="CE1:CH1"/>
    <mergeCell ref="CI1:CL1"/>
    <mergeCell ref="CM1:CP1"/>
    <mergeCell ref="CE2:CH2"/>
    <mergeCell ref="CI2:CL2"/>
    <mergeCell ref="CM2:C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N21"/>
  <sheetViews>
    <sheetView workbookViewId="0">
      <selection activeCell="B9" sqref="B9:B10"/>
    </sheetView>
  </sheetViews>
  <sheetFormatPr defaultRowHeight="15" x14ac:dyDescent="0.25"/>
  <sheetData>
    <row r="1" spans="1:14" x14ac:dyDescent="0.25">
      <c r="A1" s="7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222</v>
      </c>
      <c r="L1" s="121"/>
      <c r="M1" s="121"/>
      <c r="N1" s="122"/>
    </row>
    <row r="2" spans="1:1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223</v>
      </c>
      <c r="L2" s="130"/>
      <c r="M2" s="130"/>
      <c r="N2" s="131"/>
    </row>
    <row r="3" spans="1:1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</row>
    <row r="4" spans="1:1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</row>
    <row r="5" spans="1:1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700</v>
      </c>
      <c r="E5" s="73">
        <f>MEDIAN(K5,O5,S5,W5,AA5,AE5,AI5,AM5,AQ5,AU5,AY5,BC5,BG5,BK5,BO5,BS5,BW5,CA5,CE5)</f>
        <v>700</v>
      </c>
      <c r="F5" s="73">
        <f>MIN(K5,O5,S5,W5,AA5,AE5,AI5,AM5,AQ5,AU5,AY5,BC5,BG5,BK5,BO5,BS5,BW5,CA5,CE5)</f>
        <v>700</v>
      </c>
      <c r="G5" s="73">
        <f>MAX(K5,O5,S5,W5,AA5,AE5,AI5,AM5,AQ5,AU5,AY5,BC5,BG5,BK5,BO5,BS5,BW5,CA5,CE5)</f>
        <v>700</v>
      </c>
      <c r="H5" s="39">
        <f>COUNT(K5,O5,S5,W5,AA5,AE5,AI5,AM5,AQ5,AU5,AY5,BC5,BG5,BK5,BO5,BS5,BW5,CA5,CE5)</f>
        <v>1</v>
      </c>
      <c r="I5" s="39"/>
      <c r="J5" s="63"/>
      <c r="K5" s="39">
        <v>700</v>
      </c>
      <c r="L5" s="39"/>
      <c r="M5" s="61">
        <v>2020</v>
      </c>
      <c r="N5" s="64"/>
    </row>
    <row r="6" spans="1:14" x14ac:dyDescent="0.25">
      <c r="A6" t="s">
        <v>181</v>
      </c>
      <c r="B6" s="46" t="s">
        <v>197</v>
      </c>
      <c r="C6" s="47">
        <v>2020</v>
      </c>
      <c r="D6" s="73">
        <f t="shared" ref="D6:D20" si="0">AVERAGE(K6,O6,S6,W6,AA6,AE6,AI6,AM6,AQ6,AU6,AY6,BC6,BG6,BK6,BO6,BS6,BW6,CA6,CE6)</f>
        <v>0</v>
      </c>
      <c r="E6" s="73">
        <f t="shared" ref="E6:E20" si="1">MEDIAN(K6,O6,S6,W6,AA6,AE6,AI6,AM6,AQ6,AU6,AY6,BC6,BG6,BK6,BO6,BS6,BW6,CA6,CE6)</f>
        <v>0</v>
      </c>
      <c r="F6" s="73">
        <f t="shared" ref="F6:F20" si="2">MIN(K6,O6,S6,W6,AA6,AE6,AI6,AM6,AQ6,AU6,AY6,BC6,BG6,BK6,BO6,BS6,BW6,CA6,CE6)</f>
        <v>0</v>
      </c>
      <c r="G6" s="73">
        <f t="shared" ref="G6:G20" si="3">MAX(K6,O6,S6,W6,AA6,AE6,AI6,AM6,AQ6,AU6,AY6,BC6,BG6,BK6,BO6,BS6,BW6,CA6,CE6)</f>
        <v>0</v>
      </c>
      <c r="H6" s="39">
        <f t="shared" ref="H6:H20" si="4">COUNT(K6,O6,S6,W6,AA6,AE6,AI6,AM6,AQ6,AU6,AY6,BC6,BG6,BK6,BO6,BS6,BW6,CA6,CE6)</f>
        <v>1</v>
      </c>
      <c r="I6" s="39"/>
      <c r="J6" s="63"/>
      <c r="K6" s="39">
        <v>0</v>
      </c>
      <c r="L6" s="39"/>
      <c r="M6" s="61">
        <v>2020</v>
      </c>
      <c r="N6" s="64"/>
    </row>
    <row r="7" spans="1:14" x14ac:dyDescent="0.25">
      <c r="A7" t="s">
        <v>12</v>
      </c>
      <c r="B7" s="46" t="s">
        <v>197</v>
      </c>
      <c r="C7" s="47">
        <v>2020</v>
      </c>
      <c r="D7" s="73">
        <f t="shared" si="0"/>
        <v>525</v>
      </c>
      <c r="E7" s="73">
        <f t="shared" si="1"/>
        <v>525</v>
      </c>
      <c r="F7" s="73">
        <f t="shared" si="2"/>
        <v>525</v>
      </c>
      <c r="G7" s="73">
        <f t="shared" si="3"/>
        <v>525</v>
      </c>
      <c r="H7" s="39">
        <f t="shared" si="4"/>
        <v>1</v>
      </c>
      <c r="I7" s="39"/>
      <c r="J7" s="63"/>
      <c r="K7" s="39">
        <v>525</v>
      </c>
      <c r="L7" s="39"/>
      <c r="M7" s="61">
        <v>2020</v>
      </c>
      <c r="N7" s="64"/>
    </row>
    <row r="8" spans="1:14" x14ac:dyDescent="0.25">
      <c r="A8" t="s">
        <v>15</v>
      </c>
      <c r="B8" s="46" t="s">
        <v>197</v>
      </c>
      <c r="C8" s="47">
        <v>2020</v>
      </c>
      <c r="D8" s="73">
        <f t="shared" si="0"/>
        <v>5000</v>
      </c>
      <c r="E8" s="73">
        <f t="shared" si="1"/>
        <v>5000</v>
      </c>
      <c r="F8" s="73">
        <f t="shared" si="2"/>
        <v>5000</v>
      </c>
      <c r="G8" s="73">
        <f t="shared" si="3"/>
        <v>5000</v>
      </c>
      <c r="H8" s="39">
        <f t="shared" si="4"/>
        <v>1</v>
      </c>
      <c r="I8" s="39"/>
      <c r="J8" s="63"/>
      <c r="K8" s="39">
        <v>5000</v>
      </c>
      <c r="L8" s="39"/>
      <c r="M8" s="61">
        <v>2020</v>
      </c>
      <c r="N8" s="64"/>
    </row>
    <row r="9" spans="1:14" x14ac:dyDescent="0.25">
      <c r="A9" t="s">
        <v>16</v>
      </c>
      <c r="B9" s="46" t="s">
        <v>197</v>
      </c>
      <c r="C9" s="47">
        <v>2020</v>
      </c>
      <c r="D9" s="73">
        <f t="shared" si="0"/>
        <v>6</v>
      </c>
      <c r="E9" s="73">
        <f t="shared" si="1"/>
        <v>6</v>
      </c>
      <c r="F9" s="73">
        <f t="shared" si="2"/>
        <v>6</v>
      </c>
      <c r="G9" s="73">
        <f t="shared" si="3"/>
        <v>6</v>
      </c>
      <c r="H9" s="39">
        <f t="shared" si="4"/>
        <v>1</v>
      </c>
      <c r="I9" s="39"/>
      <c r="J9" s="63"/>
      <c r="K9" s="39">
        <v>6</v>
      </c>
      <c r="L9" s="39"/>
      <c r="M9" s="61">
        <v>2020</v>
      </c>
      <c r="N9" s="64"/>
    </row>
    <row r="10" spans="1:14" x14ac:dyDescent="0.25">
      <c r="A10" t="s">
        <v>29</v>
      </c>
      <c r="B10" s="46" t="s">
        <v>197</v>
      </c>
      <c r="C10" s="47">
        <v>2020</v>
      </c>
      <c r="D10" s="73" t="e">
        <f t="shared" ref="D10" si="5">AVERAGE(K10,O10,S10,W10,AA10,AE10,AI10,AM10,AQ10,AU10,AY10,BC10,BG10,BK10,BO10,BS10,BW10,CA10,CE10)</f>
        <v>#DIV/0!</v>
      </c>
      <c r="E10" s="73" t="e">
        <f t="shared" ref="E10" si="6">MEDIAN(K10,O10,S10,W10,AA10,AE10,AI10,AM10,AQ10,AU10,AY10,BC10,BG10,BK10,BO10,BS10,BW10,CA10,CE10)</f>
        <v>#NUM!</v>
      </c>
      <c r="F10" s="73">
        <f t="shared" ref="F10" si="7">MIN(K10,O10,S10,W10,AA10,AE10,AI10,AM10,AQ10,AU10,AY10,BC10,BG10,BK10,BO10,BS10,BW10,CA10,CE10)</f>
        <v>0</v>
      </c>
      <c r="G10" s="73">
        <f t="shared" ref="G10" si="8">MAX(K10,O10,S10,W10,AA10,AE10,AI10,AM10,AQ10,AU10,AY10,BC10,BG10,BK10,BO10,BS10,BW10,CA10,CE10)</f>
        <v>0</v>
      </c>
      <c r="H10" s="39">
        <f t="shared" ref="H10" si="9">COUNT(K10,O10,S10,W10,AA10,AE10,AI10,AM10,AQ10,AU10,AY10,BC10,BG10,BK10,BO10,BS10,BW10,CA10,CE10)</f>
        <v>0</v>
      </c>
      <c r="I10" s="39"/>
      <c r="J10" s="63"/>
      <c r="K10" s="39"/>
      <c r="L10" s="39"/>
      <c r="M10" s="61">
        <v>2020</v>
      </c>
      <c r="N10" s="64"/>
    </row>
    <row r="11" spans="1:14" x14ac:dyDescent="0.25">
      <c r="A11" t="s">
        <v>33</v>
      </c>
      <c r="B11" s="46" t="s">
        <v>197</v>
      </c>
      <c r="C11" s="47">
        <v>2020</v>
      </c>
      <c r="D11" s="73">
        <f t="shared" si="0"/>
        <v>790</v>
      </c>
      <c r="E11" s="73">
        <f t="shared" si="1"/>
        <v>790</v>
      </c>
      <c r="F11" s="73">
        <f t="shared" si="2"/>
        <v>790</v>
      </c>
      <c r="G11" s="73">
        <f t="shared" si="3"/>
        <v>790</v>
      </c>
      <c r="H11" s="39">
        <f t="shared" si="4"/>
        <v>1</v>
      </c>
      <c r="I11" s="39"/>
      <c r="J11" s="63"/>
      <c r="K11" s="39">
        <v>790</v>
      </c>
      <c r="L11" s="39"/>
      <c r="M11" s="61">
        <v>2020</v>
      </c>
      <c r="N11" s="64"/>
    </row>
    <row r="12" spans="1:14" x14ac:dyDescent="0.25">
      <c r="A12" t="s">
        <v>34</v>
      </c>
      <c r="B12" s="46" t="s">
        <v>197</v>
      </c>
      <c r="C12" s="47">
        <v>2020</v>
      </c>
      <c r="D12" s="73">
        <f t="shared" si="0"/>
        <v>109</v>
      </c>
      <c r="E12" s="73">
        <f t="shared" si="1"/>
        <v>109</v>
      </c>
      <c r="F12" s="73">
        <f t="shared" si="2"/>
        <v>109</v>
      </c>
      <c r="G12" s="73">
        <f t="shared" si="3"/>
        <v>109</v>
      </c>
      <c r="H12" s="39">
        <f t="shared" si="4"/>
        <v>1</v>
      </c>
      <c r="I12" s="39"/>
      <c r="J12" s="63"/>
      <c r="K12" s="39">
        <v>109</v>
      </c>
      <c r="L12" s="39"/>
      <c r="M12" s="61">
        <v>2020</v>
      </c>
      <c r="N12" s="64"/>
    </row>
    <row r="13" spans="1:14" x14ac:dyDescent="0.25">
      <c r="A13" t="s">
        <v>37</v>
      </c>
      <c r="B13" s="46" t="s">
        <v>197</v>
      </c>
      <c r="C13" s="47">
        <v>2020</v>
      </c>
      <c r="D13" s="73">
        <f t="shared" si="0"/>
        <v>28</v>
      </c>
      <c r="E13" s="73">
        <f t="shared" si="1"/>
        <v>28</v>
      </c>
      <c r="F13" s="73">
        <f t="shared" si="2"/>
        <v>28</v>
      </c>
      <c r="G13" s="73">
        <f t="shared" si="3"/>
        <v>28</v>
      </c>
      <c r="H13" s="39">
        <f t="shared" si="4"/>
        <v>1</v>
      </c>
      <c r="I13" s="39"/>
      <c r="J13" s="63"/>
      <c r="K13" s="39">
        <v>28</v>
      </c>
      <c r="L13" s="39"/>
      <c r="M13" s="61">
        <v>2020</v>
      </c>
      <c r="N13" s="64"/>
    </row>
    <row r="14" spans="1:14" x14ac:dyDescent="0.25">
      <c r="A14" t="s">
        <v>38</v>
      </c>
      <c r="B14" s="46" t="s">
        <v>197</v>
      </c>
      <c r="C14" s="47">
        <v>2020</v>
      </c>
      <c r="D14" s="73">
        <f t="shared" si="0"/>
        <v>340</v>
      </c>
      <c r="E14" s="73">
        <f t="shared" si="1"/>
        <v>340</v>
      </c>
      <c r="F14" s="73">
        <f t="shared" si="2"/>
        <v>340</v>
      </c>
      <c r="G14" s="73">
        <f t="shared" si="3"/>
        <v>340</v>
      </c>
      <c r="H14" s="39">
        <f t="shared" si="4"/>
        <v>1</v>
      </c>
      <c r="I14" s="39"/>
      <c r="J14" s="63"/>
      <c r="K14" s="39">
        <v>340</v>
      </c>
      <c r="L14" s="39"/>
      <c r="M14" s="61">
        <v>2020</v>
      </c>
      <c r="N14" s="64"/>
    </row>
    <row r="15" spans="1:14" x14ac:dyDescent="0.25">
      <c r="A15" t="s">
        <v>39</v>
      </c>
      <c r="B15" s="46" t="s">
        <v>197</v>
      </c>
      <c r="C15" s="47">
        <v>2020</v>
      </c>
      <c r="D15" s="73">
        <f t="shared" si="0"/>
        <v>9</v>
      </c>
      <c r="E15" s="73">
        <f t="shared" si="1"/>
        <v>9</v>
      </c>
      <c r="F15" s="73">
        <f t="shared" si="2"/>
        <v>9</v>
      </c>
      <c r="G15" s="73">
        <f t="shared" si="3"/>
        <v>9</v>
      </c>
      <c r="H15" s="39">
        <f t="shared" si="4"/>
        <v>1</v>
      </c>
      <c r="I15" s="39"/>
      <c r="J15" s="63"/>
      <c r="K15" s="39">
        <v>9</v>
      </c>
      <c r="L15" s="39"/>
      <c r="M15" s="61">
        <v>2020</v>
      </c>
      <c r="N15" s="64"/>
    </row>
    <row r="16" spans="1:14" x14ac:dyDescent="0.25">
      <c r="A16" t="s">
        <v>131</v>
      </c>
      <c r="B16" s="46" t="s">
        <v>197</v>
      </c>
      <c r="C16" s="47">
        <v>2020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>
        <v>2020</v>
      </c>
      <c r="N16" s="64"/>
    </row>
    <row r="17" spans="1:14" x14ac:dyDescent="0.25">
      <c r="A17" t="s">
        <v>196</v>
      </c>
      <c r="B17" s="46" t="s">
        <v>197</v>
      </c>
      <c r="C17" s="47">
        <v>2020</v>
      </c>
      <c r="D17" s="73">
        <f t="shared" si="0"/>
        <v>132000</v>
      </c>
      <c r="E17" s="73">
        <f t="shared" si="1"/>
        <v>132000</v>
      </c>
      <c r="F17" s="73">
        <f t="shared" si="2"/>
        <v>132000</v>
      </c>
      <c r="G17" s="73">
        <f t="shared" si="3"/>
        <v>132000</v>
      </c>
      <c r="H17" s="39">
        <f t="shared" si="4"/>
        <v>1</v>
      </c>
      <c r="I17" s="39"/>
      <c r="J17" s="63"/>
      <c r="K17" s="39">
        <v>132000</v>
      </c>
      <c r="L17" s="39"/>
      <c r="M17" s="61">
        <v>2020</v>
      </c>
      <c r="N17" s="64"/>
    </row>
    <row r="18" spans="1:14" x14ac:dyDescent="0.25">
      <c r="A18" t="s">
        <v>134</v>
      </c>
      <c r="B18" s="46" t="s">
        <v>197</v>
      </c>
      <c r="C18" s="47">
        <v>2020</v>
      </c>
      <c r="D18" s="73">
        <f t="shared" si="0"/>
        <v>1</v>
      </c>
      <c r="E18" s="73">
        <f t="shared" si="1"/>
        <v>1</v>
      </c>
      <c r="F18" s="73">
        <f t="shared" si="2"/>
        <v>1</v>
      </c>
      <c r="G18" s="73">
        <f t="shared" si="3"/>
        <v>1</v>
      </c>
      <c r="H18" s="39">
        <f t="shared" si="4"/>
        <v>1</v>
      </c>
      <c r="I18" s="39"/>
      <c r="J18" s="63"/>
      <c r="K18" s="39">
        <v>1</v>
      </c>
      <c r="L18" s="39"/>
      <c r="M18" s="61">
        <v>2020</v>
      </c>
      <c r="N18" s="64"/>
    </row>
    <row r="19" spans="1:14" x14ac:dyDescent="0.25">
      <c r="A19" t="s">
        <v>55</v>
      </c>
      <c r="B19" s="46" t="s">
        <v>197</v>
      </c>
      <c r="C19" s="47">
        <v>2020</v>
      </c>
      <c r="D19" s="73" t="e">
        <f t="shared" si="0"/>
        <v>#DIV/0!</v>
      </c>
      <c r="E19" s="73" t="e">
        <f t="shared" si="1"/>
        <v>#NUM!</v>
      </c>
      <c r="F19" s="73">
        <f t="shared" si="2"/>
        <v>0</v>
      </c>
      <c r="G19" s="73">
        <f t="shared" si="3"/>
        <v>0</v>
      </c>
      <c r="H19" s="39">
        <f t="shared" si="4"/>
        <v>0</v>
      </c>
      <c r="I19" s="39"/>
      <c r="J19" s="63"/>
      <c r="K19" s="39"/>
      <c r="L19" s="39"/>
      <c r="M19" s="61">
        <v>2020</v>
      </c>
      <c r="N19" s="64"/>
    </row>
    <row r="20" spans="1:14" x14ac:dyDescent="0.25">
      <c r="A20" t="s">
        <v>57</v>
      </c>
      <c r="B20" s="46" t="s">
        <v>197</v>
      </c>
      <c r="C20" s="47">
        <v>2020</v>
      </c>
      <c r="D20" s="73">
        <f t="shared" si="0"/>
        <v>5500</v>
      </c>
      <c r="E20" s="73">
        <f t="shared" si="1"/>
        <v>5500</v>
      </c>
      <c r="F20" s="73">
        <f t="shared" si="2"/>
        <v>5500</v>
      </c>
      <c r="G20" s="73">
        <f t="shared" si="3"/>
        <v>5500</v>
      </c>
      <c r="H20" s="39">
        <f t="shared" si="4"/>
        <v>1</v>
      </c>
      <c r="I20" s="40"/>
      <c r="J20" s="56"/>
      <c r="K20" s="59">
        <v>5500</v>
      </c>
      <c r="L20" s="60"/>
      <c r="M20" s="61">
        <v>2020</v>
      </c>
      <c r="N20" s="64"/>
    </row>
    <row r="21" spans="1:14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</row>
  </sheetData>
  <mergeCells count="3">
    <mergeCell ref="D1:J1"/>
    <mergeCell ref="K1:N1"/>
    <mergeCell ref="K2:N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CP50"/>
  <sheetViews>
    <sheetView workbookViewId="0">
      <pane xSplit="1" topLeftCell="B1" activePane="topRight" state="frozen"/>
      <selection pane="topRight" activeCell="H19" sqref="H19"/>
    </sheetView>
  </sheetViews>
  <sheetFormatPr defaultRowHeight="15" x14ac:dyDescent="0.25"/>
  <cols>
    <col min="1" max="1" width="14.42578125" bestFit="1" customWidth="1"/>
  </cols>
  <sheetData>
    <row r="1" spans="1:94" x14ac:dyDescent="0.25">
      <c r="A1" s="7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167</v>
      </c>
      <c r="L1" s="121"/>
      <c r="M1" s="121"/>
      <c r="N1" s="122"/>
      <c r="O1" s="114" t="s">
        <v>201</v>
      </c>
      <c r="P1" s="115"/>
      <c r="Q1" s="115"/>
      <c r="R1" s="116"/>
      <c r="S1" s="120" t="s">
        <v>201</v>
      </c>
      <c r="T1" s="121"/>
      <c r="U1" s="121"/>
      <c r="V1" s="122"/>
      <c r="W1" s="114" t="s">
        <v>199</v>
      </c>
      <c r="X1" s="115"/>
      <c r="Y1" s="115"/>
      <c r="Z1" s="116"/>
      <c r="AA1" s="120" t="s">
        <v>200</v>
      </c>
      <c r="AB1" s="121"/>
      <c r="AC1" s="121"/>
      <c r="AD1" s="122"/>
      <c r="AE1" s="114" t="s">
        <v>216</v>
      </c>
      <c r="AF1" s="115"/>
      <c r="AG1" s="115"/>
      <c r="AH1" s="116"/>
      <c r="AI1" s="120" t="s">
        <v>220</v>
      </c>
      <c r="AJ1" s="121"/>
      <c r="AK1" s="121"/>
      <c r="AL1" s="122"/>
      <c r="AM1" s="114" t="s">
        <v>222</v>
      </c>
      <c r="AN1" s="115"/>
      <c r="AO1" s="115"/>
      <c r="AP1" s="116"/>
      <c r="AQ1" s="120" t="s">
        <v>222</v>
      </c>
      <c r="AR1" s="121"/>
      <c r="AS1" s="121"/>
      <c r="AT1" s="122"/>
      <c r="AU1" s="114" t="s">
        <v>229</v>
      </c>
      <c r="AV1" s="115"/>
      <c r="AW1" s="115"/>
      <c r="AX1" s="116"/>
      <c r="AY1" s="120"/>
      <c r="AZ1" s="121"/>
      <c r="BA1" s="121"/>
      <c r="BB1" s="122"/>
      <c r="BC1" s="114"/>
      <c r="BD1" s="115"/>
      <c r="BE1" s="115"/>
      <c r="BF1" s="116"/>
      <c r="BG1" s="120"/>
      <c r="BH1" s="121"/>
      <c r="BI1" s="121"/>
      <c r="BJ1" s="122"/>
      <c r="BK1" s="114"/>
      <c r="BL1" s="115"/>
      <c r="BM1" s="115"/>
      <c r="BN1" s="116"/>
      <c r="BO1" s="120"/>
      <c r="BP1" s="121"/>
      <c r="BQ1" s="121"/>
      <c r="BR1" s="122"/>
      <c r="BS1" s="114"/>
      <c r="BT1" s="115"/>
      <c r="BU1" s="115"/>
      <c r="BV1" s="116"/>
      <c r="BW1" s="120"/>
      <c r="BX1" s="121"/>
      <c r="BY1" s="121"/>
      <c r="BZ1" s="122"/>
      <c r="CA1" s="114"/>
      <c r="CB1" s="115"/>
      <c r="CC1" s="115"/>
      <c r="CD1" s="116"/>
      <c r="CE1" s="120"/>
      <c r="CF1" s="121"/>
      <c r="CG1" s="121"/>
      <c r="CH1" s="122"/>
      <c r="CI1" s="114"/>
      <c r="CJ1" s="115"/>
      <c r="CK1" s="115"/>
      <c r="CL1" s="116"/>
      <c r="CM1" s="120"/>
      <c r="CN1" s="121"/>
      <c r="CO1" s="121"/>
      <c r="CP1" s="122"/>
    </row>
    <row r="2" spans="1:94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206</v>
      </c>
      <c r="L2" s="130"/>
      <c r="M2" s="130"/>
      <c r="N2" s="131"/>
      <c r="O2" s="123" t="s">
        <v>203</v>
      </c>
      <c r="P2" s="124"/>
      <c r="Q2" s="124"/>
      <c r="R2" s="125"/>
      <c r="S2" s="129" t="s">
        <v>205</v>
      </c>
      <c r="T2" s="130"/>
      <c r="U2" s="130"/>
      <c r="V2" s="131"/>
      <c r="W2" s="123" t="s">
        <v>228</v>
      </c>
      <c r="X2" s="124"/>
      <c r="Y2" s="124"/>
      <c r="Z2" s="125"/>
      <c r="AA2" s="129" t="s">
        <v>227</v>
      </c>
      <c r="AB2" s="130"/>
      <c r="AC2" s="130"/>
      <c r="AD2" s="131"/>
      <c r="AE2" s="123" t="s">
        <v>217</v>
      </c>
      <c r="AF2" s="124"/>
      <c r="AG2" s="124"/>
      <c r="AH2" s="125"/>
      <c r="AI2" s="129" t="s">
        <v>204</v>
      </c>
      <c r="AJ2" s="130"/>
      <c r="AK2" s="130"/>
      <c r="AL2" s="131"/>
      <c r="AM2" s="123" t="s">
        <v>225</v>
      </c>
      <c r="AN2" s="124"/>
      <c r="AO2" s="124"/>
      <c r="AP2" s="125"/>
      <c r="AQ2" s="129" t="s">
        <v>226</v>
      </c>
      <c r="AR2" s="130"/>
      <c r="AS2" s="130"/>
      <c r="AT2" s="131"/>
      <c r="AU2" s="123" t="s">
        <v>231</v>
      </c>
      <c r="AV2" s="124"/>
      <c r="AW2" s="124"/>
      <c r="AX2" s="125"/>
      <c r="AY2" s="129"/>
      <c r="AZ2" s="130"/>
      <c r="BA2" s="130"/>
      <c r="BB2" s="131"/>
      <c r="BC2" s="123"/>
      <c r="BD2" s="124"/>
      <c r="BE2" s="124"/>
      <c r="BF2" s="125"/>
      <c r="BG2" s="129"/>
      <c r="BH2" s="130"/>
      <c r="BI2" s="130"/>
      <c r="BJ2" s="131"/>
      <c r="BK2" s="123"/>
      <c r="BL2" s="124"/>
      <c r="BM2" s="124"/>
      <c r="BN2" s="125"/>
      <c r="BO2" s="129"/>
      <c r="BP2" s="130"/>
      <c r="BQ2" s="130"/>
      <c r="BR2" s="131"/>
      <c r="BS2" s="123"/>
      <c r="BT2" s="124"/>
      <c r="BU2" s="124"/>
      <c r="BV2" s="125"/>
      <c r="BW2" s="129"/>
      <c r="BX2" s="130"/>
      <c r="BY2" s="130"/>
      <c r="BZ2" s="131"/>
      <c r="CA2" s="123"/>
      <c r="CB2" s="124"/>
      <c r="CC2" s="124"/>
      <c r="CD2" s="125"/>
      <c r="CE2" s="129"/>
      <c r="CF2" s="130"/>
      <c r="CG2" s="130"/>
      <c r="CH2" s="131"/>
      <c r="CI2" s="123"/>
      <c r="CJ2" s="124"/>
      <c r="CK2" s="124"/>
      <c r="CL2" s="125"/>
      <c r="CM2" s="129"/>
      <c r="CN2" s="130"/>
      <c r="CO2" s="130"/>
      <c r="CP2" s="131"/>
    </row>
    <row r="3" spans="1:94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  <c r="BG3" s="58" t="s">
        <v>123</v>
      </c>
      <c r="BH3" s="58" t="s">
        <v>124</v>
      </c>
      <c r="BI3" s="58" t="s">
        <v>125</v>
      </c>
      <c r="BJ3" s="62" t="s">
        <v>126</v>
      </c>
      <c r="BK3" s="65" t="s">
        <v>123</v>
      </c>
      <c r="BL3" s="65" t="s">
        <v>124</v>
      </c>
      <c r="BM3" s="65" t="s">
        <v>125</v>
      </c>
      <c r="BN3" s="66" t="s">
        <v>126</v>
      </c>
      <c r="BO3" s="58" t="s">
        <v>123</v>
      </c>
      <c r="BP3" s="58" t="s">
        <v>124</v>
      </c>
      <c r="BQ3" s="58" t="s">
        <v>125</v>
      </c>
      <c r="BR3" s="62" t="s">
        <v>126</v>
      </c>
      <c r="BS3" s="65" t="s">
        <v>123</v>
      </c>
      <c r="BT3" s="65" t="s">
        <v>124</v>
      </c>
      <c r="BU3" s="65" t="s">
        <v>125</v>
      </c>
      <c r="BV3" s="66" t="s">
        <v>126</v>
      </c>
      <c r="BW3" s="58" t="s">
        <v>123</v>
      </c>
      <c r="BX3" s="58" t="s">
        <v>124</v>
      </c>
      <c r="BY3" s="58" t="s">
        <v>125</v>
      </c>
      <c r="BZ3" s="62" t="s">
        <v>126</v>
      </c>
      <c r="CA3" s="65" t="s">
        <v>123</v>
      </c>
      <c r="CB3" s="65" t="s">
        <v>124</v>
      </c>
      <c r="CC3" s="65" t="s">
        <v>125</v>
      </c>
      <c r="CD3" s="66" t="s">
        <v>126</v>
      </c>
      <c r="CE3" s="58" t="s">
        <v>123</v>
      </c>
      <c r="CF3" s="58" t="s">
        <v>124</v>
      </c>
      <c r="CG3" s="58" t="s">
        <v>125</v>
      </c>
      <c r="CH3" s="62" t="s">
        <v>126</v>
      </c>
      <c r="CI3" s="65" t="s">
        <v>123</v>
      </c>
      <c r="CJ3" s="65" t="s">
        <v>124</v>
      </c>
      <c r="CK3" s="65" t="s">
        <v>125</v>
      </c>
      <c r="CL3" s="66" t="s">
        <v>126</v>
      </c>
      <c r="CM3" s="58" t="s">
        <v>123</v>
      </c>
      <c r="CN3" s="58" t="s">
        <v>124</v>
      </c>
      <c r="CO3" s="58" t="s">
        <v>125</v>
      </c>
      <c r="CP3" s="62" t="s">
        <v>126</v>
      </c>
    </row>
    <row r="4" spans="1:94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  <c r="BG4" s="39"/>
      <c r="BH4" s="39"/>
      <c r="BI4" s="39"/>
      <c r="BJ4" s="63"/>
      <c r="BK4" s="39"/>
      <c r="BL4" s="39"/>
      <c r="BM4" s="39"/>
      <c r="BN4" s="63"/>
      <c r="BO4" s="39"/>
      <c r="BP4" s="39"/>
      <c r="BQ4" s="39"/>
      <c r="BR4" s="63"/>
      <c r="BS4" s="39"/>
      <c r="BT4" s="39"/>
      <c r="BU4" s="39"/>
      <c r="BV4" s="63"/>
      <c r="BW4" s="39"/>
      <c r="BX4" s="39"/>
      <c r="BY4" s="39"/>
      <c r="BZ4" s="63"/>
      <c r="CA4" s="39"/>
      <c r="CB4" s="39"/>
      <c r="CC4" s="39"/>
      <c r="CD4" s="63"/>
      <c r="CE4" s="39"/>
      <c r="CF4" s="39"/>
      <c r="CG4" s="39"/>
      <c r="CH4" s="63"/>
      <c r="CI4" s="39"/>
      <c r="CJ4" s="39"/>
      <c r="CK4" s="39"/>
      <c r="CL4" s="63"/>
      <c r="CM4" s="39"/>
      <c r="CN4" s="39"/>
      <c r="CO4" s="39"/>
      <c r="CP4" s="63"/>
    </row>
    <row r="5" spans="1:94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AVERAGE(K5,O5,S5,W5,AA5,AE5,AI5,AM5,AQ5,AU5,AY5,BC5,BG5,BK5,BO5,BS5,BW5,CA5,CE5)</f>
        <v>1612.5</v>
      </c>
      <c r="E5" s="73">
        <f>MEDIAN(K5,O5,S5,W5,AA5,AE5,AI5,AM5,AQ5,AU5,AY5,BC5,BG5,BK5,BO5,BS5,BW5,CA5,CE5)</f>
        <v>1500</v>
      </c>
      <c r="F5" s="73">
        <f>MIN(K5,O5,S5,W5,AA5,AE5,AI5,AM5,AQ5,AU5,AY5,BC5,BG5,BK5,BO5,BS5,BW5,CA5,CE5)</f>
        <v>1240</v>
      </c>
      <c r="G5" s="73">
        <f>MAX(K5,O5,S5,W5,AA5,AE5,AI5,AM5,AQ5,AU5,AY5,BC5,BG5,BK5,BO5,BS5,BW5,CA5,CE5)</f>
        <v>2210</v>
      </c>
      <c r="H5" s="39">
        <f>COUNT(K5,O5,S5,W5,AA5,AE5,AI5,AM5,AQ5,AU5,AY5,BC5,BG5,BK5,BO5,BS5,BW5,CA5,CE5)</f>
        <v>4</v>
      </c>
      <c r="I5" s="39"/>
      <c r="J5" s="63"/>
      <c r="K5" s="39"/>
      <c r="L5" s="39"/>
      <c r="M5" s="61">
        <v>2018</v>
      </c>
      <c r="N5" s="64"/>
      <c r="O5" s="39"/>
      <c r="P5" s="39"/>
      <c r="Q5" s="61"/>
      <c r="R5" s="64"/>
      <c r="S5" s="39"/>
      <c r="T5" s="39"/>
      <c r="U5" s="61"/>
      <c r="V5" s="64"/>
      <c r="W5" s="39">
        <v>2210</v>
      </c>
      <c r="X5" s="39"/>
      <c r="Y5" s="61"/>
      <c r="Z5" s="64"/>
      <c r="AA5" s="39">
        <v>1240</v>
      </c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>
        <v>1400</v>
      </c>
      <c r="AN5" s="39"/>
      <c r="AO5" s="61"/>
      <c r="AP5" s="64"/>
      <c r="AQ5" s="39">
        <v>1600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  <c r="BG5" s="39"/>
      <c r="BH5" s="39"/>
      <c r="BI5" s="61"/>
      <c r="BJ5" s="64"/>
      <c r="BK5" s="39"/>
      <c r="BL5" s="39"/>
      <c r="BM5" s="61"/>
      <c r="BN5" s="64"/>
      <c r="BO5" s="39"/>
      <c r="BP5" s="39"/>
      <c r="BQ5" s="61"/>
      <c r="BR5" s="64"/>
      <c r="BS5" s="39"/>
      <c r="BT5" s="39"/>
      <c r="BU5" s="61"/>
      <c r="BV5" s="64"/>
      <c r="BW5" s="39"/>
      <c r="BX5" s="39"/>
      <c r="BY5" s="61"/>
      <c r="BZ5" s="64"/>
      <c r="CA5" s="39"/>
      <c r="CB5" s="39"/>
      <c r="CC5" s="61"/>
      <c r="CD5" s="64"/>
      <c r="CE5" s="39"/>
      <c r="CF5" s="39"/>
      <c r="CG5" s="61"/>
      <c r="CH5" s="64"/>
      <c r="CI5" s="39"/>
      <c r="CJ5" s="39"/>
      <c r="CK5" s="61"/>
      <c r="CL5" s="64"/>
      <c r="CM5" s="39"/>
      <c r="CN5" s="39"/>
      <c r="CO5" s="61"/>
      <c r="CP5" s="64"/>
    </row>
    <row r="6" spans="1:94" x14ac:dyDescent="0.25">
      <c r="A6" t="s">
        <v>181</v>
      </c>
      <c r="B6" s="46" t="s">
        <v>197</v>
      </c>
      <c r="C6" s="47">
        <v>2020</v>
      </c>
      <c r="D6" s="73">
        <f t="shared" ref="D6:D19" si="0">AVERAGE(K6,O6,S6,W6,AA6,AE6,AI6,AM6,AQ6,AU6,AY6,BC6,BG6,BK6,BO6,BS6,BW6,CA6,CE6)</f>
        <v>0.6</v>
      </c>
      <c r="E6" s="73">
        <f t="shared" ref="E6:E19" si="1">MEDIAN(K6,O6,S6,W6,AA6,AE6,AI6,AM6,AQ6,AU6,AY6,BC6,BG6,BK6,BO6,BS6,BW6,CA6,CE6)</f>
        <v>0.8</v>
      </c>
      <c r="F6" s="73">
        <f t="shared" ref="F6:F19" si="2">MIN(K6,O6,S6,W6,AA6,AE6,AI6,AM6,AQ6,AU6,AY6,BC6,BG6,BK6,BO6,BS6,BW6,CA6,CE6)</f>
        <v>0</v>
      </c>
      <c r="G6" s="73">
        <f t="shared" ref="G6:G19" si="3">MAX(K6,O6,S6,W6,AA6,AE6,AI6,AM6,AQ6,AU6,AY6,BC6,BG6,BK6,BO6,BS6,BW6,CA6,CE6)</f>
        <v>1</v>
      </c>
      <c r="H6" s="39">
        <f t="shared" ref="H6:H19" si="4">COUNT(K6,O6,S6,W6,AA6,AE6,AI6,AM6,AQ6,AU6,AY6,BC6,BG6,BK6,BO6,BS6,BW6,CA6,CE6)</f>
        <v>3</v>
      </c>
      <c r="I6" s="39"/>
      <c r="J6" s="63"/>
      <c r="K6" s="39"/>
      <c r="L6" s="39"/>
      <c r="M6" s="61">
        <v>2018</v>
      </c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/>
      <c r="AF6" s="39"/>
      <c r="AG6" s="61"/>
      <c r="AH6" s="64"/>
      <c r="AI6" s="39">
        <v>0.8</v>
      </c>
      <c r="AJ6" s="39"/>
      <c r="AK6" s="61"/>
      <c r="AL6" s="64"/>
      <c r="AM6" s="39">
        <v>0</v>
      </c>
      <c r="AN6" s="39"/>
      <c r="AO6" s="61"/>
      <c r="AP6" s="64"/>
      <c r="AQ6" s="39">
        <v>1</v>
      </c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  <c r="BG6" s="39"/>
      <c r="BH6" s="39"/>
      <c r="BI6" s="61"/>
      <c r="BJ6" s="64"/>
      <c r="BK6" s="39"/>
      <c r="BL6" s="39"/>
      <c r="BM6" s="61"/>
      <c r="BN6" s="64"/>
      <c r="BO6" s="39"/>
      <c r="BP6" s="39"/>
      <c r="BQ6" s="61"/>
      <c r="BR6" s="64"/>
      <c r="BS6" s="39"/>
      <c r="BT6" s="39"/>
      <c r="BU6" s="61"/>
      <c r="BV6" s="64"/>
      <c r="BW6" s="39"/>
      <c r="BX6" s="39"/>
      <c r="BY6" s="61"/>
      <c r="BZ6" s="64"/>
      <c r="CA6" s="39"/>
      <c r="CB6" s="39"/>
      <c r="CC6" s="61"/>
      <c r="CD6" s="64"/>
      <c r="CE6" s="39"/>
      <c r="CF6" s="39"/>
      <c r="CG6" s="61"/>
      <c r="CH6" s="64"/>
      <c r="CI6" s="39"/>
      <c r="CJ6" s="39"/>
      <c r="CK6" s="61"/>
      <c r="CL6" s="64"/>
      <c r="CM6" s="39"/>
      <c r="CN6" s="39"/>
      <c r="CO6" s="61"/>
      <c r="CP6" s="64"/>
    </row>
    <row r="7" spans="1:94" x14ac:dyDescent="0.25">
      <c r="A7" t="s">
        <v>12</v>
      </c>
      <c r="B7" s="46" t="s">
        <v>197</v>
      </c>
      <c r="C7" s="47">
        <v>2020</v>
      </c>
      <c r="D7" s="73">
        <f t="shared" si="0"/>
        <v>563.6</v>
      </c>
      <c r="E7" s="73">
        <f t="shared" si="1"/>
        <v>525</v>
      </c>
      <c r="F7" s="73">
        <f t="shared" si="2"/>
        <v>358.9</v>
      </c>
      <c r="G7" s="73">
        <f t="shared" si="3"/>
        <v>845.5</v>
      </c>
      <c r="H7" s="39">
        <f t="shared" si="4"/>
        <v>4</v>
      </c>
      <c r="I7" s="39"/>
      <c r="J7" s="63"/>
      <c r="K7" s="39"/>
      <c r="L7" s="39"/>
      <c r="M7" s="61">
        <v>2018</v>
      </c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>
        <v>845.5</v>
      </c>
      <c r="AJ7" s="39"/>
      <c r="AK7" s="61"/>
      <c r="AL7" s="64"/>
      <c r="AM7" s="39">
        <v>470</v>
      </c>
      <c r="AN7" s="39"/>
      <c r="AO7" s="61"/>
      <c r="AP7" s="64"/>
      <c r="AQ7" s="39">
        <v>580</v>
      </c>
      <c r="AR7" s="39"/>
      <c r="AS7" s="61"/>
      <c r="AT7" s="64"/>
      <c r="AU7" s="39">
        <v>358.9</v>
      </c>
      <c r="AV7" s="39"/>
      <c r="AW7" s="61"/>
      <c r="AX7" s="64"/>
      <c r="AY7" s="39"/>
      <c r="AZ7" s="39"/>
      <c r="BA7" s="61"/>
      <c r="BB7" s="64"/>
      <c r="BC7" s="39"/>
      <c r="BD7" s="39"/>
      <c r="BE7" s="61"/>
      <c r="BF7" s="64"/>
      <c r="BG7" s="39"/>
      <c r="BH7" s="39"/>
      <c r="BI7" s="61"/>
      <c r="BJ7" s="64"/>
      <c r="BK7" s="39"/>
      <c r="BL7" s="39"/>
      <c r="BM7" s="61"/>
      <c r="BN7" s="64"/>
      <c r="BO7" s="39"/>
      <c r="BP7" s="39"/>
      <c r="BQ7" s="61"/>
      <c r="BR7" s="64"/>
      <c r="BS7" s="39"/>
      <c r="BT7" s="39"/>
      <c r="BU7" s="61"/>
      <c r="BV7" s="64"/>
      <c r="BW7" s="39"/>
      <c r="BX7" s="39"/>
      <c r="BY7" s="61"/>
      <c r="BZ7" s="64"/>
      <c r="CA7" s="39"/>
      <c r="CB7" s="39"/>
      <c r="CC7" s="61"/>
      <c r="CD7" s="64"/>
      <c r="CE7" s="39"/>
      <c r="CF7" s="39"/>
      <c r="CG7" s="61"/>
      <c r="CH7" s="64"/>
      <c r="CI7" s="39"/>
      <c r="CJ7" s="39"/>
      <c r="CK7" s="61"/>
      <c r="CL7" s="64"/>
      <c r="CM7" s="39"/>
      <c r="CN7" s="39"/>
      <c r="CO7" s="61"/>
      <c r="CP7" s="64"/>
    </row>
    <row r="8" spans="1:94" x14ac:dyDescent="0.25">
      <c r="A8" t="s">
        <v>15</v>
      </c>
      <c r="B8" s="46" t="s">
        <v>197</v>
      </c>
      <c r="C8" s="47">
        <v>2020</v>
      </c>
      <c r="D8" s="73">
        <f t="shared" si="0"/>
        <v>1707.3333333333333</v>
      </c>
      <c r="E8" s="73">
        <f t="shared" si="1"/>
        <v>986</v>
      </c>
      <c r="F8" s="73">
        <f t="shared" si="2"/>
        <v>940</v>
      </c>
      <c r="G8" s="73">
        <f t="shared" si="3"/>
        <v>4982</v>
      </c>
      <c r="H8" s="39">
        <f t="shared" si="4"/>
        <v>6</v>
      </c>
      <c r="I8" s="39"/>
      <c r="J8" s="63"/>
      <c r="K8" s="39">
        <v>4982</v>
      </c>
      <c r="L8" s="39"/>
      <c r="M8" s="61">
        <v>2018</v>
      </c>
      <c r="N8" s="64"/>
      <c r="O8" s="39"/>
      <c r="P8" s="39"/>
      <c r="Q8" s="61"/>
      <c r="R8" s="64"/>
      <c r="S8" s="39"/>
      <c r="T8" s="39"/>
      <c r="U8" s="61"/>
      <c r="V8" s="64"/>
      <c r="W8" s="39">
        <v>960</v>
      </c>
      <c r="X8" s="39"/>
      <c r="Y8" s="61"/>
      <c r="Z8" s="64"/>
      <c r="AA8" s="39">
        <v>940</v>
      </c>
      <c r="AB8" s="39"/>
      <c r="AC8" s="61"/>
      <c r="AD8" s="64"/>
      <c r="AE8" s="39"/>
      <c r="AF8" s="39"/>
      <c r="AG8" s="61"/>
      <c r="AH8" s="64"/>
      <c r="AI8" s="39"/>
      <c r="AJ8" s="39"/>
      <c r="AK8" s="61"/>
      <c r="AL8" s="64"/>
      <c r="AM8" s="39">
        <v>1400</v>
      </c>
      <c r="AN8" s="39"/>
      <c r="AO8" s="61"/>
      <c r="AP8" s="64"/>
      <c r="AQ8" s="39">
        <v>950</v>
      </c>
      <c r="AR8" s="39"/>
      <c r="AS8" s="61"/>
      <c r="AT8" s="64"/>
      <c r="AU8" s="39">
        <v>1012</v>
      </c>
      <c r="AV8" s="39"/>
      <c r="AW8" s="61"/>
      <c r="AX8" s="64"/>
      <c r="AY8" s="39"/>
      <c r="AZ8" s="39"/>
      <c r="BA8" s="61"/>
      <c r="BB8" s="64"/>
      <c r="BC8" s="39"/>
      <c r="BD8" s="39"/>
      <c r="BE8" s="61"/>
      <c r="BF8" s="64"/>
      <c r="BG8" s="39"/>
      <c r="BH8" s="39"/>
      <c r="BI8" s="61"/>
      <c r="BJ8" s="64"/>
      <c r="BK8" s="39"/>
      <c r="BL8" s="39"/>
      <c r="BM8" s="61"/>
      <c r="BN8" s="64"/>
      <c r="BO8" s="39"/>
      <c r="BP8" s="39"/>
      <c r="BQ8" s="61"/>
      <c r="BR8" s="64"/>
      <c r="BS8" s="39"/>
      <c r="BT8" s="39"/>
      <c r="BU8" s="61"/>
      <c r="BV8" s="64"/>
      <c r="BW8" s="39"/>
      <c r="BX8" s="39"/>
      <c r="BY8" s="61"/>
      <c r="BZ8" s="64"/>
      <c r="CA8" s="39"/>
      <c r="CB8" s="39"/>
      <c r="CC8" s="61"/>
      <c r="CD8" s="64"/>
      <c r="CE8" s="39"/>
      <c r="CF8" s="39"/>
      <c r="CG8" s="61"/>
      <c r="CH8" s="64"/>
      <c r="CI8" s="39"/>
      <c r="CJ8" s="39"/>
      <c r="CK8" s="61"/>
      <c r="CL8" s="64"/>
      <c r="CM8" s="39"/>
      <c r="CN8" s="39"/>
      <c r="CO8" s="61"/>
      <c r="CP8" s="64"/>
    </row>
    <row r="9" spans="1:94" x14ac:dyDescent="0.25">
      <c r="A9" t="s">
        <v>16</v>
      </c>
      <c r="B9" s="46" t="s">
        <v>197</v>
      </c>
      <c r="C9" s="47">
        <v>2020</v>
      </c>
      <c r="D9" s="73">
        <f t="shared" si="0"/>
        <v>2.5111111111111111</v>
      </c>
      <c r="E9" s="73">
        <f t="shared" si="1"/>
        <v>2</v>
      </c>
      <c r="F9" s="73">
        <f t="shared" si="2"/>
        <v>0</v>
      </c>
      <c r="G9" s="73">
        <f t="shared" si="3"/>
        <v>6</v>
      </c>
      <c r="H9" s="39">
        <f t="shared" si="4"/>
        <v>9</v>
      </c>
      <c r="I9" s="39"/>
      <c r="J9" s="63"/>
      <c r="K9" s="39"/>
      <c r="L9" s="39"/>
      <c r="M9" s="61">
        <v>2018</v>
      </c>
      <c r="N9" s="64"/>
      <c r="O9" s="87">
        <v>3.7</v>
      </c>
      <c r="P9" s="39"/>
      <c r="Q9" s="61"/>
      <c r="R9" s="64"/>
      <c r="S9" s="39">
        <v>1.8</v>
      </c>
      <c r="T9" s="39"/>
      <c r="U9" s="61"/>
      <c r="V9" s="64"/>
      <c r="W9" s="39">
        <v>0</v>
      </c>
      <c r="X9" s="39"/>
      <c r="Y9" s="61"/>
      <c r="Z9" s="64"/>
      <c r="AA9" s="39">
        <v>0</v>
      </c>
      <c r="AB9" s="39"/>
      <c r="AC9" s="61"/>
      <c r="AD9" s="64"/>
      <c r="AE9" s="39">
        <v>5.3999999999999995</v>
      </c>
      <c r="AF9" s="39"/>
      <c r="AG9" s="61"/>
      <c r="AH9" s="64"/>
      <c r="AI9" s="39">
        <v>2.8</v>
      </c>
      <c r="AJ9" s="39"/>
      <c r="AK9" s="61"/>
      <c r="AL9" s="64"/>
      <c r="AM9" s="39">
        <v>2</v>
      </c>
      <c r="AN9" s="39"/>
      <c r="AO9" s="61"/>
      <c r="AP9" s="64"/>
      <c r="AQ9" s="39">
        <v>6</v>
      </c>
      <c r="AR9" s="39"/>
      <c r="AS9" s="61"/>
      <c r="AT9" s="64"/>
      <c r="AU9" s="39">
        <v>0.9</v>
      </c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  <c r="BG9" s="39"/>
      <c r="BH9" s="39"/>
      <c r="BI9" s="61"/>
      <c r="BJ9" s="64"/>
      <c r="BK9" s="39"/>
      <c r="BL9" s="39"/>
      <c r="BM9" s="61"/>
      <c r="BN9" s="64"/>
      <c r="BO9" s="39"/>
      <c r="BP9" s="39"/>
      <c r="BQ9" s="61"/>
      <c r="BR9" s="64"/>
      <c r="BS9" s="39"/>
      <c r="BT9" s="39"/>
      <c r="BU9" s="61"/>
      <c r="BV9" s="64"/>
      <c r="BW9" s="39"/>
      <c r="BX9" s="39"/>
      <c r="BY9" s="61"/>
      <c r="BZ9" s="64"/>
      <c r="CA9" s="39"/>
      <c r="CB9" s="39"/>
      <c r="CC9" s="61"/>
      <c r="CD9" s="64"/>
      <c r="CE9" s="39"/>
      <c r="CF9" s="39"/>
      <c r="CG9" s="61"/>
      <c r="CH9" s="64"/>
      <c r="CI9" s="39"/>
      <c r="CJ9" s="39"/>
      <c r="CK9" s="61"/>
      <c r="CL9" s="64"/>
      <c r="CM9" s="39"/>
      <c r="CN9" s="39"/>
      <c r="CO9" s="61"/>
      <c r="CP9" s="64"/>
    </row>
    <row r="10" spans="1:94" x14ac:dyDescent="0.25">
      <c r="A10" t="s">
        <v>33</v>
      </c>
      <c r="B10" s="46" t="s">
        <v>197</v>
      </c>
      <c r="C10" s="47">
        <v>2020</v>
      </c>
      <c r="D10" s="73">
        <f t="shared" si="0"/>
        <v>545.5</v>
      </c>
      <c r="E10" s="73">
        <f t="shared" si="1"/>
        <v>780</v>
      </c>
      <c r="F10" s="73">
        <f t="shared" si="2"/>
        <v>56.5</v>
      </c>
      <c r="G10" s="73">
        <f t="shared" si="3"/>
        <v>800</v>
      </c>
      <c r="H10" s="39">
        <f t="shared" si="4"/>
        <v>3</v>
      </c>
      <c r="I10" s="39"/>
      <c r="J10" s="63"/>
      <c r="K10" s="39"/>
      <c r="L10" s="39"/>
      <c r="M10" s="61">
        <v>2018</v>
      </c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/>
      <c r="AF10" s="39"/>
      <c r="AG10" s="61"/>
      <c r="AH10" s="64"/>
      <c r="AI10" s="39">
        <v>56.5</v>
      </c>
      <c r="AJ10" s="39"/>
      <c r="AK10" s="61"/>
      <c r="AL10" s="64"/>
      <c r="AM10" s="39">
        <v>780</v>
      </c>
      <c r="AN10" s="39"/>
      <c r="AO10" s="61"/>
      <c r="AP10" s="64"/>
      <c r="AQ10" s="39">
        <v>800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/>
      <c r="BD10" s="39"/>
      <c r="BE10" s="61"/>
      <c r="BF10" s="64"/>
      <c r="BG10" s="39"/>
      <c r="BH10" s="39"/>
      <c r="BI10" s="61"/>
      <c r="BJ10" s="64"/>
      <c r="BK10" s="39"/>
      <c r="BL10" s="39"/>
      <c r="BM10" s="61"/>
      <c r="BN10" s="64"/>
      <c r="BO10" s="39"/>
      <c r="BP10" s="39"/>
      <c r="BQ10" s="61"/>
      <c r="BR10" s="64"/>
      <c r="BS10" s="39"/>
      <c r="BT10" s="39"/>
      <c r="BU10" s="61"/>
      <c r="BV10" s="64"/>
      <c r="BW10" s="39"/>
      <c r="BX10" s="39"/>
      <c r="BY10" s="61"/>
      <c r="BZ10" s="64"/>
      <c r="CA10" s="39"/>
      <c r="CB10" s="39"/>
      <c r="CC10" s="61"/>
      <c r="CD10" s="64"/>
      <c r="CE10" s="39"/>
      <c r="CF10" s="39"/>
      <c r="CG10" s="61"/>
      <c r="CH10" s="64"/>
      <c r="CI10" s="39"/>
      <c r="CJ10" s="39"/>
      <c r="CK10" s="61"/>
      <c r="CL10" s="64"/>
      <c r="CM10" s="39"/>
      <c r="CN10" s="39"/>
      <c r="CO10" s="61"/>
      <c r="CP10" s="64"/>
    </row>
    <row r="11" spans="1:94" x14ac:dyDescent="0.25">
      <c r="A11" t="s">
        <v>34</v>
      </c>
      <c r="B11" s="46" t="s">
        <v>197</v>
      </c>
      <c r="C11" s="47">
        <v>2020</v>
      </c>
      <c r="D11" s="73">
        <f t="shared" si="0"/>
        <v>104.825</v>
      </c>
      <c r="E11" s="73">
        <f t="shared" si="1"/>
        <v>109</v>
      </c>
      <c r="F11" s="73">
        <f t="shared" si="2"/>
        <v>75.300000000000011</v>
      </c>
      <c r="G11" s="73">
        <f t="shared" si="3"/>
        <v>126</v>
      </c>
      <c r="H11" s="39">
        <f t="shared" si="4"/>
        <v>4</v>
      </c>
      <c r="I11" s="39"/>
      <c r="J11" s="63"/>
      <c r="K11" s="39"/>
      <c r="L11" s="39"/>
      <c r="M11" s="61">
        <v>2018</v>
      </c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  <c r="AA11" s="39"/>
      <c r="AB11" s="39"/>
      <c r="AC11" s="61"/>
      <c r="AD11" s="64"/>
      <c r="AE11" s="39"/>
      <c r="AF11" s="39"/>
      <c r="AG11" s="61"/>
      <c r="AH11" s="64"/>
      <c r="AI11" s="39">
        <v>126</v>
      </c>
      <c r="AJ11" s="39"/>
      <c r="AK11" s="61"/>
      <c r="AL11" s="64"/>
      <c r="AM11" s="39">
        <v>99</v>
      </c>
      <c r="AN11" s="39"/>
      <c r="AO11" s="61"/>
      <c r="AP11" s="64"/>
      <c r="AQ11" s="39">
        <v>119</v>
      </c>
      <c r="AR11" s="39"/>
      <c r="AS11" s="61"/>
      <c r="AT11" s="64"/>
      <c r="AU11" s="39">
        <v>75.300000000000011</v>
      </c>
      <c r="AV11" s="39"/>
      <c r="AW11" s="61"/>
      <c r="AX11" s="64"/>
      <c r="AY11" s="39"/>
      <c r="AZ11" s="39"/>
      <c r="BA11" s="61"/>
      <c r="BB11" s="64"/>
      <c r="BC11" s="39"/>
      <c r="BD11" s="39"/>
      <c r="BE11" s="61"/>
      <c r="BF11" s="64"/>
      <c r="BG11" s="39"/>
      <c r="BH11" s="39"/>
      <c r="BI11" s="61"/>
      <c r="BJ11" s="64"/>
      <c r="BK11" s="39"/>
      <c r="BL11" s="39"/>
      <c r="BM11" s="61"/>
      <c r="BN11" s="64"/>
      <c r="BO11" s="39"/>
      <c r="BP11" s="39"/>
      <c r="BQ11" s="61"/>
      <c r="BR11" s="64"/>
      <c r="BS11" s="39"/>
      <c r="BT11" s="39"/>
      <c r="BU11" s="61"/>
      <c r="BV11" s="64"/>
      <c r="BW11" s="39"/>
      <c r="BX11" s="39"/>
      <c r="BY11" s="61"/>
      <c r="BZ11" s="64"/>
      <c r="CA11" s="39"/>
      <c r="CB11" s="39"/>
      <c r="CC11" s="61"/>
      <c r="CD11" s="64"/>
      <c r="CE11" s="39"/>
      <c r="CF11" s="39"/>
      <c r="CG11" s="61"/>
      <c r="CH11" s="64"/>
      <c r="CI11" s="39"/>
      <c r="CJ11" s="39"/>
      <c r="CK11" s="61"/>
      <c r="CL11" s="64"/>
      <c r="CM11" s="39"/>
      <c r="CN11" s="39"/>
      <c r="CO11" s="61"/>
      <c r="CP11" s="64"/>
    </row>
    <row r="12" spans="1:94" x14ac:dyDescent="0.25">
      <c r="A12" t="s">
        <v>37</v>
      </c>
      <c r="B12" s="46" t="s">
        <v>197</v>
      </c>
      <c r="C12" s="47">
        <v>2020</v>
      </c>
      <c r="D12" s="73">
        <f t="shared" si="0"/>
        <v>18.955555555555556</v>
      </c>
      <c r="E12" s="73">
        <f t="shared" si="1"/>
        <v>12</v>
      </c>
      <c r="F12" s="73">
        <f t="shared" si="2"/>
        <v>0</v>
      </c>
      <c r="G12" s="73">
        <f t="shared" si="3"/>
        <v>51</v>
      </c>
      <c r="H12" s="39">
        <f t="shared" si="4"/>
        <v>9</v>
      </c>
      <c r="I12" s="39"/>
      <c r="J12" s="63"/>
      <c r="K12" s="39"/>
      <c r="L12" s="39"/>
      <c r="M12" s="61">
        <v>2018</v>
      </c>
      <c r="N12" s="64"/>
      <c r="O12" s="77">
        <v>49.6</v>
      </c>
      <c r="P12" s="39"/>
      <c r="Q12" s="61"/>
      <c r="R12" s="64"/>
      <c r="S12" s="39">
        <v>24.8</v>
      </c>
      <c r="T12" s="39"/>
      <c r="U12" s="61"/>
      <c r="V12" s="64"/>
      <c r="W12" s="39">
        <v>0</v>
      </c>
      <c r="X12" s="39"/>
      <c r="Y12" s="61"/>
      <c r="Z12" s="64"/>
      <c r="AA12" s="39">
        <v>0</v>
      </c>
      <c r="AB12" s="39"/>
      <c r="AC12" s="61"/>
      <c r="AD12" s="64"/>
      <c r="AE12" s="39">
        <v>27</v>
      </c>
      <c r="AF12" s="39"/>
      <c r="AG12" s="61"/>
      <c r="AH12" s="64"/>
      <c r="AI12" s="39">
        <v>0</v>
      </c>
      <c r="AJ12" s="39"/>
      <c r="AK12" s="61"/>
      <c r="AL12" s="64"/>
      <c r="AM12" s="39">
        <v>12</v>
      </c>
      <c r="AN12" s="39"/>
      <c r="AO12" s="61"/>
      <c r="AP12" s="64"/>
      <c r="AQ12" s="39">
        <v>51</v>
      </c>
      <c r="AR12" s="39"/>
      <c r="AS12" s="61"/>
      <c r="AT12" s="64"/>
      <c r="AU12" s="39">
        <v>6.2</v>
      </c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  <c r="BG12" s="39"/>
      <c r="BH12" s="39"/>
      <c r="BI12" s="61"/>
      <c r="BJ12" s="64"/>
      <c r="BK12" s="39"/>
      <c r="BL12" s="39"/>
      <c r="BM12" s="61"/>
      <c r="BN12" s="64"/>
      <c r="BO12" s="39"/>
      <c r="BP12" s="39"/>
      <c r="BQ12" s="61"/>
      <c r="BR12" s="64"/>
      <c r="BS12" s="39"/>
      <c r="BT12" s="39"/>
      <c r="BU12" s="61"/>
      <c r="BV12" s="64"/>
      <c r="BW12" s="39"/>
      <c r="BX12" s="39"/>
      <c r="BY12" s="61"/>
      <c r="BZ12" s="64"/>
      <c r="CA12" s="39"/>
      <c r="CB12" s="39"/>
      <c r="CC12" s="61"/>
      <c r="CD12" s="64"/>
      <c r="CE12" s="39"/>
      <c r="CF12" s="39"/>
      <c r="CG12" s="61"/>
      <c r="CH12" s="64"/>
      <c r="CI12" s="39"/>
      <c r="CJ12" s="39"/>
      <c r="CK12" s="61"/>
      <c r="CL12" s="64"/>
      <c r="CM12" s="39"/>
      <c r="CN12" s="39"/>
      <c r="CO12" s="61"/>
      <c r="CP12" s="64"/>
    </row>
    <row r="13" spans="1:94" x14ac:dyDescent="0.25">
      <c r="A13" t="s">
        <v>38</v>
      </c>
      <c r="B13" s="46" t="s">
        <v>197</v>
      </c>
      <c r="C13" s="47">
        <v>2020</v>
      </c>
      <c r="D13" s="73">
        <f t="shared" si="0"/>
        <v>446.71999999999997</v>
      </c>
      <c r="E13" s="73">
        <f t="shared" si="1"/>
        <v>430</v>
      </c>
      <c r="F13" s="73">
        <f t="shared" si="2"/>
        <v>376.59999999999997</v>
      </c>
      <c r="G13" s="73">
        <f t="shared" si="3"/>
        <v>610</v>
      </c>
      <c r="H13" s="39">
        <f t="shared" si="4"/>
        <v>5</v>
      </c>
      <c r="I13" s="39"/>
      <c r="J13" s="63"/>
      <c r="K13" s="39">
        <v>377</v>
      </c>
      <c r="L13" s="39"/>
      <c r="M13" s="61">
        <v>2018</v>
      </c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  <c r="AA13" s="39"/>
      <c r="AB13" s="39"/>
      <c r="AC13" s="61"/>
      <c r="AD13" s="64"/>
      <c r="AE13" s="39"/>
      <c r="AF13" s="39"/>
      <c r="AG13" s="61"/>
      <c r="AH13" s="64"/>
      <c r="AI13" s="39">
        <v>610</v>
      </c>
      <c r="AJ13" s="39"/>
      <c r="AK13" s="61"/>
      <c r="AL13" s="64"/>
      <c r="AM13" s="39">
        <v>430</v>
      </c>
      <c r="AN13" s="39"/>
      <c r="AO13" s="61"/>
      <c r="AP13" s="64"/>
      <c r="AQ13" s="39">
        <v>440</v>
      </c>
      <c r="AR13" s="39"/>
      <c r="AS13" s="61"/>
      <c r="AT13" s="64"/>
      <c r="AU13" s="39">
        <v>376.59999999999997</v>
      </c>
      <c r="AV13" s="39"/>
      <c r="AW13" s="61"/>
      <c r="AX13" s="64"/>
      <c r="AY13" s="39"/>
      <c r="AZ13" s="39"/>
      <c r="BA13" s="61"/>
      <c r="BB13" s="64"/>
      <c r="BC13" s="39"/>
      <c r="BD13" s="39"/>
      <c r="BE13" s="61"/>
      <c r="BF13" s="64"/>
      <c r="BG13" s="39"/>
      <c r="BH13" s="39"/>
      <c r="BI13" s="61"/>
      <c r="BJ13" s="64"/>
      <c r="BK13" s="39"/>
      <c r="BL13" s="39"/>
      <c r="BM13" s="61"/>
      <c r="BN13" s="64"/>
      <c r="BO13" s="39"/>
      <c r="BP13" s="39"/>
      <c r="BQ13" s="61"/>
      <c r="BR13" s="64"/>
      <c r="BS13" s="39"/>
      <c r="BT13" s="39"/>
      <c r="BU13" s="61"/>
      <c r="BV13" s="64"/>
      <c r="BW13" s="39"/>
      <c r="BX13" s="39"/>
      <c r="BY13" s="61"/>
      <c r="BZ13" s="64"/>
      <c r="CA13" s="39"/>
      <c r="CB13" s="39"/>
      <c r="CC13" s="61"/>
      <c r="CD13" s="64"/>
      <c r="CE13" s="39"/>
      <c r="CF13" s="39"/>
      <c r="CG13" s="61"/>
      <c r="CH13" s="64"/>
      <c r="CI13" s="39"/>
      <c r="CJ13" s="39"/>
      <c r="CK13" s="61"/>
      <c r="CL13" s="64"/>
      <c r="CM13" s="39"/>
      <c r="CN13" s="39"/>
      <c r="CO13" s="61"/>
      <c r="CP13" s="64"/>
    </row>
    <row r="14" spans="1:94" x14ac:dyDescent="0.25">
      <c r="A14" t="s">
        <v>39</v>
      </c>
      <c r="B14" s="46" t="s">
        <v>197</v>
      </c>
      <c r="C14" s="47">
        <v>2020</v>
      </c>
      <c r="D14" s="73">
        <f t="shared" si="0"/>
        <v>37.699999999999996</v>
      </c>
      <c r="E14" s="73">
        <f t="shared" si="1"/>
        <v>37.699999999999996</v>
      </c>
      <c r="F14" s="73">
        <f t="shared" si="2"/>
        <v>37.699999999999996</v>
      </c>
      <c r="G14" s="73">
        <f t="shared" si="3"/>
        <v>37.699999999999996</v>
      </c>
      <c r="H14" s="39">
        <f t="shared" si="4"/>
        <v>1</v>
      </c>
      <c r="I14" s="39"/>
      <c r="J14" s="63"/>
      <c r="K14" s="39"/>
      <c r="L14" s="39"/>
      <c r="M14" s="61">
        <v>2018</v>
      </c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  <c r="AA14" s="39"/>
      <c r="AB14" s="39"/>
      <c r="AC14" s="61"/>
      <c r="AD14" s="64"/>
      <c r="AE14" s="39"/>
      <c r="AF14" s="39"/>
      <c r="AG14" s="61"/>
      <c r="AH14" s="64"/>
      <c r="AI14" s="39"/>
      <c r="AJ14" s="39"/>
      <c r="AK14" s="61"/>
      <c r="AL14" s="64"/>
      <c r="AM14" s="39"/>
      <c r="AN14" s="39"/>
      <c r="AO14" s="61"/>
      <c r="AP14" s="64"/>
      <c r="AQ14" s="39"/>
      <c r="AR14" s="39"/>
      <c r="AS14" s="61"/>
      <c r="AT14" s="64"/>
      <c r="AU14" s="39">
        <v>37.699999999999996</v>
      </c>
      <c r="AV14" s="39"/>
      <c r="AW14" s="61"/>
      <c r="AX14" s="64"/>
      <c r="AY14" s="39"/>
      <c r="AZ14" s="39"/>
      <c r="BA14" s="61"/>
      <c r="BB14" s="64"/>
      <c r="BC14" s="39"/>
      <c r="BD14" s="39"/>
      <c r="BE14" s="61"/>
      <c r="BF14" s="64"/>
      <c r="BG14" s="39"/>
      <c r="BH14" s="39"/>
      <c r="BI14" s="61"/>
      <c r="BJ14" s="64"/>
      <c r="BK14" s="39"/>
      <c r="BL14" s="39"/>
      <c r="BM14" s="61"/>
      <c r="BN14" s="64"/>
      <c r="BO14" s="39"/>
      <c r="BP14" s="39"/>
      <c r="BQ14" s="61"/>
      <c r="BR14" s="64"/>
      <c r="BS14" s="39"/>
      <c r="BT14" s="39"/>
      <c r="BU14" s="61"/>
      <c r="BV14" s="64"/>
      <c r="BW14" s="39"/>
      <c r="BX14" s="39"/>
      <c r="BY14" s="61"/>
      <c r="BZ14" s="64"/>
      <c r="CA14" s="39"/>
      <c r="CB14" s="39"/>
      <c r="CC14" s="61"/>
      <c r="CD14" s="64"/>
      <c r="CE14" s="39"/>
      <c r="CF14" s="39"/>
      <c r="CG14" s="61"/>
      <c r="CH14" s="64"/>
      <c r="CI14" s="39"/>
      <c r="CJ14" s="39"/>
      <c r="CK14" s="61"/>
      <c r="CL14" s="64"/>
      <c r="CM14" s="39"/>
      <c r="CN14" s="39"/>
      <c r="CO14" s="61"/>
      <c r="CP14" s="64"/>
    </row>
    <row r="15" spans="1:94" x14ac:dyDescent="0.25">
      <c r="A15" t="s">
        <v>131</v>
      </c>
      <c r="B15" s="46" t="s">
        <v>197</v>
      </c>
      <c r="C15" s="47">
        <v>2020</v>
      </c>
      <c r="D15" s="73">
        <f t="shared" si="0"/>
        <v>3.66</v>
      </c>
      <c r="E15" s="73">
        <f t="shared" si="1"/>
        <v>4</v>
      </c>
      <c r="F15" s="73">
        <f t="shared" si="2"/>
        <v>0</v>
      </c>
      <c r="G15" s="73">
        <f t="shared" si="3"/>
        <v>9</v>
      </c>
      <c r="H15" s="39">
        <f t="shared" si="4"/>
        <v>5</v>
      </c>
      <c r="I15" s="39"/>
      <c r="J15" s="63"/>
      <c r="K15" s="39"/>
      <c r="L15" s="39"/>
      <c r="M15" s="61">
        <v>2018</v>
      </c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  <c r="AA15" s="39"/>
      <c r="AB15" s="39"/>
      <c r="AC15" s="61"/>
      <c r="AD15" s="64"/>
      <c r="AE15" s="39">
        <v>9</v>
      </c>
      <c r="AF15" s="39"/>
      <c r="AG15" s="61"/>
      <c r="AH15" s="64"/>
      <c r="AI15" s="39">
        <v>4</v>
      </c>
      <c r="AJ15" s="39"/>
      <c r="AK15" s="61"/>
      <c r="AL15" s="64"/>
      <c r="AM15" s="39">
        <v>0</v>
      </c>
      <c r="AN15" s="39"/>
      <c r="AO15" s="61"/>
      <c r="AP15" s="64"/>
      <c r="AQ15" s="39">
        <v>4</v>
      </c>
      <c r="AR15" s="39"/>
      <c r="AS15" s="61"/>
      <c r="AT15" s="64"/>
      <c r="AU15" s="39">
        <v>1.3</v>
      </c>
      <c r="AV15" s="39"/>
      <c r="AW15" s="61"/>
      <c r="AX15" s="64"/>
      <c r="AY15" s="39"/>
      <c r="AZ15" s="39"/>
      <c r="BA15" s="61"/>
      <c r="BB15" s="64"/>
      <c r="BC15" s="39"/>
      <c r="BD15" s="39"/>
      <c r="BE15" s="61"/>
      <c r="BF15" s="64"/>
      <c r="BG15" s="39"/>
      <c r="BH15" s="39"/>
      <c r="BI15" s="61"/>
      <c r="BJ15" s="64"/>
      <c r="BK15" s="39"/>
      <c r="BL15" s="39"/>
      <c r="BM15" s="61"/>
      <c r="BN15" s="64"/>
      <c r="BO15" s="39"/>
      <c r="BP15" s="39"/>
      <c r="BQ15" s="61"/>
      <c r="BR15" s="64"/>
      <c r="BS15" s="39"/>
      <c r="BT15" s="39"/>
      <c r="BU15" s="61"/>
      <c r="BV15" s="64"/>
      <c r="BW15" s="39"/>
      <c r="BX15" s="39"/>
      <c r="BY15" s="61"/>
      <c r="BZ15" s="64"/>
      <c r="CA15" s="39"/>
      <c r="CB15" s="39"/>
      <c r="CC15" s="61"/>
      <c r="CD15" s="64"/>
      <c r="CE15" s="39"/>
      <c r="CF15" s="39"/>
      <c r="CG15" s="61"/>
      <c r="CH15" s="64"/>
      <c r="CI15" s="39"/>
      <c r="CJ15" s="39"/>
      <c r="CK15" s="61"/>
      <c r="CL15" s="64"/>
      <c r="CM15" s="39"/>
      <c r="CN15" s="39"/>
      <c r="CO15" s="61"/>
      <c r="CP15" s="64"/>
    </row>
    <row r="16" spans="1:94" x14ac:dyDescent="0.25">
      <c r="A16" t="s">
        <v>196</v>
      </c>
      <c r="B16" s="46" t="s">
        <v>197</v>
      </c>
      <c r="C16" s="47">
        <v>2020</v>
      </c>
      <c r="D16" s="73">
        <f t="shared" si="0"/>
        <v>118957.5</v>
      </c>
      <c r="E16" s="73">
        <f t="shared" si="1"/>
        <v>110000</v>
      </c>
      <c r="F16" s="73">
        <f t="shared" si="2"/>
        <v>100040</v>
      </c>
      <c r="G16" s="73">
        <f t="shared" si="3"/>
        <v>155790</v>
      </c>
      <c r="H16" s="39">
        <f t="shared" si="4"/>
        <v>4</v>
      </c>
      <c r="I16" s="39"/>
      <c r="J16" s="63"/>
      <c r="K16" s="39"/>
      <c r="L16" s="39"/>
      <c r="M16" s="61">
        <v>2018</v>
      </c>
      <c r="N16" s="64"/>
      <c r="O16" s="39"/>
      <c r="P16" s="39"/>
      <c r="Q16" s="61"/>
      <c r="R16" s="64"/>
      <c r="S16" s="39"/>
      <c r="T16" s="39"/>
      <c r="U16" s="61"/>
      <c r="V16" s="64"/>
      <c r="W16" s="39">
        <v>155790</v>
      </c>
      <c r="X16" s="39"/>
      <c r="Y16" s="61"/>
      <c r="Z16" s="64"/>
      <c r="AA16" s="39">
        <v>100040</v>
      </c>
      <c r="AB16" s="39"/>
      <c r="AC16" s="61"/>
      <c r="AD16" s="64"/>
      <c r="AE16" s="39"/>
      <c r="AF16" s="39"/>
      <c r="AG16" s="61"/>
      <c r="AH16" s="64"/>
      <c r="AI16" s="39"/>
      <c r="AJ16" s="39"/>
      <c r="AK16" s="61"/>
      <c r="AL16" s="64"/>
      <c r="AM16" s="39">
        <v>113000</v>
      </c>
      <c r="AN16" s="39"/>
      <c r="AO16" s="61"/>
      <c r="AP16" s="64"/>
      <c r="AQ16" s="39">
        <v>107000</v>
      </c>
      <c r="AR16" s="39"/>
      <c r="AS16" s="61"/>
      <c r="AT16" s="64"/>
      <c r="AU16" s="39"/>
      <c r="AV16" s="39"/>
      <c r="AW16" s="61"/>
      <c r="AX16" s="64"/>
      <c r="AY16" s="39"/>
      <c r="AZ16" s="39"/>
      <c r="BA16" s="61"/>
      <c r="BB16" s="64"/>
      <c r="BC16" s="39"/>
      <c r="BD16" s="39"/>
      <c r="BE16" s="61"/>
      <c r="BF16" s="64"/>
      <c r="BG16" s="39"/>
      <c r="BH16" s="39"/>
      <c r="BI16" s="61"/>
      <c r="BJ16" s="64"/>
      <c r="BK16" s="39"/>
      <c r="BL16" s="39"/>
      <c r="BM16" s="61"/>
      <c r="BN16" s="64"/>
      <c r="BO16" s="39"/>
      <c r="BP16" s="39"/>
      <c r="BQ16" s="61"/>
      <c r="BR16" s="64"/>
      <c r="BS16" s="39"/>
      <c r="BT16" s="39"/>
      <c r="BU16" s="61"/>
      <c r="BV16" s="64"/>
      <c r="BW16" s="39"/>
      <c r="BX16" s="39"/>
      <c r="BY16" s="61"/>
      <c r="BZ16" s="64"/>
      <c r="CA16" s="39"/>
      <c r="CB16" s="39"/>
      <c r="CC16" s="61"/>
      <c r="CD16" s="64"/>
      <c r="CE16" s="39"/>
      <c r="CF16" s="39"/>
      <c r="CG16" s="61"/>
      <c r="CH16" s="64"/>
      <c r="CI16" s="39"/>
      <c r="CJ16" s="39"/>
      <c r="CK16" s="61"/>
      <c r="CL16" s="64"/>
      <c r="CM16" s="39"/>
      <c r="CN16" s="39"/>
      <c r="CO16" s="61"/>
      <c r="CP16" s="64"/>
    </row>
    <row r="17" spans="1:94" x14ac:dyDescent="0.25">
      <c r="A17" t="s">
        <v>134</v>
      </c>
      <c r="B17" s="46" t="s">
        <v>197</v>
      </c>
      <c r="C17" s="47">
        <v>2020</v>
      </c>
      <c r="D17" s="73">
        <f t="shared" si="0"/>
        <v>0.52500000000000002</v>
      </c>
      <c r="E17" s="73">
        <f t="shared" si="1"/>
        <v>0.55000000000000004</v>
      </c>
      <c r="F17" s="73">
        <f t="shared" si="2"/>
        <v>0</v>
      </c>
      <c r="G17" s="73">
        <f t="shared" si="3"/>
        <v>1</v>
      </c>
      <c r="H17" s="39">
        <f t="shared" si="4"/>
        <v>4</v>
      </c>
      <c r="I17" s="39"/>
      <c r="J17" s="63"/>
      <c r="K17" s="39"/>
      <c r="L17" s="39"/>
      <c r="M17" s="61">
        <v>2018</v>
      </c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  <c r="AA17" s="39"/>
      <c r="AB17" s="39"/>
      <c r="AC17" s="61"/>
      <c r="AD17" s="64"/>
      <c r="AE17" s="39"/>
      <c r="AF17" s="39"/>
      <c r="AG17" s="61"/>
      <c r="AH17" s="64"/>
      <c r="AI17" s="39">
        <v>0.8</v>
      </c>
      <c r="AJ17" s="39"/>
      <c r="AK17" s="61"/>
      <c r="AL17" s="64"/>
      <c r="AM17" s="39">
        <v>0</v>
      </c>
      <c r="AN17" s="39"/>
      <c r="AO17" s="61"/>
      <c r="AP17" s="64"/>
      <c r="AQ17" s="39">
        <v>1</v>
      </c>
      <c r="AR17" s="39"/>
      <c r="AS17" s="61"/>
      <c r="AT17" s="64"/>
      <c r="AU17" s="39">
        <v>0.3</v>
      </c>
      <c r="AV17" s="39"/>
      <c r="AW17" s="61"/>
      <c r="AX17" s="64"/>
      <c r="AY17" s="39"/>
      <c r="AZ17" s="39"/>
      <c r="BA17" s="61"/>
      <c r="BB17" s="64"/>
      <c r="BC17" s="39"/>
      <c r="BD17" s="39"/>
      <c r="BE17" s="61"/>
      <c r="BF17" s="64"/>
      <c r="BG17" s="39"/>
      <c r="BH17" s="39"/>
      <c r="BI17" s="61"/>
      <c r="BJ17" s="64"/>
      <c r="BK17" s="39"/>
      <c r="BL17" s="39"/>
      <c r="BM17" s="61"/>
      <c r="BN17" s="64"/>
      <c r="BO17" s="39"/>
      <c r="BP17" s="39"/>
      <c r="BQ17" s="61"/>
      <c r="BR17" s="64"/>
      <c r="BS17" s="39"/>
      <c r="BT17" s="39"/>
      <c r="BU17" s="61"/>
      <c r="BV17" s="64"/>
      <c r="BW17" s="39"/>
      <c r="BX17" s="39"/>
      <c r="BY17" s="61"/>
      <c r="BZ17" s="64"/>
      <c r="CA17" s="39"/>
      <c r="CB17" s="39"/>
      <c r="CC17" s="61"/>
      <c r="CD17" s="64"/>
      <c r="CE17" s="39"/>
      <c r="CF17" s="39"/>
      <c r="CG17" s="61"/>
      <c r="CH17" s="64"/>
      <c r="CI17" s="39"/>
      <c r="CJ17" s="39"/>
      <c r="CK17" s="61"/>
      <c r="CL17" s="64"/>
      <c r="CM17" s="39"/>
      <c r="CN17" s="39"/>
      <c r="CO17" s="61"/>
      <c r="CP17" s="64"/>
    </row>
    <row r="18" spans="1:94" x14ac:dyDescent="0.25">
      <c r="A18" t="s">
        <v>55</v>
      </c>
      <c r="B18" s="46" t="s">
        <v>197</v>
      </c>
      <c r="C18" s="47">
        <v>2020</v>
      </c>
      <c r="D18" s="73">
        <f t="shared" si="0"/>
        <v>90.399999999999991</v>
      </c>
      <c r="E18" s="73">
        <f t="shared" si="1"/>
        <v>90.399999999999991</v>
      </c>
      <c r="F18" s="73">
        <f t="shared" si="2"/>
        <v>90.399999999999991</v>
      </c>
      <c r="G18" s="73">
        <f t="shared" si="3"/>
        <v>90.399999999999991</v>
      </c>
      <c r="H18" s="39">
        <f t="shared" si="4"/>
        <v>1</v>
      </c>
      <c r="I18" s="39"/>
      <c r="J18" s="63"/>
      <c r="K18" s="39"/>
      <c r="L18" s="39"/>
      <c r="M18" s="61">
        <v>2018</v>
      </c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  <c r="AA18" s="39"/>
      <c r="AB18" s="39"/>
      <c r="AC18" s="61"/>
      <c r="AD18" s="64"/>
      <c r="AE18" s="39"/>
      <c r="AF18" s="39"/>
      <c r="AG18" s="61"/>
      <c r="AH18" s="64"/>
      <c r="AI18" s="39"/>
      <c r="AJ18" s="39"/>
      <c r="AK18" s="61"/>
      <c r="AL18" s="64"/>
      <c r="AM18" s="39"/>
      <c r="AN18" s="39"/>
      <c r="AO18" s="61"/>
      <c r="AP18" s="64"/>
      <c r="AQ18" s="39"/>
      <c r="AR18" s="39"/>
      <c r="AS18" s="61"/>
      <c r="AT18" s="64"/>
      <c r="AU18" s="39">
        <v>90.399999999999991</v>
      </c>
      <c r="AV18" s="39"/>
      <c r="AW18" s="61"/>
      <c r="AX18" s="64"/>
      <c r="AY18" s="39"/>
      <c r="AZ18" s="39"/>
      <c r="BA18" s="61"/>
      <c r="BB18" s="64"/>
      <c r="BC18" s="39"/>
      <c r="BD18" s="39"/>
      <c r="BE18" s="61"/>
      <c r="BF18" s="64"/>
      <c r="BG18" s="39"/>
      <c r="BH18" s="39"/>
      <c r="BI18" s="61"/>
      <c r="BJ18" s="64"/>
      <c r="BK18" s="39"/>
      <c r="BL18" s="39"/>
      <c r="BM18" s="61"/>
      <c r="BN18" s="64"/>
      <c r="BO18" s="39"/>
      <c r="BP18" s="39"/>
      <c r="BQ18" s="61"/>
      <c r="BR18" s="64"/>
      <c r="BS18" s="39"/>
      <c r="BT18" s="39"/>
      <c r="BU18" s="61"/>
      <c r="BV18" s="64"/>
      <c r="BW18" s="39"/>
      <c r="BX18" s="39"/>
      <c r="BY18" s="61"/>
      <c r="BZ18" s="64"/>
      <c r="CA18" s="39"/>
      <c r="CB18" s="39"/>
      <c r="CC18" s="61"/>
      <c r="CD18" s="64"/>
      <c r="CE18" s="39"/>
      <c r="CF18" s="39"/>
      <c r="CG18" s="61"/>
      <c r="CH18" s="64"/>
      <c r="CI18" s="39"/>
      <c r="CJ18" s="39"/>
      <c r="CK18" s="61"/>
      <c r="CL18" s="64"/>
      <c r="CM18" s="39"/>
      <c r="CN18" s="39"/>
      <c r="CO18" s="61"/>
      <c r="CP18" s="64"/>
    </row>
    <row r="19" spans="1:94" x14ac:dyDescent="0.25">
      <c r="A19" t="s">
        <v>57</v>
      </c>
      <c r="B19" s="46" t="s">
        <v>197</v>
      </c>
      <c r="C19" s="47">
        <v>2020</v>
      </c>
      <c r="D19" s="73">
        <f t="shared" si="0"/>
        <v>5483.333333333333</v>
      </c>
      <c r="E19" s="73">
        <f t="shared" si="1"/>
        <v>5500</v>
      </c>
      <c r="F19" s="73">
        <f t="shared" si="2"/>
        <v>5450</v>
      </c>
      <c r="G19" s="73">
        <f t="shared" si="3"/>
        <v>5500</v>
      </c>
      <c r="H19" s="39">
        <f t="shared" si="4"/>
        <v>3</v>
      </c>
      <c r="I19" s="40"/>
      <c r="J19" s="56"/>
      <c r="K19" s="59"/>
      <c r="L19" s="60"/>
      <c r="M19" s="61">
        <v>2018</v>
      </c>
      <c r="N19" s="64"/>
      <c r="O19" s="70"/>
      <c r="P19" s="60"/>
      <c r="Q19" s="61"/>
      <c r="R19" s="64"/>
      <c r="S19" s="70"/>
      <c r="T19" s="60"/>
      <c r="U19" s="61"/>
      <c r="V19" s="64"/>
      <c r="W19" s="70"/>
      <c r="X19" s="60"/>
      <c r="Y19" s="61"/>
      <c r="Z19" s="64"/>
      <c r="AA19" s="70"/>
      <c r="AB19" s="60"/>
      <c r="AC19" s="61"/>
      <c r="AD19" s="64"/>
      <c r="AE19" s="70"/>
      <c r="AF19" s="60"/>
      <c r="AG19" s="61"/>
      <c r="AH19" s="64"/>
      <c r="AI19" s="70">
        <v>5450</v>
      </c>
      <c r="AJ19" s="60"/>
      <c r="AK19" s="61"/>
      <c r="AL19" s="64"/>
      <c r="AM19" s="70">
        <v>5500</v>
      </c>
      <c r="AN19" s="60"/>
      <c r="AO19" s="61"/>
      <c r="AP19" s="64"/>
      <c r="AQ19" s="70">
        <v>5500</v>
      </c>
      <c r="AR19" s="60"/>
      <c r="AS19" s="61"/>
      <c r="AT19" s="64"/>
      <c r="AU19" s="70"/>
      <c r="AV19" s="60"/>
      <c r="AW19" s="61"/>
      <c r="AX19" s="64"/>
      <c r="AY19" s="70"/>
      <c r="AZ19" s="60"/>
      <c r="BA19" s="61"/>
      <c r="BB19" s="64"/>
      <c r="BC19" s="70"/>
      <c r="BD19" s="60"/>
      <c r="BE19" s="61"/>
      <c r="BF19" s="64"/>
      <c r="BG19" s="70"/>
      <c r="BH19" s="60"/>
      <c r="BI19" s="61"/>
      <c r="BJ19" s="64"/>
      <c r="BK19" s="70"/>
      <c r="BL19" s="60"/>
      <c r="BM19" s="61"/>
      <c r="BN19" s="64"/>
      <c r="BO19" s="70"/>
      <c r="BP19" s="60"/>
      <c r="BQ19" s="61"/>
      <c r="BR19" s="64"/>
      <c r="BS19" s="70"/>
      <c r="BT19" s="60"/>
      <c r="BU19" s="61"/>
      <c r="BV19" s="64"/>
      <c r="BW19" s="70"/>
      <c r="BX19" s="60"/>
      <c r="BY19" s="61"/>
      <c r="BZ19" s="64"/>
      <c r="CA19" s="70"/>
      <c r="CB19" s="60"/>
      <c r="CC19" s="61"/>
      <c r="CD19" s="64"/>
      <c r="CE19" s="70"/>
      <c r="CF19" s="60"/>
      <c r="CG19" s="61"/>
      <c r="CH19" s="64"/>
      <c r="CI19" s="70"/>
      <c r="CJ19" s="60"/>
      <c r="CK19" s="61"/>
      <c r="CL19" s="64"/>
      <c r="CM19" s="70"/>
      <c r="CN19" s="60"/>
      <c r="CO19" s="61"/>
      <c r="CP19" s="64"/>
    </row>
    <row r="20" spans="1:94" x14ac:dyDescent="0.25">
      <c r="A20" s="41"/>
      <c r="B20" s="48"/>
      <c r="C20" s="48"/>
      <c r="D20" s="41"/>
      <c r="E20" s="41"/>
      <c r="F20" s="41"/>
      <c r="G20" s="41"/>
      <c r="H20" s="52"/>
      <c r="I20" s="41"/>
      <c r="J20" s="57"/>
      <c r="K20" s="41"/>
      <c r="L20" s="41"/>
      <c r="M20" s="52"/>
      <c r="N20" s="57"/>
      <c r="O20" s="41"/>
      <c r="P20" s="41"/>
      <c r="Q20" s="52"/>
      <c r="R20" s="57"/>
      <c r="S20" s="41"/>
      <c r="T20" s="41"/>
      <c r="U20" s="52"/>
      <c r="V20" s="57"/>
      <c r="W20" s="41"/>
      <c r="X20" s="41"/>
      <c r="Y20" s="52"/>
      <c r="Z20" s="57"/>
      <c r="AA20" s="41"/>
      <c r="AB20" s="41"/>
      <c r="AC20" s="52"/>
      <c r="AD20" s="57"/>
      <c r="AE20" s="41"/>
      <c r="AF20" s="41"/>
      <c r="AG20" s="52"/>
      <c r="AH20" s="57"/>
      <c r="AI20" s="41"/>
      <c r="AJ20" s="41"/>
      <c r="AK20" s="52"/>
      <c r="AL20" s="57"/>
      <c r="AM20" s="41"/>
      <c r="AN20" s="41"/>
      <c r="AO20" s="52"/>
      <c r="AP20" s="57"/>
      <c r="AQ20" s="41"/>
      <c r="AR20" s="41"/>
      <c r="AS20" s="52"/>
      <c r="AT20" s="57"/>
      <c r="AU20" s="41"/>
      <c r="AV20" s="41"/>
      <c r="AW20" s="52"/>
      <c r="AX20" s="57"/>
      <c r="AY20" s="41"/>
      <c r="AZ20" s="41"/>
      <c r="BA20" s="52"/>
      <c r="BB20" s="57"/>
      <c r="BC20" s="41"/>
      <c r="BD20" s="41"/>
      <c r="BE20" s="52"/>
      <c r="BF20" s="57"/>
      <c r="BG20" s="41"/>
      <c r="BH20" s="41"/>
      <c r="BI20" s="52"/>
      <c r="BJ20" s="57"/>
      <c r="BK20" s="41"/>
      <c r="BL20" s="41"/>
      <c r="BM20" s="52"/>
      <c r="BN20" s="57"/>
      <c r="BO20" s="41"/>
      <c r="BP20" s="41"/>
      <c r="BQ20" s="52"/>
      <c r="BR20" s="57"/>
      <c r="BS20" s="41"/>
      <c r="BT20" s="41"/>
      <c r="BU20" s="52"/>
      <c r="BV20" s="57"/>
      <c r="BW20" s="41"/>
      <c r="BX20" s="41"/>
      <c r="BY20" s="52"/>
      <c r="BZ20" s="57"/>
      <c r="CA20" s="41"/>
      <c r="CB20" s="41"/>
      <c r="CC20" s="52"/>
      <c r="CD20" s="57"/>
      <c r="CE20" s="41"/>
      <c r="CF20" s="41"/>
      <c r="CG20" s="52"/>
      <c r="CH20" s="57"/>
      <c r="CI20" s="41"/>
      <c r="CJ20" s="41"/>
      <c r="CK20" s="52"/>
      <c r="CL20" s="57"/>
      <c r="CM20" s="41"/>
      <c r="CN20" s="41"/>
      <c r="CO20" s="52"/>
      <c r="CP20" s="57"/>
    </row>
    <row r="42" spans="4:4" x14ac:dyDescent="0.25">
      <c r="D42" s="77"/>
    </row>
    <row r="44" spans="4:4" x14ac:dyDescent="0.25">
      <c r="D44" s="77"/>
    </row>
    <row r="47" spans="4:4" x14ac:dyDescent="0.25">
      <c r="D47" s="77"/>
    </row>
    <row r="49" spans="4:4" x14ac:dyDescent="0.25">
      <c r="D49" s="77"/>
    </row>
    <row r="50" spans="4:4" x14ac:dyDescent="0.25">
      <c r="D50" s="77"/>
    </row>
  </sheetData>
  <mergeCells count="43">
    <mergeCell ref="AA1:AD1"/>
    <mergeCell ref="D1:J1"/>
    <mergeCell ref="K1:N1"/>
    <mergeCell ref="O1:R1"/>
    <mergeCell ref="S1:V1"/>
    <mergeCell ref="W1:Z1"/>
    <mergeCell ref="AE2:AH2"/>
    <mergeCell ref="BC1:BF1"/>
    <mergeCell ref="BG1:BJ1"/>
    <mergeCell ref="BK1:BN1"/>
    <mergeCell ref="BO1:BR1"/>
    <mergeCell ref="AE1:AH1"/>
    <mergeCell ref="AI1:AL1"/>
    <mergeCell ref="AM1:AP1"/>
    <mergeCell ref="AQ1:AT1"/>
    <mergeCell ref="AU1:AX1"/>
    <mergeCell ref="AY1:BB1"/>
    <mergeCell ref="BC2:BF2"/>
    <mergeCell ref="AI2:AL2"/>
    <mergeCell ref="AM2:AP2"/>
    <mergeCell ref="AQ2:AT2"/>
    <mergeCell ref="AU2:AX2"/>
    <mergeCell ref="K2:N2"/>
    <mergeCell ref="O2:R2"/>
    <mergeCell ref="S2:V2"/>
    <mergeCell ref="W2:Z2"/>
    <mergeCell ref="AA2:AD2"/>
    <mergeCell ref="CA1:CD1"/>
    <mergeCell ref="CE1:CH1"/>
    <mergeCell ref="CI1:CL1"/>
    <mergeCell ref="CM1:CP1"/>
    <mergeCell ref="BS1:BV1"/>
    <mergeCell ref="BW1:BZ1"/>
    <mergeCell ref="AY2:BB2"/>
    <mergeCell ref="CE2:CH2"/>
    <mergeCell ref="CI2:CL2"/>
    <mergeCell ref="CM2:CP2"/>
    <mergeCell ref="BG2:BJ2"/>
    <mergeCell ref="BK2:BN2"/>
    <mergeCell ref="BO2:BR2"/>
    <mergeCell ref="BS2:BV2"/>
    <mergeCell ref="BW2:BZ2"/>
    <mergeCell ref="CA2:C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Z21"/>
  <sheetViews>
    <sheetView workbookViewId="0">
      <selection activeCell="H19" sqref="H19"/>
    </sheetView>
  </sheetViews>
  <sheetFormatPr defaultRowHeight="15" x14ac:dyDescent="0.25"/>
  <sheetData>
    <row r="1" spans="1:26" x14ac:dyDescent="0.25">
      <c r="A1" s="7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233</v>
      </c>
      <c r="L1" s="121"/>
      <c r="M1" s="121"/>
      <c r="N1" s="122"/>
      <c r="O1" s="114" t="s">
        <v>235</v>
      </c>
      <c r="P1" s="115"/>
      <c r="Q1" s="115"/>
      <c r="R1" s="116"/>
      <c r="S1" s="120" t="s">
        <v>236</v>
      </c>
      <c r="T1" s="121"/>
      <c r="U1" s="121"/>
      <c r="V1" s="122"/>
      <c r="W1" s="114" t="s">
        <v>237</v>
      </c>
      <c r="X1" s="115"/>
      <c r="Y1" s="115"/>
      <c r="Z1" s="116"/>
    </row>
    <row r="2" spans="1:26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234</v>
      </c>
      <c r="L2" s="130"/>
      <c r="M2" s="130"/>
      <c r="N2" s="131"/>
      <c r="O2" s="123" t="s">
        <v>234</v>
      </c>
      <c r="P2" s="124"/>
      <c r="Q2" s="124"/>
      <c r="R2" s="125"/>
      <c r="S2" s="129" t="s">
        <v>234</v>
      </c>
      <c r="T2" s="130"/>
      <c r="U2" s="130"/>
      <c r="V2" s="131"/>
      <c r="W2" s="123" t="s">
        <v>234</v>
      </c>
      <c r="X2" s="124"/>
      <c r="Y2" s="124"/>
      <c r="Z2" s="125"/>
    </row>
    <row r="3" spans="1:26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/>
      <c r="X3" s="65"/>
      <c r="Y3" s="65"/>
      <c r="Z3" s="66"/>
    </row>
    <row r="4" spans="1:26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</row>
    <row r="5" spans="1:26" x14ac:dyDescent="0.25">
      <c r="A5" t="s">
        <v>3</v>
      </c>
      <c r="B5" s="46" t="s">
        <v>197</v>
      </c>
      <c r="C5" s="47">
        <v>2020</v>
      </c>
      <c r="D5" s="73" t="e">
        <f>AVERAGE(K5,O5,S5,W5,AA5,AE5,AI5,AM5,AQ5,AU5,AY5,BC5,BG5,BK5,BO5,BS5,BW5,CA5,CE5)</f>
        <v>#DIV/0!</v>
      </c>
      <c r="E5" s="73" t="e">
        <f>MEDIAN(K5,O5,S5,W5,AA5,AE5,AI5,AM5,AQ5,AU5,AY5,BC5,BG5,BK5,BO5,BS5,BW5,CA5,CE5)</f>
        <v>#NUM!</v>
      </c>
      <c r="F5" s="73">
        <f>MIN(K5,O5,S5,W5,AA5,AE5,AI5,AM5,AQ5,AU5,AY5,BC5,BG5,BK5,BO5,BS5,BW5,CA5,CE5)</f>
        <v>0</v>
      </c>
      <c r="G5" s="73">
        <f>MAX(K5,O5,S5,W5,AA5,AE5,AI5,AM5,AQ5,AU5,AY5,BC5,BG5,BK5,BO5,BS5,BW5,CA5,CE5)</f>
        <v>0</v>
      </c>
      <c r="H5" s="39">
        <f>COUNT(K5,O5,S5,W5,AA5,AE5,AI5,AM5,AQ5,AU5,AY5,BC5,BG5,BK5,BO5,BS5,BW5,CA5,CE5)</f>
        <v>0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/>
      <c r="X5" s="39"/>
      <c r="Y5" s="61"/>
      <c r="Z5" s="64"/>
    </row>
    <row r="6" spans="1:26" x14ac:dyDescent="0.25">
      <c r="A6" t="s">
        <v>181</v>
      </c>
      <c r="B6" s="46" t="s">
        <v>197</v>
      </c>
      <c r="C6" s="47">
        <v>2020</v>
      </c>
      <c r="D6" s="73" t="e">
        <f t="shared" ref="D6:D20" si="0">AVERAGE(K6,O6,S6,W6,AA6,AE6,AI6,AM6,AQ6,AU6,AY6,BC6,BG6,BK6,BO6,BS6,BW6,CA6,CE6)</f>
        <v>#DIV/0!</v>
      </c>
      <c r="E6" s="73" t="e">
        <f t="shared" ref="E6:E20" si="1">MEDIAN(K6,O6,S6,W6,AA6,AE6,AI6,AM6,AQ6,AU6,AY6,BC6,BG6,BK6,BO6,BS6,BW6,CA6,CE6)</f>
        <v>#NUM!</v>
      </c>
      <c r="F6" s="73">
        <f t="shared" ref="F6:F20" si="2">MIN(K6,O6,S6,W6,AA6,AE6,AI6,AM6,AQ6,AU6,AY6,BC6,BG6,BK6,BO6,BS6,BW6,CA6,CE6)</f>
        <v>0</v>
      </c>
      <c r="G6" s="73">
        <f t="shared" ref="G6:G20" si="3">MAX(K6,O6,S6,W6,AA6,AE6,AI6,AM6,AQ6,AU6,AY6,BC6,BG6,BK6,BO6,BS6,BW6,CA6,CE6)</f>
        <v>0</v>
      </c>
      <c r="H6" s="39">
        <f t="shared" ref="H6:H20" si="4">COUNT(K6,O6,S6,W6,AA6,AE6,AI6,AM6,AQ6,AU6,AY6,BC6,BG6,BK6,BO6,BS6,BW6,CA6,CE6)</f>
        <v>0</v>
      </c>
      <c r="I6" s="39"/>
      <c r="J6" s="63"/>
      <c r="K6" s="39"/>
      <c r="L6" s="39"/>
      <c r="M6" s="61"/>
      <c r="N6" s="64"/>
      <c r="O6" s="39"/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</row>
    <row r="7" spans="1:26" x14ac:dyDescent="0.25">
      <c r="A7" t="s">
        <v>12</v>
      </c>
      <c r="B7" s="46" t="s">
        <v>197</v>
      </c>
      <c r="C7" s="47">
        <v>2020</v>
      </c>
      <c r="D7" s="73" t="e">
        <f t="shared" si="0"/>
        <v>#DIV/0!</v>
      </c>
      <c r="E7" s="73" t="e">
        <f t="shared" si="1"/>
        <v>#NUM!</v>
      </c>
      <c r="F7" s="73">
        <f t="shared" si="2"/>
        <v>0</v>
      </c>
      <c r="G7" s="73">
        <f t="shared" si="3"/>
        <v>0</v>
      </c>
      <c r="H7" s="39">
        <f t="shared" si="4"/>
        <v>0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</row>
    <row r="8" spans="1:26" x14ac:dyDescent="0.25">
      <c r="A8" t="s">
        <v>15</v>
      </c>
      <c r="B8" s="46" t="s">
        <v>197</v>
      </c>
      <c r="C8" s="47">
        <v>2020</v>
      </c>
      <c r="D8" s="73" t="e">
        <f t="shared" si="0"/>
        <v>#DIV/0!</v>
      </c>
      <c r="E8" s="73" t="e">
        <f t="shared" si="1"/>
        <v>#NUM!</v>
      </c>
      <c r="F8" s="73">
        <f t="shared" si="2"/>
        <v>0</v>
      </c>
      <c r="G8" s="73">
        <f t="shared" si="3"/>
        <v>0</v>
      </c>
      <c r="H8" s="39">
        <f t="shared" si="4"/>
        <v>0</v>
      </c>
      <c r="I8" s="39"/>
      <c r="J8" s="63"/>
      <c r="K8" s="39"/>
      <c r="L8" s="39"/>
      <c r="M8" s="61"/>
      <c r="N8" s="64"/>
      <c r="O8" s="39"/>
      <c r="P8" s="39"/>
      <c r="Q8" s="61"/>
      <c r="R8" s="64"/>
      <c r="S8" s="39"/>
      <c r="T8" s="39"/>
      <c r="U8" s="61"/>
      <c r="V8" s="64"/>
      <c r="W8" s="39"/>
      <c r="X8" s="39"/>
      <c r="Y8" s="61"/>
      <c r="Z8" s="64"/>
    </row>
    <row r="9" spans="1:26" x14ac:dyDescent="0.25">
      <c r="A9" t="s">
        <v>16</v>
      </c>
      <c r="B9" s="46" t="s">
        <v>197</v>
      </c>
      <c r="C9" s="47">
        <v>2020</v>
      </c>
      <c r="D9" s="73" t="e">
        <f t="shared" si="0"/>
        <v>#DIV/0!</v>
      </c>
      <c r="E9" s="73" t="e">
        <f t="shared" si="1"/>
        <v>#NUM!</v>
      </c>
      <c r="F9" s="73">
        <f t="shared" si="2"/>
        <v>0</v>
      </c>
      <c r="G9" s="73">
        <f t="shared" si="3"/>
        <v>0</v>
      </c>
      <c r="H9" s="39">
        <f t="shared" si="4"/>
        <v>0</v>
      </c>
      <c r="I9" s="39"/>
      <c r="J9" s="63"/>
      <c r="K9" s="39"/>
      <c r="L9" s="39"/>
      <c r="M9" s="61"/>
      <c r="N9" s="64"/>
      <c r="O9" s="87"/>
      <c r="P9" s="39"/>
      <c r="Q9" s="61"/>
      <c r="R9" s="64"/>
      <c r="S9" s="39"/>
      <c r="T9" s="39"/>
      <c r="U9" s="61"/>
      <c r="V9" s="64"/>
      <c r="W9" s="87"/>
      <c r="X9" s="39"/>
      <c r="Y9" s="61"/>
      <c r="Z9" s="64"/>
    </row>
    <row r="10" spans="1:26" x14ac:dyDescent="0.25">
      <c r="A10" t="s">
        <v>33</v>
      </c>
      <c r="B10" s="46" t="s">
        <v>197</v>
      </c>
      <c r="C10" s="47">
        <v>2020</v>
      </c>
      <c r="D10" s="73" t="e">
        <f t="shared" si="0"/>
        <v>#DIV/0!</v>
      </c>
      <c r="E10" s="73" t="e">
        <f t="shared" si="1"/>
        <v>#NUM!</v>
      </c>
      <c r="F10" s="73">
        <f t="shared" si="2"/>
        <v>0</v>
      </c>
      <c r="G10" s="73">
        <f t="shared" si="3"/>
        <v>0</v>
      </c>
      <c r="H10" s="39">
        <f t="shared" si="4"/>
        <v>0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</row>
    <row r="11" spans="1:26" x14ac:dyDescent="0.25">
      <c r="A11" t="s">
        <v>34</v>
      </c>
      <c r="B11" s="46" t="s">
        <v>197</v>
      </c>
      <c r="C11" s="47">
        <v>2020</v>
      </c>
      <c r="D11" s="73" t="e">
        <f t="shared" si="0"/>
        <v>#DIV/0!</v>
      </c>
      <c r="E11" s="73" t="e">
        <f t="shared" si="1"/>
        <v>#NUM!</v>
      </c>
      <c r="F11" s="73">
        <f t="shared" si="2"/>
        <v>0</v>
      </c>
      <c r="G11" s="73">
        <f t="shared" si="3"/>
        <v>0</v>
      </c>
      <c r="H11" s="39">
        <f t="shared" si="4"/>
        <v>0</v>
      </c>
      <c r="I11" s="39"/>
      <c r="J11" s="63"/>
      <c r="K11" s="39"/>
      <c r="L11" s="39"/>
      <c r="M11" s="61"/>
      <c r="N11" s="64"/>
      <c r="O11" s="39"/>
      <c r="P11" s="39"/>
      <c r="Q11" s="61"/>
      <c r="R11" s="64"/>
      <c r="S11" s="39"/>
      <c r="T11" s="39"/>
      <c r="U11" s="61"/>
      <c r="V11" s="64"/>
      <c r="W11" s="39"/>
      <c r="X11" s="39"/>
      <c r="Y11" s="61"/>
      <c r="Z11" s="64"/>
    </row>
    <row r="12" spans="1:26" x14ac:dyDescent="0.25">
      <c r="A12" t="s">
        <v>37</v>
      </c>
      <c r="B12" s="46" t="s">
        <v>197</v>
      </c>
      <c r="C12" s="47">
        <v>2020</v>
      </c>
      <c r="D12" s="73" t="e">
        <f t="shared" si="0"/>
        <v>#DIV/0!</v>
      </c>
      <c r="E12" s="73" t="e">
        <f t="shared" si="1"/>
        <v>#NUM!</v>
      </c>
      <c r="F12" s="73">
        <f t="shared" si="2"/>
        <v>0</v>
      </c>
      <c r="G12" s="73">
        <f t="shared" si="3"/>
        <v>0</v>
      </c>
      <c r="H12" s="39">
        <f t="shared" si="4"/>
        <v>0</v>
      </c>
      <c r="I12" s="39"/>
      <c r="J12" s="63"/>
      <c r="K12" s="39"/>
      <c r="L12" s="39"/>
      <c r="M12" s="61"/>
      <c r="N12" s="64"/>
      <c r="O12" s="77"/>
      <c r="P12" s="39"/>
      <c r="Q12" s="61"/>
      <c r="R12" s="64"/>
      <c r="S12" s="39"/>
      <c r="T12" s="39"/>
      <c r="U12" s="61"/>
      <c r="V12" s="64"/>
      <c r="W12" s="77"/>
      <c r="X12" s="39"/>
      <c r="Y12" s="61"/>
      <c r="Z12" s="64"/>
    </row>
    <row r="13" spans="1:26" x14ac:dyDescent="0.25">
      <c r="A13" t="s">
        <v>38</v>
      </c>
      <c r="B13" s="46" t="s">
        <v>197</v>
      </c>
      <c r="C13" s="47">
        <v>2020</v>
      </c>
      <c r="D13" s="73" t="e">
        <f t="shared" si="0"/>
        <v>#DIV/0!</v>
      </c>
      <c r="E13" s="73" t="e">
        <f t="shared" si="1"/>
        <v>#NUM!</v>
      </c>
      <c r="F13" s="73">
        <f t="shared" si="2"/>
        <v>0</v>
      </c>
      <c r="G13" s="73">
        <f t="shared" si="3"/>
        <v>0</v>
      </c>
      <c r="H13" s="39">
        <f t="shared" si="4"/>
        <v>0</v>
      </c>
      <c r="I13" s="39"/>
      <c r="J13" s="63"/>
      <c r="K13" s="39"/>
      <c r="L13" s="39"/>
      <c r="M13" s="61"/>
      <c r="N13" s="64"/>
      <c r="O13" s="39"/>
      <c r="P13" s="39"/>
      <c r="Q13" s="61"/>
      <c r="R13" s="64"/>
      <c r="S13" s="39"/>
      <c r="T13" s="39"/>
      <c r="U13" s="61"/>
      <c r="V13" s="64"/>
      <c r="W13" s="39"/>
      <c r="X13" s="39"/>
      <c r="Y13" s="61"/>
      <c r="Z13" s="64"/>
    </row>
    <row r="14" spans="1:26" x14ac:dyDescent="0.25">
      <c r="A14" t="s">
        <v>39</v>
      </c>
      <c r="B14" s="46" t="s">
        <v>197</v>
      </c>
      <c r="C14" s="47">
        <v>2020</v>
      </c>
      <c r="D14" s="73" t="e">
        <f t="shared" si="0"/>
        <v>#DIV/0!</v>
      </c>
      <c r="E14" s="73" t="e">
        <f t="shared" si="1"/>
        <v>#NUM!</v>
      </c>
      <c r="F14" s="73">
        <f t="shared" si="2"/>
        <v>0</v>
      </c>
      <c r="G14" s="73">
        <f t="shared" si="3"/>
        <v>0</v>
      </c>
      <c r="H14" s="39">
        <f t="shared" si="4"/>
        <v>0</v>
      </c>
      <c r="I14" s="39"/>
      <c r="J14" s="63"/>
      <c r="K14" s="39"/>
      <c r="L14" s="39"/>
      <c r="M14" s="61"/>
      <c r="N14" s="64"/>
      <c r="O14" s="39"/>
      <c r="P14" s="39"/>
      <c r="Q14" s="61"/>
      <c r="R14" s="64"/>
      <c r="S14" s="39"/>
      <c r="T14" s="39"/>
      <c r="U14" s="61"/>
      <c r="V14" s="64"/>
      <c r="W14" s="39"/>
      <c r="X14" s="39"/>
      <c r="Y14" s="61"/>
      <c r="Z14" s="64"/>
    </row>
    <row r="15" spans="1:26" x14ac:dyDescent="0.25">
      <c r="A15" t="s">
        <v>131</v>
      </c>
      <c r="B15" s="46" t="s">
        <v>197</v>
      </c>
      <c r="C15" s="47">
        <v>2020</v>
      </c>
      <c r="D15" s="73" t="e">
        <f t="shared" si="0"/>
        <v>#DIV/0!</v>
      </c>
      <c r="E15" s="73" t="e">
        <f t="shared" si="1"/>
        <v>#NUM!</v>
      </c>
      <c r="F15" s="73">
        <f t="shared" si="2"/>
        <v>0</v>
      </c>
      <c r="G15" s="73">
        <f t="shared" si="3"/>
        <v>0</v>
      </c>
      <c r="H15" s="39">
        <f t="shared" si="4"/>
        <v>0</v>
      </c>
      <c r="I15" s="39"/>
      <c r="J15" s="63"/>
      <c r="K15" s="39"/>
      <c r="L15" s="39"/>
      <c r="M15" s="61"/>
      <c r="N15" s="64"/>
      <c r="O15" s="39"/>
      <c r="P15" s="39"/>
      <c r="Q15" s="61"/>
      <c r="R15" s="64"/>
      <c r="S15" s="39"/>
      <c r="T15" s="39"/>
      <c r="U15" s="61"/>
      <c r="V15" s="64"/>
      <c r="W15" s="39"/>
      <c r="X15" s="39"/>
      <c r="Y15" s="61"/>
      <c r="Z15" s="64"/>
    </row>
    <row r="16" spans="1:26" x14ac:dyDescent="0.25">
      <c r="A16" t="s">
        <v>196</v>
      </c>
      <c r="B16" s="46" t="s">
        <v>197</v>
      </c>
      <c r="C16" s="47">
        <v>2020</v>
      </c>
      <c r="D16" s="73" t="e">
        <f t="shared" si="0"/>
        <v>#DIV/0!</v>
      </c>
      <c r="E16" s="73" t="e">
        <f t="shared" si="1"/>
        <v>#NUM!</v>
      </c>
      <c r="F16" s="73">
        <f t="shared" si="2"/>
        <v>0</v>
      </c>
      <c r="G16" s="73">
        <f t="shared" si="3"/>
        <v>0</v>
      </c>
      <c r="H16" s="39">
        <f t="shared" si="4"/>
        <v>0</v>
      </c>
      <c r="I16" s="39"/>
      <c r="J16" s="63"/>
      <c r="K16" s="39"/>
      <c r="L16" s="39"/>
      <c r="M16" s="61"/>
      <c r="N16" s="64"/>
      <c r="O16" s="39"/>
      <c r="P16" s="39"/>
      <c r="Q16" s="61"/>
      <c r="R16" s="64"/>
      <c r="S16" s="39"/>
      <c r="T16" s="39"/>
      <c r="U16" s="61"/>
      <c r="V16" s="64"/>
      <c r="W16" s="39"/>
      <c r="X16" s="39"/>
      <c r="Y16" s="61"/>
      <c r="Z16" s="64"/>
    </row>
    <row r="17" spans="1:26" x14ac:dyDescent="0.25">
      <c r="A17" t="s">
        <v>134</v>
      </c>
      <c r="B17" s="46" t="s">
        <v>197</v>
      </c>
      <c r="C17" s="47">
        <v>2020</v>
      </c>
      <c r="D17" s="73" t="e">
        <f t="shared" si="0"/>
        <v>#DIV/0!</v>
      </c>
      <c r="E17" s="73" t="e">
        <f t="shared" si="1"/>
        <v>#NUM!</v>
      </c>
      <c r="F17" s="73">
        <f t="shared" si="2"/>
        <v>0</v>
      </c>
      <c r="G17" s="73">
        <f t="shared" si="3"/>
        <v>0</v>
      </c>
      <c r="H17" s="39">
        <f t="shared" si="4"/>
        <v>0</v>
      </c>
      <c r="I17" s="39"/>
      <c r="J17" s="63"/>
      <c r="K17" s="39"/>
      <c r="L17" s="39"/>
      <c r="M17" s="61"/>
      <c r="N17" s="64"/>
      <c r="O17" s="39"/>
      <c r="P17" s="39"/>
      <c r="Q17" s="61"/>
      <c r="R17" s="64"/>
      <c r="S17" s="39"/>
      <c r="T17" s="39"/>
      <c r="U17" s="61"/>
      <c r="V17" s="64"/>
      <c r="W17" s="39"/>
      <c r="X17" s="39"/>
      <c r="Y17" s="61"/>
      <c r="Z17" s="64"/>
    </row>
    <row r="18" spans="1:26" x14ac:dyDescent="0.25">
      <c r="A18" t="s">
        <v>55</v>
      </c>
      <c r="B18" s="46" t="s">
        <v>197</v>
      </c>
      <c r="C18" s="47">
        <v>2020</v>
      </c>
      <c r="D18" s="73" t="e">
        <f t="shared" si="0"/>
        <v>#DIV/0!</v>
      </c>
      <c r="E18" s="73" t="e">
        <f t="shared" si="1"/>
        <v>#NUM!</v>
      </c>
      <c r="F18" s="73">
        <f t="shared" si="2"/>
        <v>0</v>
      </c>
      <c r="G18" s="73">
        <f t="shared" si="3"/>
        <v>0</v>
      </c>
      <c r="H18" s="39">
        <f t="shared" si="4"/>
        <v>0</v>
      </c>
      <c r="I18" s="39"/>
      <c r="J18" s="63"/>
      <c r="K18" s="39"/>
      <c r="L18" s="39"/>
      <c r="M18" s="61"/>
      <c r="N18" s="64"/>
      <c r="O18" s="39"/>
      <c r="P18" s="39"/>
      <c r="Q18" s="61"/>
      <c r="R18" s="64"/>
      <c r="S18" s="39"/>
      <c r="T18" s="39"/>
      <c r="U18" s="61"/>
      <c r="V18" s="64"/>
      <c r="W18" s="39"/>
      <c r="X18" s="39"/>
      <c r="Y18" s="61"/>
      <c r="Z18" s="64"/>
    </row>
    <row r="19" spans="1:26" x14ac:dyDescent="0.25">
      <c r="A19" t="s">
        <v>56</v>
      </c>
      <c r="B19" s="46" t="s">
        <v>197</v>
      </c>
      <c r="C19" s="47">
        <v>2021</v>
      </c>
      <c r="D19" s="73">
        <f t="shared" ref="D19" si="5">AVERAGE(K19,O19,S19,W19,AA19,AE19,AI19,AM19,AQ19,AU19,AY19,BC19,BG19,BK19,BO19,BS19,BW19,CA19,CE19)</f>
        <v>1.2625</v>
      </c>
      <c r="E19" s="73">
        <f t="shared" ref="E19" si="6">MEDIAN(K19,O19,S19,W19,AA19,AE19,AI19,AM19,AQ19,AU19,AY19,BC19,BG19,BK19,BO19,BS19,BW19,CA19,CE19)</f>
        <v>1.2250000000000001</v>
      </c>
      <c r="F19" s="73">
        <f t="shared" ref="F19" si="7">MIN(K19,O19,S19,W19,AA19,AE19,AI19,AM19,AQ19,AU19,AY19,BC19,BG19,BK19,BO19,BS19,BW19,CA19,CE19)</f>
        <v>0.3</v>
      </c>
      <c r="G19" s="73">
        <f t="shared" ref="G19" si="8">MAX(K19,O19,S19,W19,AA19,AE19,AI19,AM19,AQ19,AU19,AY19,BC19,BG19,BK19,BO19,BS19,BW19,CA19,CE19)</f>
        <v>2.2999999999999998</v>
      </c>
      <c r="H19" s="39">
        <f t="shared" ref="H19" si="9">COUNT(K19,O19,S19,W19,AA19,AE19,AI19,AM19,AQ19,AU19,AY19,BC19,BG19,BK19,BO19,BS19,BW19,CA19,CE19)</f>
        <v>4</v>
      </c>
      <c r="I19" s="39"/>
      <c r="J19" s="63"/>
      <c r="K19" s="39">
        <v>0.3</v>
      </c>
      <c r="L19" s="39"/>
      <c r="M19" s="61"/>
      <c r="N19" s="64"/>
      <c r="O19" s="39">
        <v>2.2999999999999998</v>
      </c>
      <c r="P19" s="39"/>
      <c r="Q19" s="61"/>
      <c r="R19" s="64"/>
      <c r="S19" s="39">
        <v>0.45</v>
      </c>
      <c r="T19" s="39"/>
      <c r="U19" s="61"/>
      <c r="V19" s="64"/>
      <c r="W19" s="39">
        <v>2</v>
      </c>
      <c r="X19" s="39"/>
      <c r="Y19" s="61"/>
      <c r="Z19" s="64"/>
    </row>
    <row r="20" spans="1:26" x14ac:dyDescent="0.25">
      <c r="A20" t="s">
        <v>57</v>
      </c>
      <c r="B20" s="46" t="s">
        <v>197</v>
      </c>
      <c r="C20" s="47">
        <v>2020</v>
      </c>
      <c r="D20" s="73" t="e">
        <f t="shared" si="0"/>
        <v>#DIV/0!</v>
      </c>
      <c r="E20" s="73" t="e">
        <f t="shared" si="1"/>
        <v>#NUM!</v>
      </c>
      <c r="F20" s="73">
        <f t="shared" si="2"/>
        <v>0</v>
      </c>
      <c r="G20" s="73">
        <f t="shared" si="3"/>
        <v>0</v>
      </c>
      <c r="H20" s="39">
        <f t="shared" si="4"/>
        <v>0</v>
      </c>
      <c r="I20" s="40"/>
      <c r="J20" s="56"/>
      <c r="K20" s="59"/>
      <c r="L20" s="60"/>
      <c r="M20" s="61"/>
      <c r="N20" s="64"/>
      <c r="O20" s="70"/>
      <c r="P20" s="60"/>
      <c r="Q20" s="61"/>
      <c r="R20" s="64"/>
      <c r="S20" s="70"/>
      <c r="T20" s="60"/>
      <c r="U20" s="61"/>
      <c r="V20" s="64"/>
      <c r="W20" s="70"/>
      <c r="X20" s="60"/>
      <c r="Y20" s="61"/>
      <c r="Z20" s="64"/>
    </row>
    <row r="21" spans="1:26" x14ac:dyDescent="0.25">
      <c r="A21" s="41"/>
      <c r="B21" s="48"/>
      <c r="C21" s="48"/>
      <c r="D21" s="41"/>
      <c r="E21" s="41"/>
      <c r="F21" s="41"/>
      <c r="G21" s="41"/>
      <c r="H21" s="52"/>
      <c r="I21" s="41"/>
      <c r="J21" s="57"/>
      <c r="K21" s="41"/>
      <c r="L21" s="41"/>
      <c r="M21" s="52"/>
      <c r="N21" s="57"/>
      <c r="O21" s="41"/>
      <c r="P21" s="41"/>
      <c r="Q21" s="52"/>
      <c r="R21" s="57"/>
      <c r="S21" s="41"/>
      <c r="T21" s="41"/>
      <c r="U21" s="52"/>
      <c r="V21" s="57"/>
      <c r="W21" s="41"/>
      <c r="X21" s="41"/>
      <c r="Y21" s="52"/>
      <c r="Z21" s="57"/>
    </row>
  </sheetData>
  <mergeCells count="9">
    <mergeCell ref="W1:Z1"/>
    <mergeCell ref="W2:Z2"/>
    <mergeCell ref="D1:J1"/>
    <mergeCell ref="K1:N1"/>
    <mergeCell ref="O1:R1"/>
    <mergeCell ref="S1:V1"/>
    <mergeCell ref="K2:N2"/>
    <mergeCell ref="O2:R2"/>
    <mergeCell ref="S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BF14"/>
  <sheetViews>
    <sheetView workbookViewId="0">
      <pane xSplit="1" topLeftCell="B1" activePane="topRight" state="frozen"/>
      <selection pane="topRight" activeCell="H13" sqref="H13"/>
    </sheetView>
  </sheetViews>
  <sheetFormatPr defaultRowHeight="15" x14ac:dyDescent="0.25"/>
  <cols>
    <col min="1" max="1" width="12.85546875" bestFit="1" customWidth="1"/>
  </cols>
  <sheetData>
    <row r="1" spans="1:58" x14ac:dyDescent="0.25">
      <c r="A1" s="86" t="s">
        <v>115</v>
      </c>
      <c r="B1" s="42" t="s">
        <v>116</v>
      </c>
      <c r="C1" s="42" t="s">
        <v>117</v>
      </c>
      <c r="D1" s="126" t="s">
        <v>118</v>
      </c>
      <c r="E1" s="127"/>
      <c r="F1" s="127"/>
      <c r="G1" s="127"/>
      <c r="H1" s="127"/>
      <c r="I1" s="127"/>
      <c r="J1" s="128"/>
      <c r="K1" s="120" t="s">
        <v>221</v>
      </c>
      <c r="L1" s="121"/>
      <c r="M1" s="121"/>
      <c r="N1" s="122"/>
      <c r="O1" s="114" t="s">
        <v>208</v>
      </c>
      <c r="P1" s="115"/>
      <c r="Q1" s="115"/>
      <c r="R1" s="116"/>
      <c r="S1" s="120" t="s">
        <v>243</v>
      </c>
      <c r="T1" s="121"/>
      <c r="U1" s="121"/>
      <c r="V1" s="122"/>
      <c r="W1" s="114" t="s">
        <v>244</v>
      </c>
      <c r="X1" s="115"/>
      <c r="Y1" s="115"/>
      <c r="Z1" s="116"/>
      <c r="AA1" s="120" t="s">
        <v>213</v>
      </c>
      <c r="AB1" s="121"/>
      <c r="AC1" s="121"/>
      <c r="AD1" s="122"/>
      <c r="AE1" s="114" t="s">
        <v>245</v>
      </c>
      <c r="AF1" s="115"/>
      <c r="AG1" s="115"/>
      <c r="AH1" s="116"/>
      <c r="AI1" s="120" t="s">
        <v>229</v>
      </c>
      <c r="AJ1" s="121"/>
      <c r="AK1" s="121"/>
      <c r="AL1" s="122"/>
      <c r="AM1" s="114" t="s">
        <v>167</v>
      </c>
      <c r="AN1" s="115"/>
      <c r="AO1" s="115"/>
      <c r="AP1" s="116"/>
      <c r="AQ1" s="120" t="s">
        <v>222</v>
      </c>
      <c r="AR1" s="121"/>
      <c r="AS1" s="121"/>
      <c r="AT1" s="122"/>
      <c r="AU1" s="114" t="s">
        <v>249</v>
      </c>
      <c r="AV1" s="115"/>
      <c r="AW1" s="115"/>
      <c r="AX1" s="116"/>
      <c r="AY1" s="120" t="s">
        <v>211</v>
      </c>
      <c r="AZ1" s="121"/>
      <c r="BA1" s="121"/>
      <c r="BB1" s="122"/>
      <c r="BC1" s="114" t="s">
        <v>250</v>
      </c>
      <c r="BD1" s="115"/>
      <c r="BE1" s="115"/>
      <c r="BF1" s="116"/>
    </row>
    <row r="2" spans="1:58" x14ac:dyDescent="0.25">
      <c r="A2" s="37"/>
      <c r="B2" s="43"/>
      <c r="C2" s="43"/>
      <c r="D2" s="49"/>
      <c r="E2" s="49"/>
      <c r="F2" s="49"/>
      <c r="G2" s="49"/>
      <c r="H2" s="49"/>
      <c r="I2" s="49"/>
      <c r="J2" s="37"/>
      <c r="K2" s="129" t="s">
        <v>242</v>
      </c>
      <c r="L2" s="130"/>
      <c r="M2" s="130"/>
      <c r="N2" s="131"/>
      <c r="O2" s="123" t="s">
        <v>242</v>
      </c>
      <c r="P2" s="124"/>
      <c r="Q2" s="124"/>
      <c r="R2" s="125"/>
      <c r="S2" s="129" t="s">
        <v>242</v>
      </c>
      <c r="T2" s="130"/>
      <c r="U2" s="130"/>
      <c r="V2" s="131"/>
      <c r="W2" s="123" t="s">
        <v>242</v>
      </c>
      <c r="X2" s="124"/>
      <c r="Y2" s="124"/>
      <c r="Z2" s="125"/>
      <c r="AA2" s="129" t="s">
        <v>242</v>
      </c>
      <c r="AB2" s="130"/>
      <c r="AC2" s="130"/>
      <c r="AD2" s="131"/>
      <c r="AE2" s="123" t="s">
        <v>242</v>
      </c>
      <c r="AF2" s="124"/>
      <c r="AG2" s="124"/>
      <c r="AH2" s="125"/>
      <c r="AI2" s="129" t="s">
        <v>247</v>
      </c>
      <c r="AJ2" s="130"/>
      <c r="AK2" s="130"/>
      <c r="AL2" s="131"/>
      <c r="AM2" s="123" t="s">
        <v>248</v>
      </c>
      <c r="AN2" s="124"/>
      <c r="AO2" s="124"/>
      <c r="AP2" s="125"/>
      <c r="AQ2" s="129" t="s">
        <v>242</v>
      </c>
      <c r="AR2" s="130"/>
      <c r="AS2" s="130"/>
      <c r="AT2" s="131"/>
      <c r="AU2" s="123" t="s">
        <v>242</v>
      </c>
      <c r="AV2" s="124"/>
      <c r="AW2" s="124"/>
      <c r="AX2" s="125"/>
      <c r="AY2" s="129" t="s">
        <v>242</v>
      </c>
      <c r="AZ2" s="130"/>
      <c r="BA2" s="130"/>
      <c r="BB2" s="131"/>
      <c r="BC2" s="123" t="s">
        <v>242</v>
      </c>
      <c r="BD2" s="124"/>
      <c r="BE2" s="124"/>
      <c r="BF2" s="125"/>
    </row>
    <row r="3" spans="1:58" ht="86.25" x14ac:dyDescent="0.25">
      <c r="A3" s="38"/>
      <c r="B3" s="44"/>
      <c r="C3" s="44"/>
      <c r="D3" s="50" t="s">
        <v>155</v>
      </c>
      <c r="E3" s="50" t="s">
        <v>156</v>
      </c>
      <c r="F3" s="50" t="s">
        <v>157</v>
      </c>
      <c r="G3" s="51" t="s">
        <v>158</v>
      </c>
      <c r="H3" s="50" t="s">
        <v>183</v>
      </c>
      <c r="I3" s="50" t="s">
        <v>159</v>
      </c>
      <c r="J3" s="54" t="s">
        <v>160</v>
      </c>
      <c r="K3" s="58" t="s">
        <v>123</v>
      </c>
      <c r="L3" s="58" t="s">
        <v>124</v>
      </c>
      <c r="M3" s="58" t="s">
        <v>125</v>
      </c>
      <c r="N3" s="62" t="s">
        <v>126</v>
      </c>
      <c r="O3" s="65" t="s">
        <v>123</v>
      </c>
      <c r="P3" s="65" t="s">
        <v>124</v>
      </c>
      <c r="Q3" s="65" t="s">
        <v>125</v>
      </c>
      <c r="R3" s="66" t="s">
        <v>126</v>
      </c>
      <c r="S3" s="58" t="s">
        <v>123</v>
      </c>
      <c r="T3" s="58" t="s">
        <v>124</v>
      </c>
      <c r="U3" s="58" t="s">
        <v>125</v>
      </c>
      <c r="V3" s="62" t="s">
        <v>126</v>
      </c>
      <c r="W3" s="65" t="s">
        <v>123</v>
      </c>
      <c r="X3" s="65" t="s">
        <v>124</v>
      </c>
      <c r="Y3" s="65" t="s">
        <v>125</v>
      </c>
      <c r="Z3" s="66" t="s">
        <v>126</v>
      </c>
      <c r="AA3" s="58" t="s">
        <v>123</v>
      </c>
      <c r="AB3" s="58" t="s">
        <v>124</v>
      </c>
      <c r="AC3" s="58" t="s">
        <v>125</v>
      </c>
      <c r="AD3" s="62" t="s">
        <v>126</v>
      </c>
      <c r="AE3" s="65" t="s">
        <v>123</v>
      </c>
      <c r="AF3" s="65" t="s">
        <v>124</v>
      </c>
      <c r="AG3" s="65" t="s">
        <v>125</v>
      </c>
      <c r="AH3" s="66" t="s">
        <v>126</v>
      </c>
      <c r="AI3" s="58" t="s">
        <v>123</v>
      </c>
      <c r="AJ3" s="58" t="s">
        <v>124</v>
      </c>
      <c r="AK3" s="58" t="s">
        <v>125</v>
      </c>
      <c r="AL3" s="62" t="s">
        <v>126</v>
      </c>
      <c r="AM3" s="65" t="s">
        <v>123</v>
      </c>
      <c r="AN3" s="65" t="s">
        <v>124</v>
      </c>
      <c r="AO3" s="65" t="s">
        <v>125</v>
      </c>
      <c r="AP3" s="66" t="s">
        <v>126</v>
      </c>
      <c r="AQ3" s="58" t="s">
        <v>123</v>
      </c>
      <c r="AR3" s="58" t="s">
        <v>124</v>
      </c>
      <c r="AS3" s="58" t="s">
        <v>125</v>
      </c>
      <c r="AT3" s="62" t="s">
        <v>126</v>
      </c>
      <c r="AU3" s="65" t="s">
        <v>123</v>
      </c>
      <c r="AV3" s="65" t="s">
        <v>124</v>
      </c>
      <c r="AW3" s="65" t="s">
        <v>125</v>
      </c>
      <c r="AX3" s="66" t="s">
        <v>126</v>
      </c>
      <c r="AY3" s="58" t="s">
        <v>123</v>
      </c>
      <c r="AZ3" s="58" t="s">
        <v>124</v>
      </c>
      <c r="BA3" s="58" t="s">
        <v>125</v>
      </c>
      <c r="BB3" s="62" t="s">
        <v>126</v>
      </c>
      <c r="BC3" s="65" t="s">
        <v>123</v>
      </c>
      <c r="BD3" s="65" t="s">
        <v>124</v>
      </c>
      <c r="BE3" s="65" t="s">
        <v>125</v>
      </c>
      <c r="BF3" s="66" t="s">
        <v>126</v>
      </c>
    </row>
    <row r="4" spans="1:58" x14ac:dyDescent="0.25">
      <c r="A4" s="39"/>
      <c r="B4" s="45"/>
      <c r="C4" s="46"/>
      <c r="D4" s="39"/>
      <c r="E4" s="39"/>
      <c r="F4" s="39"/>
      <c r="G4" s="39"/>
      <c r="H4" s="39"/>
      <c r="I4" s="39"/>
      <c r="J4" s="55"/>
      <c r="K4" s="39"/>
      <c r="L4" s="39"/>
      <c r="M4" s="39"/>
      <c r="N4" s="63"/>
      <c r="O4" s="39"/>
      <c r="P4" s="39"/>
      <c r="Q4" s="39"/>
      <c r="R4" s="63"/>
      <c r="S4" s="39"/>
      <c r="T4" s="39"/>
      <c r="U4" s="39"/>
      <c r="V4" s="63"/>
      <c r="W4" s="39"/>
      <c r="X4" s="39"/>
      <c r="Y4" s="39"/>
      <c r="Z4" s="63"/>
      <c r="AA4" s="39"/>
      <c r="AB4" s="39"/>
      <c r="AC4" s="39"/>
      <c r="AD4" s="63"/>
      <c r="AE4" s="39"/>
      <c r="AF4" s="39"/>
      <c r="AG4" s="39"/>
      <c r="AH4" s="63"/>
      <c r="AI4" s="39"/>
      <c r="AJ4" s="39"/>
      <c r="AK4" s="39"/>
      <c r="AL4" s="63"/>
      <c r="AM4" s="39"/>
      <c r="AN4" s="39"/>
      <c r="AO4" s="39"/>
      <c r="AP4" s="63"/>
      <c r="AQ4" s="39"/>
      <c r="AR4" s="39"/>
      <c r="AS4" s="39"/>
      <c r="AT4" s="63"/>
      <c r="AU4" s="39"/>
      <c r="AV4" s="39"/>
      <c r="AW4" s="39"/>
      <c r="AX4" s="63"/>
      <c r="AY4" s="39"/>
      <c r="AZ4" s="39"/>
      <c r="BA4" s="39"/>
      <c r="BB4" s="63"/>
      <c r="BC4" s="39"/>
      <c r="BD4" s="39"/>
      <c r="BE4" s="39"/>
      <c r="BF4" s="63"/>
    </row>
    <row r="5" spans="1:58" x14ac:dyDescent="0.25">
      <c r="A5" t="s">
        <v>3</v>
      </c>
      <c r="B5" s="46" t="s">
        <v>197</v>
      </c>
      <c r="C5" s="47">
        <v>2020</v>
      </c>
      <c r="D5" s="73">
        <f>AVERAGE(K5,O5,S5,W5,AA5,AE5,AI5,AM5,AQ5,AU5,AY5,BC5,BG5,BK5,BO5,BS5,BW5,CA5)</f>
        <v>2003.75</v>
      </c>
      <c r="E5" s="73">
        <f>MEDIAN(K5,O5,S5,W5,AA5,AE5,AI5,AM5,AQ5,AU5,AY5,BC5,BG5,BK5,BO5,BS5,BW5,CA5)</f>
        <v>2003.75</v>
      </c>
      <c r="F5" s="73">
        <f>MIN(K5,O5,S5,W5,AA5,AE5,AI5,AM5,AQ5,AU5,AY5,BC5,BG5,BK5,BO5,BS5,BW5,CA5)</f>
        <v>7.5</v>
      </c>
      <c r="G5" s="73">
        <f>MAX(K5,O5,S5,W5,AA5,AE5,AI5,AM5,AQ5,AU5,AY5,BC5,BG5,BK5,BO5,BS5,BW5,CA5)</f>
        <v>4000</v>
      </c>
      <c r="H5" s="39">
        <f>COUNT(K5,O5,S5,W5,AA5,AE5,AI5,AM5,AQ5,AU5,AY5,BC5,BG5,BK5,BO5,BS5,BW5,CA5,CE5)</f>
        <v>2</v>
      </c>
      <c r="I5" s="39"/>
      <c r="J5" s="63"/>
      <c r="K5" s="39"/>
      <c r="L5" s="39"/>
      <c r="M5" s="61"/>
      <c r="N5" s="64"/>
      <c r="O5" s="39"/>
      <c r="P5" s="39"/>
      <c r="Q5" s="61"/>
      <c r="R5" s="64"/>
      <c r="S5" s="39"/>
      <c r="T5" s="39"/>
      <c r="U5" s="61"/>
      <c r="V5" s="64"/>
      <c r="W5" s="39">
        <v>4000</v>
      </c>
      <c r="X5" s="39"/>
      <c r="Y5" s="61"/>
      <c r="Z5" s="64"/>
      <c r="AA5" s="39"/>
      <c r="AB5" s="39"/>
      <c r="AC5" s="61"/>
      <c r="AD5" s="64"/>
      <c r="AE5" s="39"/>
      <c r="AF5" s="39"/>
      <c r="AG5" s="61"/>
      <c r="AH5" s="64"/>
      <c r="AI5" s="39"/>
      <c r="AJ5" s="39"/>
      <c r="AK5" s="61"/>
      <c r="AL5" s="64"/>
      <c r="AM5" s="39"/>
      <c r="AN5" s="39"/>
      <c r="AO5" s="61"/>
      <c r="AP5" s="64"/>
      <c r="AQ5" s="39">
        <v>7.5</v>
      </c>
      <c r="AR5" s="39"/>
      <c r="AS5" s="61"/>
      <c r="AT5" s="64"/>
      <c r="AU5" s="39"/>
      <c r="AV5" s="39"/>
      <c r="AW5" s="61"/>
      <c r="AX5" s="64"/>
      <c r="AY5" s="39"/>
      <c r="AZ5" s="39"/>
      <c r="BA5" s="61"/>
      <c r="BB5" s="64"/>
      <c r="BC5" s="39"/>
      <c r="BD5" s="39"/>
      <c r="BE5" s="61"/>
      <c r="BF5" s="64"/>
    </row>
    <row r="6" spans="1:58" x14ac:dyDescent="0.25">
      <c r="A6" t="s">
        <v>15</v>
      </c>
      <c r="B6" s="46" t="s">
        <v>197</v>
      </c>
      <c r="C6" s="47">
        <v>2020</v>
      </c>
      <c r="D6" s="73">
        <f t="shared" ref="D6:D13" si="0">AVERAGE(K6,O6,S6,W6,AA6,AE6,AI6,AM6,AQ6,AU6,AY6,BC6,BG6,BK6,BO6,BS6,BW6,CA6)</f>
        <v>1274.595</v>
      </c>
      <c r="E6" s="73">
        <f t="shared" ref="E6:E13" si="1">MEDIAN(K6,O6,S6,W6,AA6,AE6,AI6,AM6,AQ6,AU6,AY6,BC6,BG6,BK6,BO6,BS6,BW6,CA6)</f>
        <v>884</v>
      </c>
      <c r="F6" s="73">
        <f t="shared" ref="F6:F13" si="2">MIN(K6,O6,S6,W6,AA6,AE6,AI6,AM6,AQ6,AU6,AY6,BC6,BG6,BK6,BO6,BS6,BW6,CA6)</f>
        <v>589.38</v>
      </c>
      <c r="G6" s="73">
        <f t="shared" ref="G6:G13" si="3">MAX(K6,O6,S6,W6,AA6,AE6,AI6,AM6,AQ6,AU6,AY6,BC6,BG6,BK6,BO6,BS6,BW6,CA6)</f>
        <v>2741</v>
      </c>
      <c r="H6" s="39">
        <f t="shared" ref="H6:H13" si="4">COUNT(K6,O6,S6,W6,AA6,AE6,AI6,AM6,AQ6,AU6,AY6,BC6,BG6,BK6,BO6,BS6,BW6,CA6,CE6)</f>
        <v>4</v>
      </c>
      <c r="I6" s="39"/>
      <c r="J6" s="63"/>
      <c r="K6" s="39"/>
      <c r="L6" s="39"/>
      <c r="M6" s="61"/>
      <c r="N6" s="64"/>
      <c r="O6" s="39">
        <v>2741</v>
      </c>
      <c r="P6" s="39"/>
      <c r="Q6" s="61"/>
      <c r="R6" s="64"/>
      <c r="S6" s="39"/>
      <c r="T6" s="39"/>
      <c r="U6" s="61"/>
      <c r="V6" s="64"/>
      <c r="W6" s="39"/>
      <c r="X6" s="39"/>
      <c r="Y6" s="61"/>
      <c r="Z6" s="64"/>
      <c r="AA6" s="39"/>
      <c r="AB6" s="39"/>
      <c r="AC6" s="61"/>
      <c r="AD6" s="64"/>
      <c r="AE6" s="39">
        <v>589.38</v>
      </c>
      <c r="AF6" s="39"/>
      <c r="AG6" s="61"/>
      <c r="AH6" s="64"/>
      <c r="AI6" s="39">
        <v>884</v>
      </c>
      <c r="AJ6" s="39"/>
      <c r="AK6" s="61"/>
      <c r="AL6" s="64"/>
      <c r="AM6" s="39">
        <v>884</v>
      </c>
      <c r="AN6" s="39"/>
      <c r="AO6" s="61"/>
      <c r="AP6" s="64"/>
      <c r="AQ6" s="39"/>
      <c r="AR6" s="39"/>
      <c r="AS6" s="61"/>
      <c r="AT6" s="64"/>
      <c r="AU6" s="39"/>
      <c r="AV6" s="39"/>
      <c r="AW6" s="61"/>
      <c r="AX6" s="64"/>
      <c r="AY6" s="39"/>
      <c r="AZ6" s="39"/>
      <c r="BA6" s="61"/>
      <c r="BB6" s="64"/>
      <c r="BC6" s="39"/>
      <c r="BD6" s="39"/>
      <c r="BE6" s="61"/>
      <c r="BF6" s="64"/>
    </row>
    <row r="7" spans="1:58" x14ac:dyDescent="0.25">
      <c r="A7" t="s">
        <v>20</v>
      </c>
      <c r="B7" s="46" t="s">
        <v>197</v>
      </c>
      <c r="C7" s="47">
        <v>2020</v>
      </c>
      <c r="D7" s="73">
        <f t="shared" si="0"/>
        <v>9</v>
      </c>
      <c r="E7" s="73">
        <f t="shared" si="1"/>
        <v>9</v>
      </c>
      <c r="F7" s="73">
        <f t="shared" si="2"/>
        <v>9</v>
      </c>
      <c r="G7" s="73">
        <f t="shared" si="3"/>
        <v>9</v>
      </c>
      <c r="H7" s="39">
        <f t="shared" si="4"/>
        <v>1</v>
      </c>
      <c r="I7" s="39"/>
      <c r="J7" s="63"/>
      <c r="K7" s="39"/>
      <c r="L7" s="39"/>
      <c r="M7" s="61"/>
      <c r="N7" s="64"/>
      <c r="O7" s="39"/>
      <c r="P7" s="39"/>
      <c r="Q7" s="61"/>
      <c r="R7" s="64"/>
      <c r="S7" s="39"/>
      <c r="T7" s="39"/>
      <c r="U7" s="61"/>
      <c r="V7" s="64"/>
      <c r="W7" s="39"/>
      <c r="X7" s="39"/>
      <c r="Y7" s="61"/>
      <c r="Z7" s="64"/>
      <c r="AA7" s="39"/>
      <c r="AB7" s="39"/>
      <c r="AC7" s="61"/>
      <c r="AD7" s="64"/>
      <c r="AE7" s="39"/>
      <c r="AF7" s="39"/>
      <c r="AG7" s="61"/>
      <c r="AH7" s="64"/>
      <c r="AI7" s="39"/>
      <c r="AJ7" s="39"/>
      <c r="AK7" s="61"/>
      <c r="AL7" s="64"/>
      <c r="AM7" s="39"/>
      <c r="AN7" s="39"/>
      <c r="AO7" s="61"/>
      <c r="AP7" s="64"/>
      <c r="AQ7" s="39"/>
      <c r="AR7" s="39"/>
      <c r="AS7" s="61"/>
      <c r="AT7" s="64"/>
      <c r="AU7" s="39"/>
      <c r="AV7" s="39"/>
      <c r="AW7" s="61"/>
      <c r="AX7" s="64"/>
      <c r="AY7" s="39">
        <v>9</v>
      </c>
      <c r="AZ7" s="39"/>
      <c r="BA7" s="61"/>
      <c r="BB7" s="64"/>
      <c r="BC7" s="39"/>
      <c r="BD7" s="39"/>
      <c r="BE7" s="61"/>
      <c r="BF7" s="64"/>
    </row>
    <row r="8" spans="1:58" x14ac:dyDescent="0.25">
      <c r="A8" t="s">
        <v>29</v>
      </c>
      <c r="B8" s="46" t="s">
        <v>197</v>
      </c>
      <c r="C8" s="47">
        <v>2020</v>
      </c>
      <c r="D8" s="73">
        <f t="shared" si="0"/>
        <v>138.10166666666666</v>
      </c>
      <c r="E8" s="73">
        <f t="shared" si="1"/>
        <v>72.38</v>
      </c>
      <c r="F8" s="73">
        <f t="shared" si="2"/>
        <v>5.9250000000000007</v>
      </c>
      <c r="G8" s="73">
        <f t="shared" si="3"/>
        <v>336</v>
      </c>
      <c r="H8" s="39">
        <f t="shared" si="4"/>
        <v>3</v>
      </c>
      <c r="I8" s="39"/>
      <c r="J8" s="63"/>
      <c r="K8" s="39"/>
      <c r="L8" s="39"/>
      <c r="M8" s="61"/>
      <c r="N8" s="64"/>
      <c r="O8" s="77">
        <v>336</v>
      </c>
      <c r="P8" s="39"/>
      <c r="Q8" s="61"/>
      <c r="R8" s="64"/>
      <c r="S8" s="39"/>
      <c r="T8" s="39"/>
      <c r="U8" s="61"/>
      <c r="V8" s="64"/>
      <c r="W8" s="77"/>
      <c r="X8" s="39"/>
      <c r="Y8" s="61"/>
      <c r="Z8" s="64"/>
      <c r="AA8" s="39"/>
      <c r="AB8" s="39"/>
      <c r="AC8" s="61"/>
      <c r="AD8" s="64"/>
      <c r="AE8" s="77">
        <v>72.38</v>
      </c>
      <c r="AF8" s="39"/>
      <c r="AG8" s="61"/>
      <c r="AH8" s="64"/>
      <c r="AI8" s="39">
        <v>5.9250000000000007</v>
      </c>
      <c r="AJ8" s="39"/>
      <c r="AK8" s="61"/>
      <c r="AL8" s="64"/>
      <c r="AM8" s="77"/>
      <c r="AN8" s="39"/>
      <c r="AO8" s="61"/>
      <c r="AP8" s="64"/>
      <c r="AQ8" s="39"/>
      <c r="AR8" s="39"/>
      <c r="AS8" s="61"/>
      <c r="AT8" s="64"/>
      <c r="AU8" s="77"/>
      <c r="AV8" s="39"/>
      <c r="AW8" s="61"/>
      <c r="AX8" s="64"/>
      <c r="AY8" s="39"/>
      <c r="AZ8" s="39"/>
      <c r="BA8" s="61"/>
      <c r="BB8" s="64"/>
      <c r="BC8" s="77"/>
      <c r="BD8" s="39"/>
      <c r="BE8" s="61"/>
      <c r="BF8" s="64"/>
    </row>
    <row r="9" spans="1:58" x14ac:dyDescent="0.25">
      <c r="A9" t="s">
        <v>38</v>
      </c>
      <c r="B9" s="46" t="s">
        <v>197</v>
      </c>
      <c r="C9" s="47">
        <v>2020</v>
      </c>
      <c r="D9" s="73">
        <f t="shared" si="0"/>
        <v>1.3</v>
      </c>
      <c r="E9" s="73">
        <f t="shared" si="1"/>
        <v>1.3</v>
      </c>
      <c r="F9" s="73">
        <f t="shared" si="2"/>
        <v>1.3</v>
      </c>
      <c r="G9" s="73">
        <f t="shared" si="3"/>
        <v>1.3</v>
      </c>
      <c r="H9" s="39">
        <f t="shared" si="4"/>
        <v>1</v>
      </c>
      <c r="I9" s="39"/>
      <c r="J9" s="63"/>
      <c r="K9" s="39"/>
      <c r="L9" s="39"/>
      <c r="M9" s="61"/>
      <c r="N9" s="64"/>
      <c r="O9" s="39"/>
      <c r="P9" s="39"/>
      <c r="Q9" s="61"/>
      <c r="R9" s="64"/>
      <c r="S9" s="39"/>
      <c r="T9" s="39"/>
      <c r="U9" s="61"/>
      <c r="V9" s="64"/>
      <c r="W9" s="39"/>
      <c r="X9" s="39"/>
      <c r="Y9" s="61"/>
      <c r="Z9" s="64"/>
      <c r="AA9" s="39"/>
      <c r="AB9" s="39"/>
      <c r="AC9" s="61"/>
      <c r="AD9" s="64"/>
      <c r="AE9" s="39"/>
      <c r="AF9" s="39"/>
      <c r="AG9" s="61"/>
      <c r="AH9" s="64"/>
      <c r="AI9" s="39">
        <v>1.3</v>
      </c>
      <c r="AJ9" s="39"/>
      <c r="AK9" s="61"/>
      <c r="AL9" s="64"/>
      <c r="AM9" s="39"/>
      <c r="AN9" s="39"/>
      <c r="AO9" s="61"/>
      <c r="AP9" s="64"/>
      <c r="AQ9" s="39"/>
      <c r="AR9" s="39"/>
      <c r="AS9" s="61"/>
      <c r="AT9" s="64"/>
      <c r="AU9" s="39"/>
      <c r="AV9" s="39"/>
      <c r="AW9" s="61"/>
      <c r="AX9" s="64"/>
      <c r="AY9" s="39"/>
      <c r="AZ9" s="39"/>
      <c r="BA9" s="61"/>
      <c r="BB9" s="64"/>
      <c r="BC9" s="39"/>
      <c r="BD9" s="39"/>
      <c r="BE9" s="61"/>
      <c r="BF9" s="64"/>
    </row>
    <row r="10" spans="1:58" x14ac:dyDescent="0.25">
      <c r="A10" t="s">
        <v>246</v>
      </c>
      <c r="B10" s="46" t="s">
        <v>197</v>
      </c>
      <c r="C10" s="47">
        <v>2021</v>
      </c>
      <c r="D10" s="73">
        <f t="shared" si="0"/>
        <v>2461</v>
      </c>
      <c r="E10" s="73">
        <f t="shared" si="1"/>
        <v>3383</v>
      </c>
      <c r="F10" s="73">
        <f t="shared" si="2"/>
        <v>0</v>
      </c>
      <c r="G10" s="73">
        <f t="shared" si="3"/>
        <v>4000</v>
      </c>
      <c r="H10" s="39">
        <f t="shared" ref="H10" si="5">COUNT(K10,O10,S10,W10,AA10,AE10,AI10,AM10,AQ10,AU10,AY10,BC10,BG10,BK10,BO10,BS10,BW10,CA10,CE10)</f>
        <v>3</v>
      </c>
      <c r="I10" s="39"/>
      <c r="J10" s="63"/>
      <c r="K10" s="39"/>
      <c r="L10" s="39"/>
      <c r="M10" s="61"/>
      <c r="N10" s="64"/>
      <c r="O10" s="39"/>
      <c r="P10" s="39"/>
      <c r="Q10" s="61"/>
      <c r="R10" s="64"/>
      <c r="S10" s="39"/>
      <c r="T10" s="39"/>
      <c r="U10" s="61"/>
      <c r="V10" s="64"/>
      <c r="W10" s="39"/>
      <c r="X10" s="39"/>
      <c r="Y10" s="61"/>
      <c r="Z10" s="64"/>
      <c r="AA10" s="39"/>
      <c r="AB10" s="39"/>
      <c r="AC10" s="61"/>
      <c r="AD10" s="64"/>
      <c r="AE10" s="39">
        <v>0</v>
      </c>
      <c r="AF10" s="39"/>
      <c r="AG10" s="61"/>
      <c r="AH10" s="64"/>
      <c r="AI10" s="39"/>
      <c r="AJ10" s="39"/>
      <c r="AK10" s="61"/>
      <c r="AL10" s="64"/>
      <c r="AM10" s="39"/>
      <c r="AN10" s="39"/>
      <c r="AO10" s="61"/>
      <c r="AP10" s="64"/>
      <c r="AQ10" s="39">
        <v>4000</v>
      </c>
      <c r="AR10" s="39"/>
      <c r="AS10" s="61"/>
      <c r="AT10" s="64"/>
      <c r="AU10" s="39"/>
      <c r="AV10" s="39"/>
      <c r="AW10" s="61"/>
      <c r="AX10" s="64"/>
      <c r="AY10" s="39"/>
      <c r="AZ10" s="39"/>
      <c r="BA10" s="61"/>
      <c r="BB10" s="64"/>
      <c r="BC10" s="39">
        <v>3383</v>
      </c>
      <c r="BD10" s="39"/>
      <c r="BE10" s="61"/>
      <c r="BF10" s="64"/>
    </row>
    <row r="11" spans="1:58" x14ac:dyDescent="0.25">
      <c r="A11" t="s">
        <v>48</v>
      </c>
      <c r="B11" s="46" t="s">
        <v>197</v>
      </c>
      <c r="C11" s="47">
        <v>2020</v>
      </c>
      <c r="D11" s="73">
        <f t="shared" si="0"/>
        <v>38.839469696969701</v>
      </c>
      <c r="E11" s="73">
        <f t="shared" si="1"/>
        <v>24</v>
      </c>
      <c r="F11" s="73">
        <f t="shared" si="2"/>
        <v>5.17</v>
      </c>
      <c r="G11" s="73">
        <f t="shared" si="3"/>
        <v>80</v>
      </c>
      <c r="H11" s="39">
        <f t="shared" si="4"/>
        <v>11</v>
      </c>
      <c r="I11" s="39"/>
      <c r="J11" s="63"/>
      <c r="K11" s="39">
        <v>80</v>
      </c>
      <c r="L11" s="39"/>
      <c r="M11" s="61"/>
      <c r="N11" s="64"/>
      <c r="O11" s="39">
        <v>24</v>
      </c>
      <c r="P11" s="39"/>
      <c r="Q11" s="61"/>
      <c r="R11" s="64"/>
      <c r="S11" s="39">
        <v>54.812499999999993</v>
      </c>
      <c r="T11" s="39"/>
      <c r="U11" s="61"/>
      <c r="V11" s="64"/>
      <c r="W11" s="39">
        <v>80</v>
      </c>
      <c r="X11" s="39"/>
      <c r="Y11" s="61"/>
      <c r="Z11" s="64"/>
      <c r="AA11" s="89">
        <v>49.666666666666664</v>
      </c>
      <c r="AB11" s="39"/>
      <c r="AC11" s="61"/>
      <c r="AD11" s="64"/>
      <c r="AE11" s="39">
        <v>5.17</v>
      </c>
      <c r="AF11" s="39"/>
      <c r="AG11" s="61"/>
      <c r="AH11" s="64"/>
      <c r="AI11" s="39">
        <v>63.584999999999994</v>
      </c>
      <c r="AJ11" s="39"/>
      <c r="AK11" s="61"/>
      <c r="AL11" s="64"/>
      <c r="AM11" s="39">
        <v>10</v>
      </c>
      <c r="AN11" s="39"/>
      <c r="AO11" s="61"/>
      <c r="AP11" s="64"/>
      <c r="AQ11" s="39">
        <v>20</v>
      </c>
      <c r="AR11" s="39"/>
      <c r="AS11" s="61"/>
      <c r="AT11" s="64"/>
      <c r="AU11" s="39">
        <v>20</v>
      </c>
      <c r="AV11" s="39"/>
      <c r="AW11" s="61"/>
      <c r="AX11" s="64"/>
      <c r="AY11" s="89">
        <v>20</v>
      </c>
      <c r="AZ11" s="39"/>
      <c r="BA11" s="61"/>
      <c r="BB11" s="64"/>
      <c r="BC11" s="39"/>
      <c r="BD11" s="39"/>
      <c r="BE11" s="61"/>
      <c r="BF11" s="64"/>
    </row>
    <row r="12" spans="1:58" x14ac:dyDescent="0.25">
      <c r="A12" t="s">
        <v>145</v>
      </c>
      <c r="B12" s="46" t="s">
        <v>197</v>
      </c>
      <c r="C12" s="47">
        <v>2021</v>
      </c>
      <c r="D12" s="73">
        <f t="shared" si="0"/>
        <v>350.54</v>
      </c>
      <c r="E12" s="73">
        <f t="shared" si="1"/>
        <v>350.54</v>
      </c>
      <c r="F12" s="73">
        <f t="shared" si="2"/>
        <v>124.08</v>
      </c>
      <c r="G12" s="73">
        <f t="shared" si="3"/>
        <v>577</v>
      </c>
      <c r="H12" s="39">
        <f t="shared" ref="H12" si="6">COUNT(K12,O12,S12,W12,AA12,AE12,AI12,AM12,AQ12,AU12,AY12,BC12,BG12,BK12,BO12,BS12,BW12,CA12,CE12)</f>
        <v>2</v>
      </c>
      <c r="I12" s="39"/>
      <c r="J12" s="63"/>
      <c r="K12" s="39"/>
      <c r="L12" s="39"/>
      <c r="M12" s="61"/>
      <c r="N12" s="64"/>
      <c r="O12" s="39">
        <v>577</v>
      </c>
      <c r="P12" s="39"/>
      <c r="Q12" s="61"/>
      <c r="R12" s="64"/>
      <c r="S12" s="39"/>
      <c r="T12" s="39"/>
      <c r="U12" s="61"/>
      <c r="V12" s="64"/>
      <c r="W12" s="39"/>
      <c r="X12" s="39"/>
      <c r="Y12" s="61"/>
      <c r="Z12" s="64"/>
      <c r="AA12" s="39"/>
      <c r="AB12" s="39"/>
      <c r="AC12" s="61"/>
      <c r="AD12" s="64"/>
      <c r="AE12" s="39">
        <v>124.08</v>
      </c>
      <c r="AF12" s="39"/>
      <c r="AG12" s="61"/>
      <c r="AH12" s="64"/>
      <c r="AI12" s="39"/>
      <c r="AJ12" s="39"/>
      <c r="AK12" s="61"/>
      <c r="AL12" s="64"/>
      <c r="AM12" s="39"/>
      <c r="AN12" s="39"/>
      <c r="AO12" s="61"/>
      <c r="AP12" s="64"/>
      <c r="AQ12" s="39"/>
      <c r="AR12" s="39"/>
      <c r="AS12" s="61"/>
      <c r="AT12" s="64"/>
      <c r="AU12" s="39"/>
      <c r="AV12" s="39"/>
      <c r="AW12" s="61"/>
      <c r="AX12" s="64"/>
      <c r="AY12" s="39"/>
      <c r="AZ12" s="39"/>
      <c r="BA12" s="61"/>
      <c r="BB12" s="64"/>
      <c r="BC12" s="39"/>
      <c r="BD12" s="39"/>
      <c r="BE12" s="61"/>
      <c r="BF12" s="64"/>
    </row>
    <row r="13" spans="1:58" x14ac:dyDescent="0.25">
      <c r="A13" t="s">
        <v>57</v>
      </c>
      <c r="B13" s="46" t="s">
        <v>197</v>
      </c>
      <c r="C13" s="47">
        <v>2020</v>
      </c>
      <c r="D13" s="73">
        <f t="shared" si="0"/>
        <v>16.734999999999999</v>
      </c>
      <c r="E13" s="73">
        <f t="shared" si="1"/>
        <v>16.734999999999999</v>
      </c>
      <c r="F13" s="73">
        <f t="shared" si="2"/>
        <v>16.734999999999999</v>
      </c>
      <c r="G13" s="73">
        <f t="shared" si="3"/>
        <v>16.734999999999999</v>
      </c>
      <c r="H13" s="39">
        <f t="shared" si="4"/>
        <v>1</v>
      </c>
      <c r="I13" s="40"/>
      <c r="J13" s="56"/>
      <c r="K13" s="59"/>
      <c r="L13" s="60"/>
      <c r="M13" s="61"/>
      <c r="N13" s="64"/>
      <c r="O13" s="70"/>
      <c r="P13" s="60"/>
      <c r="Q13" s="61"/>
      <c r="R13" s="64"/>
      <c r="S13" s="70"/>
      <c r="T13" s="60"/>
      <c r="U13" s="61"/>
      <c r="V13" s="64"/>
      <c r="W13" s="70"/>
      <c r="X13" s="60"/>
      <c r="Y13" s="61"/>
      <c r="Z13" s="64"/>
      <c r="AA13" s="59"/>
      <c r="AB13" s="60"/>
      <c r="AC13" s="61"/>
      <c r="AD13" s="64"/>
      <c r="AE13" s="70"/>
      <c r="AF13" s="60"/>
      <c r="AG13" s="61"/>
      <c r="AH13" s="64"/>
      <c r="AI13" s="90">
        <v>16.734999999999999</v>
      </c>
      <c r="AJ13" s="60"/>
      <c r="AK13" s="61"/>
      <c r="AL13" s="64"/>
      <c r="AM13" s="70"/>
      <c r="AN13" s="60"/>
      <c r="AO13" s="61"/>
      <c r="AP13" s="64"/>
      <c r="AQ13" s="70"/>
      <c r="AR13" s="60"/>
      <c r="AS13" s="61"/>
      <c r="AT13" s="64"/>
      <c r="AU13" s="70"/>
      <c r="AV13" s="60"/>
      <c r="AW13" s="61"/>
      <c r="AX13" s="64"/>
      <c r="AY13" s="59"/>
      <c r="AZ13" s="60"/>
      <c r="BA13" s="61"/>
      <c r="BB13" s="64"/>
      <c r="BC13" s="70"/>
      <c r="BD13" s="60"/>
      <c r="BE13" s="61"/>
      <c r="BF13" s="64"/>
    </row>
    <row r="14" spans="1:58" x14ac:dyDescent="0.25">
      <c r="A14" s="41"/>
      <c r="B14" s="48"/>
      <c r="C14" s="48"/>
      <c r="D14" s="41"/>
      <c r="E14" s="41"/>
      <c r="F14" s="41"/>
      <c r="G14" s="41"/>
      <c r="H14" s="52"/>
      <c r="I14" s="41"/>
      <c r="J14" s="57"/>
      <c r="K14" s="41"/>
      <c r="L14" s="41"/>
      <c r="M14" s="52"/>
      <c r="N14" s="57"/>
      <c r="O14" s="41"/>
      <c r="P14" s="41"/>
      <c r="Q14" s="52"/>
      <c r="R14" s="57"/>
      <c r="S14" s="41"/>
      <c r="T14" s="41"/>
      <c r="U14" s="52"/>
      <c r="V14" s="57"/>
      <c r="W14" s="41"/>
      <c r="X14" s="41"/>
      <c r="Y14" s="52"/>
      <c r="Z14" s="57"/>
      <c r="AA14" s="41"/>
      <c r="AB14" s="41"/>
      <c r="AC14" s="52"/>
      <c r="AD14" s="57"/>
      <c r="AE14" s="41"/>
      <c r="AF14" s="41"/>
      <c r="AG14" s="52"/>
      <c r="AH14" s="57"/>
      <c r="AI14" s="41"/>
      <c r="AJ14" s="41"/>
      <c r="AK14" s="52"/>
      <c r="AL14" s="57"/>
      <c r="AM14" s="41"/>
      <c r="AN14" s="41"/>
      <c r="AO14" s="52"/>
      <c r="AP14" s="57"/>
      <c r="AQ14" s="41"/>
      <c r="AR14" s="41"/>
      <c r="AS14" s="52"/>
      <c r="AT14" s="57"/>
      <c r="AU14" s="41"/>
      <c r="AV14" s="41"/>
      <c r="AW14" s="52"/>
      <c r="AX14" s="57"/>
      <c r="AY14" s="41"/>
      <c r="AZ14" s="41"/>
      <c r="BA14" s="52"/>
      <c r="BB14" s="57"/>
      <c r="BC14" s="41"/>
      <c r="BD14" s="41"/>
      <c r="BE14" s="52"/>
      <c r="BF14" s="57"/>
    </row>
  </sheetData>
  <sortState ref="E25:E43">
    <sortCondition ref="E25"/>
  </sortState>
  <mergeCells count="25">
    <mergeCell ref="AQ2:AT2"/>
    <mergeCell ref="AU2:AX2"/>
    <mergeCell ref="AY2:BB2"/>
    <mergeCell ref="BC2:BF2"/>
    <mergeCell ref="AQ1:AT1"/>
    <mergeCell ref="AU1:AX1"/>
    <mergeCell ref="AY1:BB1"/>
    <mergeCell ref="BC1:BF1"/>
    <mergeCell ref="AA1:AD1"/>
    <mergeCell ref="AE1:AH1"/>
    <mergeCell ref="AI1:AL1"/>
    <mergeCell ref="AM1:AP1"/>
    <mergeCell ref="AA2:AD2"/>
    <mergeCell ref="AE2:AH2"/>
    <mergeCell ref="AI2:AL2"/>
    <mergeCell ref="AM2:AP2"/>
    <mergeCell ref="K2:N2"/>
    <mergeCell ref="O2:R2"/>
    <mergeCell ref="S2:V2"/>
    <mergeCell ref="W2:Z2"/>
    <mergeCell ref="D1:J1"/>
    <mergeCell ref="K1:N1"/>
    <mergeCell ref="O1:R1"/>
    <mergeCell ref="S1:V1"/>
    <mergeCell ref="W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Materials</vt:lpstr>
      <vt:lpstr>Technologies</vt:lpstr>
      <vt:lpstr>ICEV</vt:lpstr>
      <vt:lpstr>EV</vt:lpstr>
      <vt:lpstr>Wind-DDPM</vt:lpstr>
      <vt:lpstr>Wind-DDEE</vt:lpstr>
      <vt:lpstr>Wind-Gearbox</vt:lpstr>
      <vt:lpstr>Wind-HTSP</vt:lpstr>
      <vt:lpstr>c-Si</vt:lpstr>
      <vt:lpstr>CdTe</vt:lpstr>
      <vt:lpstr>CIGS</vt:lpstr>
      <vt:lpstr>a-Si</vt:lpstr>
      <vt:lpstr>Parabolic Trough - SF</vt:lpstr>
      <vt:lpstr>Parabolic Trough - PB</vt:lpstr>
      <vt:lpstr>CSP Tower - SF</vt:lpstr>
      <vt:lpstr>CSP Tower - PB</vt:lpstr>
      <vt:lpstr>Nuclear</vt:lpstr>
      <vt:lpstr>LCO</vt:lpstr>
      <vt:lpstr>LMO</vt:lpstr>
      <vt:lpstr>NMC111</vt:lpstr>
      <vt:lpstr>NMC622</vt:lpstr>
      <vt:lpstr>NMC811</vt:lpstr>
      <vt:lpstr>NCA</vt:lpstr>
      <vt:lpstr>LFP</vt:lpstr>
      <vt:lpstr>LTO</vt:lpstr>
      <vt:lpstr>Lead-Acid</vt:lpstr>
      <vt:lpstr>NiMH</vt:lpstr>
      <vt:lpstr>LiS</vt:lpstr>
      <vt:lpstr>LiO2</vt:lpstr>
      <vt:lpstr>PEMFC</vt:lpstr>
      <vt:lpstr>SOFC - Y</vt:lpstr>
      <vt:lpstr>SOFC - Sc</vt:lpstr>
      <vt:lpstr>PAFC</vt:lpstr>
      <vt:lpstr>PEMEL</vt:lpstr>
      <vt:lpstr>AEL</vt:lpstr>
      <vt:lpstr>HTEL - Yttrium</vt:lpstr>
      <vt:lpstr>HTEL - Scandium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Hahn Menacho Alvaro Jose</cp:lastModifiedBy>
  <dcterms:created xsi:type="dcterms:W3CDTF">2023-03-06T10:23:51Z</dcterms:created>
  <dcterms:modified xsi:type="dcterms:W3CDTF">2023-07-13T11:10:55Z</dcterms:modified>
</cp:coreProperties>
</file>