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4DE6340-5BF7-8145-BCBE-A809ECA47F97}" xr6:coauthVersionLast="47" xr6:coauthVersionMax="47" xr10:uidLastSave="{00000000-0000-0000-0000-000000000000}"/>
  <bookViews>
    <workbookView xWindow="34300" yWindow="2380" windowWidth="30020" windowHeight="18880" activeTab="3" xr2:uid="{00000000-000D-0000-FFFF-FFFF00000000}"/>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2018'!$A$1:$N$1111</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95" i="6" l="1"/>
  <c r="B693" i="6"/>
  <c r="B694" i="6"/>
  <c r="B679"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494" i="6"/>
  <c r="B469" i="6"/>
  <c r="B1556" i="1"/>
  <c r="B1615" i="1"/>
  <c r="B1613" i="1"/>
  <c r="B1612" i="1"/>
  <c r="B1611" i="1"/>
  <c r="B1617" i="1" s="1"/>
  <c r="B1607" i="1"/>
  <c r="B1595" i="1"/>
  <c r="B1593" i="1"/>
  <c r="B1592" i="1"/>
  <c r="B1591" i="1"/>
  <c r="B1597" i="1" s="1"/>
  <c r="B1575" i="1"/>
  <c r="B1573" i="1"/>
  <c r="B1572" i="1"/>
  <c r="B1571" i="1"/>
  <c r="B1577" i="1" s="1"/>
  <c r="B1534" i="1"/>
  <c r="B1533" i="1"/>
  <c r="B1516" i="1"/>
  <c r="B1515" i="1"/>
  <c r="B1061" i="1"/>
  <c r="B1129" i="1"/>
  <c r="B1051" i="1"/>
  <c r="B1128" i="1"/>
  <c r="B1140" i="1" s="1"/>
  <c r="B1050" i="1"/>
  <c r="B1103" i="1"/>
  <c r="B1027" i="1"/>
  <c r="B1102" i="1"/>
  <c r="B1114" i="1" s="1"/>
  <c r="B1026" i="1"/>
  <c r="B1077" i="1"/>
  <c r="B1003" i="1"/>
  <c r="B1076" i="1"/>
  <c r="B1085" i="1" s="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s="1"/>
  <c r="B2522" i="1"/>
  <c r="B2575" i="1"/>
  <c r="B2501" i="1"/>
  <c r="B2574" i="1"/>
  <c r="B2500" i="1"/>
  <c r="B2573" i="1"/>
  <c r="B2583" i="1" s="1"/>
  <c r="B2499" i="1"/>
  <c r="B2550" i="1"/>
  <c r="B2477" i="1"/>
  <c r="B2549" i="1"/>
  <c r="B2557" i="1" s="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l="1"/>
  <c r="B1596" i="1"/>
  <c r="B1576" i="1"/>
  <c r="B1614" i="1"/>
  <c r="B1616" i="1"/>
  <c r="B1574" i="1"/>
  <c r="B1088" i="1"/>
  <c r="B1111" i="1"/>
  <c r="B1137" i="1"/>
  <c r="B1139" i="1"/>
  <c r="B1113" i="1"/>
  <c r="B1087" i="1"/>
  <c r="B2605" i="1"/>
  <c r="B2581" i="1"/>
  <c r="B2559" i="1"/>
  <c r="B2609" i="1"/>
  <c r="C55" i="2" l="1"/>
  <c r="B2330" i="1"/>
  <c r="B1298" i="1"/>
  <c r="B949" i="1"/>
  <c r="B24" i="1"/>
  <c r="B32" i="1"/>
  <c r="B30" i="1"/>
  <c r="B17" i="1"/>
  <c r="B83" i="5"/>
  <c r="B566" i="6" l="1"/>
  <c r="B570" i="6" l="1"/>
  <c r="B774" i="6" l="1"/>
  <c r="B637" i="6" l="1"/>
  <c r="B405" i="6" l="1"/>
  <c r="B264" i="6"/>
  <c r="M22" i="4" s="1"/>
  <c r="B743" i="6"/>
  <c r="M26" i="4" s="1"/>
  <c r="B19" i="3"/>
  <c r="B74" i="3"/>
  <c r="B20" i="3"/>
  <c r="B207" i="3"/>
  <c r="B206" i="3"/>
  <c r="R16" i="4"/>
  <c r="R15" i="4"/>
  <c r="R14" i="4"/>
  <c r="R13" i="4"/>
  <c r="R12" i="4"/>
  <c r="R11" i="4"/>
  <c r="R10" i="4"/>
  <c r="R9" i="4"/>
  <c r="R8" i="4"/>
  <c r="R7" i="4"/>
  <c r="R6" i="4"/>
  <c r="B252" i="6" l="1"/>
  <c r="B10" i="5" l="1"/>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l="1"/>
  <c r="B2145" i="1"/>
  <c r="B2144" i="1"/>
  <c r="B1985" i="1"/>
  <c r="B1984" i="1"/>
  <c r="B1983" i="1"/>
  <c r="B1471" i="1"/>
  <c r="B956" i="1"/>
  <c r="B955" i="1"/>
  <c r="B954" i="1"/>
  <c r="B578" i="1"/>
  <c r="B577" i="1"/>
  <c r="B576" i="1"/>
  <c r="B352" i="1"/>
  <c r="B351" i="1"/>
  <c r="B350" i="1"/>
  <c r="B31" i="1"/>
  <c r="L28" i="4" l="1"/>
  <c r="I28" i="4"/>
  <c r="B411" i="6"/>
  <c r="B282" i="6"/>
  <c r="B281" i="6"/>
  <c r="N85" i="4" l="1"/>
  <c r="J85" i="4"/>
  <c r="H85" i="4"/>
  <c r="K57" i="4"/>
  <c r="K85" i="4" s="1"/>
  <c r="I57" i="4"/>
  <c r="I85" i="4" s="1"/>
  <c r="F57" i="4"/>
  <c r="G57" i="4" s="1"/>
  <c r="R28" i="4"/>
  <c r="S28" i="4" s="1"/>
  <c r="B1051" i="6"/>
  <c r="O28" i="4" s="1"/>
  <c r="J28" i="4"/>
  <c r="N84" i="4"/>
  <c r="J84" i="4"/>
  <c r="H84" i="4"/>
  <c r="K56" i="4"/>
  <c r="K84" i="4" s="1"/>
  <c r="I56" i="4"/>
  <c r="I84" i="4" s="1"/>
  <c r="R27" i="4"/>
  <c r="Q27" i="4"/>
  <c r="B904" i="6"/>
  <c r="N27" i="4" s="1"/>
  <c r="L27" i="4"/>
  <c r="B1002" i="6"/>
  <c r="B965" i="6"/>
  <c r="B907" i="6"/>
  <c r="F27" i="4" s="1"/>
  <c r="J27" i="4" s="1"/>
  <c r="B963" i="6"/>
  <c r="P27" i="4"/>
  <c r="B913" i="6"/>
  <c r="O27" i="4" s="1"/>
  <c r="N83" i="4"/>
  <c r="J83" i="4"/>
  <c r="H83" i="4"/>
  <c r="K55" i="4"/>
  <c r="K83" i="4" s="1"/>
  <c r="I55" i="4"/>
  <c r="B851" i="6"/>
  <c r="B814" i="6"/>
  <c r="B735" i="6"/>
  <c r="N26" i="4" s="1"/>
  <c r="L26" i="4"/>
  <c r="I26" i="4"/>
  <c r="H26" i="4"/>
  <c r="G26" i="4"/>
  <c r="B740" i="6"/>
  <c r="F26" i="4" s="1"/>
  <c r="P26" i="4"/>
  <c r="B747" i="6"/>
  <c r="O26" i="4" s="1"/>
  <c r="B727" i="6"/>
  <c r="N82" i="4"/>
  <c r="J82" i="4"/>
  <c r="I82" i="4"/>
  <c r="H82" i="4"/>
  <c r="K54" i="4"/>
  <c r="L54" i="4" s="1"/>
  <c r="L82" i="4" s="1"/>
  <c r="R25" i="4"/>
  <c r="S25" i="4" s="1"/>
  <c r="K25" i="4"/>
  <c r="I25" i="4"/>
  <c r="J25" i="4" s="1"/>
  <c r="B650" i="6"/>
  <c r="O25" i="4"/>
  <c r="N81" i="4"/>
  <c r="J81" i="4"/>
  <c r="I81" i="4"/>
  <c r="H81" i="4"/>
  <c r="L137" i="4"/>
  <c r="L138" i="4"/>
  <c r="L141" i="4"/>
  <c r="L142" i="4"/>
  <c r="K53" i="4"/>
  <c r="L53" i="4" s="1"/>
  <c r="L81" i="4" s="1"/>
  <c r="B569" i="6"/>
  <c r="B584" i="6" s="1"/>
  <c r="Q24" i="4"/>
  <c r="R24" i="4"/>
  <c r="K24" i="4"/>
  <c r="J24" i="4"/>
  <c r="O24" i="4"/>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B273" i="6"/>
  <c r="B343" i="6" s="1"/>
  <c r="F51" i="4" s="1"/>
  <c r="B274" i="6"/>
  <c r="O22" i="4" s="1"/>
  <c r="R23" i="4"/>
  <c r="Q23" i="4"/>
  <c r="B400" i="6"/>
  <c r="N23" i="4" s="1"/>
  <c r="L23" i="4"/>
  <c r="B412" i="6"/>
  <c r="B413" i="6"/>
  <c r="P23" i="4"/>
  <c r="B410" i="6"/>
  <c r="B409" i="6"/>
  <c r="K23" i="4" s="1"/>
  <c r="I23" i="4"/>
  <c r="F23" i="4"/>
  <c r="F52" i="4"/>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B664" i="6" l="1"/>
  <c r="B505" i="6"/>
  <c r="B506" i="6"/>
  <c r="B504" i="6"/>
  <c r="O23" i="4"/>
  <c r="B479" i="6"/>
  <c r="F80" i="4"/>
  <c r="G52" i="4"/>
  <c r="F78" i="4"/>
  <c r="G50" i="4"/>
  <c r="F79" i="4"/>
  <c r="G51" i="4"/>
  <c r="B1089" i="6"/>
  <c r="M57" i="4" s="1"/>
  <c r="M85" i="4" s="1"/>
  <c r="G85" i="4"/>
  <c r="L57" i="4"/>
  <c r="L85" i="4" s="1"/>
  <c r="F85" i="4"/>
  <c r="B1015" i="6"/>
  <c r="M56" i="4" s="1"/>
  <c r="M84" i="4" s="1"/>
  <c r="F56" i="4"/>
  <c r="S27" i="4"/>
  <c r="L56" i="4"/>
  <c r="L84" i="4" s="1"/>
  <c r="L55" i="4"/>
  <c r="L83" i="4" s="1"/>
  <c r="I83" i="4"/>
  <c r="F55" i="4"/>
  <c r="B865" i="6"/>
  <c r="M55" i="4" s="1"/>
  <c r="M83" i="4" s="1"/>
  <c r="S26" i="4"/>
  <c r="J26" i="4"/>
  <c r="M54" i="4"/>
  <c r="M82" i="4" s="1"/>
  <c r="F54" i="4"/>
  <c r="K82" i="4"/>
  <c r="F53" i="4"/>
  <c r="K81" i="4"/>
  <c r="S24" i="4"/>
  <c r="L52" i="4"/>
  <c r="L80" i="4" s="1"/>
  <c r="K77" i="4"/>
  <c r="I80" i="4"/>
  <c r="K78" i="4"/>
  <c r="J23" i="4"/>
  <c r="S23" i="4"/>
  <c r="J21" i="4"/>
  <c r="S21" i="4"/>
  <c r="L51" i="4"/>
  <c r="L79" i="4" s="1"/>
  <c r="S22" i="4"/>
  <c r="J22" i="4"/>
  <c r="F49" i="4"/>
  <c r="J20" i="4"/>
  <c r="M48" i="4"/>
  <c r="M76" i="4" s="1"/>
  <c r="B89" i="5"/>
  <c r="B88" i="5"/>
  <c r="B87" i="5"/>
  <c r="B86" i="5"/>
  <c r="F48" i="4"/>
  <c r="R19" i="4"/>
  <c r="S19" i="4" s="1"/>
  <c r="B17" i="5"/>
  <c r="F19" i="4" s="1"/>
  <c r="B82" i="5"/>
  <c r="B81" i="5"/>
  <c r="B80" i="5"/>
  <c r="B79" i="5"/>
  <c r="B45" i="5"/>
  <c r="B44" i="5"/>
  <c r="B43" i="5"/>
  <c r="B23" i="5"/>
  <c r="M19" i="4" s="1"/>
  <c r="B19" i="5"/>
  <c r="K19" i="4" s="1"/>
  <c r="B26" i="5"/>
  <c r="P19" i="4"/>
  <c r="B29" i="5"/>
  <c r="B28" i="5"/>
  <c r="B2344" i="1"/>
  <c r="B2343" i="1"/>
  <c r="B25" i="5"/>
  <c r="O19" i="4" s="1"/>
  <c r="B22" i="5"/>
  <c r="B21" i="5"/>
  <c r="B20" i="5"/>
  <c r="B24" i="5"/>
  <c r="B18" i="5"/>
  <c r="I19" i="4" s="1"/>
  <c r="B1886" i="1"/>
  <c r="W157" i="4"/>
  <c r="U158" i="4"/>
  <c r="T158" i="4"/>
  <c r="S158" i="4"/>
  <c r="Q158" i="4"/>
  <c r="N158" i="4"/>
  <c r="J158" i="4"/>
  <c r="H158" i="4"/>
  <c r="N120" i="4"/>
  <c r="H120" i="4"/>
  <c r="J120" i="4"/>
  <c r="I45" i="4"/>
  <c r="I73" i="4" s="1"/>
  <c r="I102" i="4"/>
  <c r="B2531" i="1"/>
  <c r="I140" i="4"/>
  <c r="B2508" i="1"/>
  <c r="B2485" i="1"/>
  <c r="P50" i="4" l="1"/>
  <c r="F82" i="4"/>
  <c r="G54" i="4"/>
  <c r="G82" i="4" s="1"/>
  <c r="P82" i="4" s="1"/>
  <c r="F77" i="4"/>
  <c r="G49" i="4"/>
  <c r="P49" i="4" s="1"/>
  <c r="F84" i="4"/>
  <c r="G56" i="4"/>
  <c r="G84" i="4" s="1"/>
  <c r="F76" i="4"/>
  <c r="G48" i="4"/>
  <c r="F81" i="4"/>
  <c r="G53" i="4"/>
  <c r="G81" i="4" s="1"/>
  <c r="F83" i="4"/>
  <c r="G55" i="4"/>
  <c r="G83" i="4" s="1"/>
  <c r="P85" i="4"/>
  <c r="O57" i="4"/>
  <c r="B1069" i="6" s="1"/>
  <c r="P57" i="4"/>
  <c r="O85" i="4"/>
  <c r="G80" i="4"/>
  <c r="P80" i="4" s="1"/>
  <c r="O52" i="4"/>
  <c r="B465" i="6" s="1"/>
  <c r="P52" i="4"/>
  <c r="G79" i="4"/>
  <c r="P79" i="4" s="1"/>
  <c r="P51" i="4"/>
  <c r="O50" i="4"/>
  <c r="B199" i="6" s="1"/>
  <c r="G78" i="4"/>
  <c r="O51" i="4"/>
  <c r="B339" i="6" s="1"/>
  <c r="L19" i="4"/>
  <c r="J19" i="4"/>
  <c r="I158" i="4"/>
  <c r="I120" i="4"/>
  <c r="O56" i="4" l="1"/>
  <c r="B998" i="6" s="1"/>
  <c r="P56" i="4"/>
  <c r="P84" i="4"/>
  <c r="O84" i="4"/>
  <c r="O55" i="4"/>
  <c r="B847" i="6" s="1"/>
  <c r="P55" i="4"/>
  <c r="O83" i="4"/>
  <c r="P83" i="4"/>
  <c r="O82" i="4"/>
  <c r="B675" i="6" s="1"/>
  <c r="O54" i="4"/>
  <c r="B646" i="6" s="1"/>
  <c r="P54" i="4"/>
  <c r="G76" i="4"/>
  <c r="P76" i="4" s="1"/>
  <c r="P48" i="4"/>
  <c r="O80" i="4"/>
  <c r="O53" i="4"/>
  <c r="B580" i="6" s="1"/>
  <c r="P53" i="4"/>
  <c r="O78" i="4"/>
  <c r="P78" i="4"/>
  <c r="O79" i="4"/>
  <c r="P81" i="4"/>
  <c r="O81" i="4"/>
  <c r="G77" i="4"/>
  <c r="O49" i="4"/>
  <c r="B130" i="6" s="1"/>
  <c r="O48" i="4"/>
  <c r="B74" i="5" s="1"/>
  <c r="B1466" i="1"/>
  <c r="B1467" i="1"/>
  <c r="B570" i="1"/>
  <c r="B344" i="1"/>
  <c r="B345" i="1"/>
  <c r="O77" i="4" l="1"/>
  <c r="P77" i="4"/>
  <c r="O76" i="4"/>
  <c r="B490" i="6" s="1"/>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K139" i="4"/>
  <c r="K157" i="4" s="1"/>
  <c r="J157" i="4"/>
  <c r="I139" i="4"/>
  <c r="B2460" i="1"/>
  <c r="B2235" i="1"/>
  <c r="Q138" i="4" s="1"/>
  <c r="Q156" i="4" s="1"/>
  <c r="B2229" i="1"/>
  <c r="B2228" i="1"/>
  <c r="B2208" i="1"/>
  <c r="B2234" i="1"/>
  <c r="B2068" i="1"/>
  <c r="U137" i="4" s="1"/>
  <c r="U155" i="4" s="1"/>
  <c r="B2067" i="1"/>
  <c r="T137" i="4" s="1"/>
  <c r="T155" i="4" s="1"/>
  <c r="B2066" i="1"/>
  <c r="S137" i="4" s="1"/>
  <c r="S155" i="4" s="1"/>
  <c r="R136" i="4"/>
  <c r="R154" i="4" s="1"/>
  <c r="B2065" i="1"/>
  <c r="Q137" i="4" s="1"/>
  <c r="Q155" i="4" s="1"/>
  <c r="B2062" i="1"/>
  <c r="B2061" i="1"/>
  <c r="F137" i="4" s="1"/>
  <c r="B2044" i="1"/>
  <c r="B2064" i="1"/>
  <c r="B1885" i="1"/>
  <c r="Q136" i="4" s="1"/>
  <c r="Q154" i="4" s="1"/>
  <c r="B1882" i="1"/>
  <c r="B1881" i="1"/>
  <c r="B1880" i="1"/>
  <c r="B1879" i="1"/>
  <c r="B1878" i="1"/>
  <c r="B1877" i="1"/>
  <c r="K136" i="4" s="1"/>
  <c r="K154" i="4" s="1"/>
  <c r="I136" i="4"/>
  <c r="B1884" i="1"/>
  <c r="Q135" i="4"/>
  <c r="Q153" i="4" s="1"/>
  <c r="B1553" i="1"/>
  <c r="B1552" i="1"/>
  <c r="H135" i="4" s="1"/>
  <c r="B1551" i="1"/>
  <c r="B1555" i="1"/>
  <c r="B1373" i="1"/>
  <c r="Q134" i="4" s="1"/>
  <c r="Q152" i="4" s="1"/>
  <c r="B1363" i="1"/>
  <c r="H134" i="4" s="1"/>
  <c r="B1362" i="1"/>
  <c r="F134" i="4" s="1"/>
  <c r="G134" i="4" s="1"/>
  <c r="B1372" i="1"/>
  <c r="Q133" i="4"/>
  <c r="Q151" i="4" s="1"/>
  <c r="B1058" i="1"/>
  <c r="B1057" i="1"/>
  <c r="B1056" i="1"/>
  <c r="B1055" i="1"/>
  <c r="B1054" i="1"/>
  <c r="B1053" i="1"/>
  <c r="B1052" i="1"/>
  <c r="H133" i="4"/>
  <c r="B1060" i="1"/>
  <c r="Q132" i="4"/>
  <c r="Q150" i="4" s="1"/>
  <c r="H132" i="4"/>
  <c r="B848" i="1"/>
  <c r="B856" i="1" s="1"/>
  <c r="B679" i="1"/>
  <c r="Q131" i="4" s="1"/>
  <c r="Q149" i="4" s="1"/>
  <c r="B676" i="1"/>
  <c r="B675" i="1"/>
  <c r="B674" i="1"/>
  <c r="B673" i="1"/>
  <c r="B672" i="1"/>
  <c r="B671" i="1"/>
  <c r="H131" i="4" s="1"/>
  <c r="B670" i="1"/>
  <c r="B678" i="1"/>
  <c r="Q129" i="4"/>
  <c r="Q147" i="4" s="1"/>
  <c r="B480" i="1"/>
  <c r="Q130" i="4" s="1"/>
  <c r="Q148" i="4" s="1"/>
  <c r="B474" i="1"/>
  <c r="B473" i="1"/>
  <c r="B472" i="1"/>
  <c r="B471" i="1"/>
  <c r="B470" i="1"/>
  <c r="H130" i="4" s="1"/>
  <c r="L130" i="4" s="1"/>
  <c r="B469" i="1"/>
  <c r="F130" i="4" s="1"/>
  <c r="G130" i="4" s="1"/>
  <c r="B479" i="1"/>
  <c r="B477" i="1"/>
  <c r="B476" i="1"/>
  <c r="B475" i="1"/>
  <c r="B103" i="1"/>
  <c r="B102" i="1"/>
  <c r="B101" i="1"/>
  <c r="B100" i="1"/>
  <c r="B99" i="1"/>
  <c r="B98" i="1"/>
  <c r="B97" i="1"/>
  <c r="H129" i="4"/>
  <c r="F129" i="4"/>
  <c r="G129" i="4" s="1"/>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s="1"/>
  <c r="H46" i="4"/>
  <c r="H74" i="4" s="1"/>
  <c r="L43" i="4"/>
  <c r="L71" i="4" s="1"/>
  <c r="L42" i="4"/>
  <c r="L70" i="4" s="1"/>
  <c r="F160" i="4" l="1"/>
  <c r="L139" i="4"/>
  <c r="L157" i="4" s="1"/>
  <c r="H150" i="4"/>
  <c r="L132" i="4"/>
  <c r="L150" i="4" s="1"/>
  <c r="L134" i="4"/>
  <c r="L152" i="4" s="1"/>
  <c r="H147" i="4"/>
  <c r="L129" i="4"/>
  <c r="L147" i="4" s="1"/>
  <c r="H151" i="4"/>
  <c r="L133" i="4"/>
  <c r="L131" i="4"/>
  <c r="L149" i="4" s="1"/>
  <c r="L135" i="4"/>
  <c r="L153" i="4" s="1"/>
  <c r="I154" i="4"/>
  <c r="L136" i="4"/>
  <c r="L154" i="4" s="1"/>
  <c r="L46" i="4"/>
  <c r="L74" i="4" s="1"/>
  <c r="I157" i="4"/>
  <c r="F155" i="4"/>
  <c r="F141" i="4"/>
  <c r="H148" i="4"/>
  <c r="L148" i="4"/>
  <c r="F138" i="4"/>
  <c r="G138" i="4" s="1"/>
  <c r="F131" i="4"/>
  <c r="G131" i="4" s="1"/>
  <c r="F132" i="4"/>
  <c r="G132" i="4" s="1"/>
  <c r="F133" i="4"/>
  <c r="G133" i="4" s="1"/>
  <c r="F135" i="4"/>
  <c r="H153" i="4"/>
  <c r="F152" i="4"/>
  <c r="F148" i="4"/>
  <c r="F147" i="4"/>
  <c r="H149" i="4"/>
  <c r="H152" i="4"/>
  <c r="H159" i="4"/>
  <c r="S7" i="4"/>
  <c r="P130" i="4" s="1"/>
  <c r="S8" i="4"/>
  <c r="S9" i="4"/>
  <c r="S10" i="4"/>
  <c r="S11" i="4"/>
  <c r="S12" i="4"/>
  <c r="S13" i="4"/>
  <c r="S14" i="4"/>
  <c r="S15" i="4"/>
  <c r="S16" i="4"/>
  <c r="S17" i="4"/>
  <c r="S18" i="4"/>
  <c r="G142" i="4" s="1"/>
  <c r="S6" i="4"/>
  <c r="B1831" i="1"/>
  <c r="K98" i="4" s="1"/>
  <c r="K116" i="4" s="1"/>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s="1"/>
  <c r="B1299" i="1"/>
  <c r="B1808" i="1"/>
  <c r="O13" i="4" s="1"/>
  <c r="B2006" i="1"/>
  <c r="O14" i="4" s="1"/>
  <c r="B2167" i="1"/>
  <c r="O15" i="4" s="1"/>
  <c r="B357" i="1"/>
  <c r="B25" i="1"/>
  <c r="B185" i="1" s="1"/>
  <c r="B2132" i="1"/>
  <c r="B1973" i="1"/>
  <c r="B1460" i="1"/>
  <c r="B942" i="1"/>
  <c r="P18" i="4"/>
  <c r="P17" i="4"/>
  <c r="O17" i="4"/>
  <c r="O16" i="4"/>
  <c r="P15" i="4"/>
  <c r="P14" i="4"/>
  <c r="P13" i="4"/>
  <c r="P12" i="4"/>
  <c r="O12" i="4"/>
  <c r="P10" i="4"/>
  <c r="O10" i="4"/>
  <c r="O9" i="4"/>
  <c r="P8" i="4"/>
  <c r="O8" i="4"/>
  <c r="P7" i="4"/>
  <c r="B27" i="1"/>
  <c r="P6" i="4" s="1"/>
  <c r="B429" i="1" l="1"/>
  <c r="B156" i="1"/>
  <c r="B182" i="1"/>
  <c r="B184" i="1"/>
  <c r="B159" i="1"/>
  <c r="B158" i="1"/>
  <c r="B132" i="1"/>
  <c r="B130" i="1"/>
  <c r="B133" i="1"/>
  <c r="G135" i="4"/>
  <c r="P135" i="4" s="1"/>
  <c r="G137" i="4"/>
  <c r="P137" i="4" s="1"/>
  <c r="F159" i="4"/>
  <c r="G141" i="4"/>
  <c r="P129" i="4"/>
  <c r="P134" i="4"/>
  <c r="L151" i="4"/>
  <c r="G147" i="4"/>
  <c r="P147" i="4" s="1"/>
  <c r="O129" i="4"/>
  <c r="B91" i="1" s="1"/>
  <c r="O134" i="4"/>
  <c r="B1358" i="1" s="1"/>
  <c r="G152" i="4"/>
  <c r="O152" i="4" s="1"/>
  <c r="G148" i="4"/>
  <c r="P148" i="4" s="1"/>
  <c r="P141" i="4"/>
  <c r="F150" i="4"/>
  <c r="O130" i="4"/>
  <c r="B465" i="1" s="1"/>
  <c r="F151" i="4"/>
  <c r="P133" i="4"/>
  <c r="F153" i="4"/>
  <c r="F149" i="4"/>
  <c r="P131" i="4"/>
  <c r="F156" i="4"/>
  <c r="P138" i="4"/>
  <c r="I98" i="4"/>
  <c r="B2209" i="1"/>
  <c r="B2188" i="1"/>
  <c r="B2189" i="1"/>
  <c r="B2045" i="1"/>
  <c r="B2028" i="1"/>
  <c r="B2027" i="1"/>
  <c r="B1859" i="1"/>
  <c r="B1858" i="1"/>
  <c r="B1857" i="1"/>
  <c r="B1856" i="1"/>
  <c r="B1855" i="1"/>
  <c r="B1854" i="1"/>
  <c r="K41" i="4" s="1"/>
  <c r="K69" i="4" s="1"/>
  <c r="I41" i="4"/>
  <c r="I69" i="4" s="1"/>
  <c r="B1836" i="1"/>
  <c r="B1835" i="1"/>
  <c r="B1834" i="1"/>
  <c r="B1833" i="1"/>
  <c r="B1832" i="1"/>
  <c r="K44" i="4"/>
  <c r="K72" i="4" s="1"/>
  <c r="I44" i="4"/>
  <c r="I72" i="4" s="1"/>
  <c r="I101" i="4"/>
  <c r="K101" i="4"/>
  <c r="K119" i="4" s="1"/>
  <c r="G155" i="4" l="1"/>
  <c r="P155" i="4" s="1"/>
  <c r="O137" i="4"/>
  <c r="B2057" i="1" s="1"/>
  <c r="O142" i="4"/>
  <c r="B197" i="3" s="1"/>
  <c r="P142" i="4"/>
  <c r="O132" i="4"/>
  <c r="B844" i="1" s="1"/>
  <c r="P132" i="4"/>
  <c r="O147" i="4"/>
  <c r="L101" i="4"/>
  <c r="L119" i="4" s="1"/>
  <c r="I116" i="4"/>
  <c r="L98" i="4"/>
  <c r="L116" i="4" s="1"/>
  <c r="P152" i="4"/>
  <c r="G150" i="4"/>
  <c r="O150" i="4" s="1"/>
  <c r="G149" i="4"/>
  <c r="O149" i="4" s="1"/>
  <c r="O148" i="4"/>
  <c r="O131" i="4"/>
  <c r="G159" i="4"/>
  <c r="O141" i="4"/>
  <c r="B133" i="3" s="1"/>
  <c r="G160" i="4"/>
  <c r="P160" i="4" s="1"/>
  <c r="O135" i="4"/>
  <c r="B1547" i="1" s="1"/>
  <c r="G153" i="4"/>
  <c r="P153" i="4" s="1"/>
  <c r="G156" i="4"/>
  <c r="O138" i="4"/>
  <c r="B2224" i="1" s="1"/>
  <c r="G151" i="4"/>
  <c r="O133" i="4"/>
  <c r="B1046" i="1" s="1"/>
  <c r="I119" i="4"/>
  <c r="L41" i="4"/>
  <c r="L69" i="4" s="1"/>
  <c r="F100" i="4"/>
  <c r="G100" i="4" s="1"/>
  <c r="L44" i="4"/>
  <c r="L72" i="4" s="1"/>
  <c r="B2029" i="1"/>
  <c r="M99" i="4" s="1"/>
  <c r="M117" i="4" s="1"/>
  <c r="F99" i="4"/>
  <c r="G99" i="4" s="1"/>
  <c r="B2213" i="1"/>
  <c r="M43" i="4" s="1"/>
  <c r="M71" i="4" s="1"/>
  <c r="F43" i="4"/>
  <c r="F42" i="4"/>
  <c r="B13" i="2"/>
  <c r="B2193" i="1" s="1"/>
  <c r="M100" i="4" s="1"/>
  <c r="M118" i="4" s="1"/>
  <c r="F59" i="2"/>
  <c r="E59" i="2"/>
  <c r="H21" i="2"/>
  <c r="G21" i="2"/>
  <c r="F21" i="2"/>
  <c r="E21" i="2"/>
  <c r="D21" i="2"/>
  <c r="C21" i="2"/>
  <c r="C40" i="2"/>
  <c r="C56" i="2"/>
  <c r="O155" i="4" l="1"/>
  <c r="B147" i="6"/>
  <c r="M49" i="4" s="1"/>
  <c r="M77" i="4" s="1"/>
  <c r="B219" i="6"/>
  <c r="M50" i="4" s="1"/>
  <c r="M78" i="4" s="1"/>
  <c r="B594" i="6"/>
  <c r="M53" i="4" s="1"/>
  <c r="M81" i="4" s="1"/>
  <c r="M52" i="4"/>
  <c r="M80" i="4" s="1"/>
  <c r="B360" i="6"/>
  <c r="M51" i="4" s="1"/>
  <c r="M79" i="4" s="1"/>
  <c r="B2046" i="1"/>
  <c r="M42" i="4" s="1"/>
  <c r="M70" i="4" s="1"/>
  <c r="F70" i="4"/>
  <c r="G42" i="4"/>
  <c r="F71" i="4"/>
  <c r="G43" i="4"/>
  <c r="B2461" i="1"/>
  <c r="R139" i="4" s="1"/>
  <c r="R157" i="4" s="1"/>
  <c r="R140" i="4"/>
  <c r="R158" i="4" s="1"/>
  <c r="B677" i="1"/>
  <c r="M131" i="4" s="1"/>
  <c r="M149" i="4" s="1"/>
  <c r="B1554" i="1"/>
  <c r="M135" i="4" s="1"/>
  <c r="M153" i="4" s="1"/>
  <c r="M132" i="4"/>
  <c r="M150" i="4" s="1"/>
  <c r="B144" i="3"/>
  <c r="M141" i="4" s="1"/>
  <c r="M159" i="4" s="1"/>
  <c r="B1059" i="1"/>
  <c r="M133" i="4" s="1"/>
  <c r="M151" i="4" s="1"/>
  <c r="B2233" i="1"/>
  <c r="M138" i="4" s="1"/>
  <c r="M156" i="4" s="1"/>
  <c r="B478" i="1"/>
  <c r="M130" i="4" s="1"/>
  <c r="M148" i="4" s="1"/>
  <c r="B208" i="3"/>
  <c r="M142" i="4" s="1"/>
  <c r="M160" i="4" s="1"/>
  <c r="B1371" i="1"/>
  <c r="M134" i="4" s="1"/>
  <c r="M152" i="4" s="1"/>
  <c r="B104" i="1"/>
  <c r="M129" i="4" s="1"/>
  <c r="M147" i="4" s="1"/>
  <c r="B2063" i="1"/>
  <c r="M137" i="4" s="1"/>
  <c r="M155" i="4" s="1"/>
  <c r="O160" i="4"/>
  <c r="P150" i="4"/>
  <c r="P149" i="4"/>
  <c r="O159" i="4"/>
  <c r="P159" i="4"/>
  <c r="O153" i="4"/>
  <c r="B1567" i="1" s="1"/>
  <c r="P151" i="4"/>
  <c r="O151" i="4"/>
  <c r="P156" i="4"/>
  <c r="O156" i="4"/>
  <c r="F117" i="4"/>
  <c r="P99" i="4"/>
  <c r="F118" i="4"/>
  <c r="P100" i="4"/>
  <c r="D47" i="2"/>
  <c r="D32" i="2"/>
  <c r="B48" i="2"/>
  <c r="D48" i="2" s="1"/>
  <c r="B45" i="2"/>
  <c r="G70" i="4" l="1"/>
  <c r="P70" i="4" s="1"/>
  <c r="P42" i="4"/>
  <c r="P43" i="4"/>
  <c r="G71" i="4"/>
  <c r="P71" i="4" s="1"/>
  <c r="G118" i="4"/>
  <c r="P118" i="4" s="1"/>
  <c r="O100" i="4"/>
  <c r="B2184" i="1" s="1"/>
  <c r="O42" i="4"/>
  <c r="B2040" i="1" s="1"/>
  <c r="O99" i="4"/>
  <c r="B2023" i="1" s="1"/>
  <c r="G117" i="4"/>
  <c r="P117" i="4" s="1"/>
  <c r="O43" i="4"/>
  <c r="B2204" i="1" s="1"/>
  <c r="F48" i="2"/>
  <c r="F47" i="2"/>
  <c r="G47" i="2"/>
  <c r="O118" i="4" l="1"/>
  <c r="B2569" i="1" s="1"/>
  <c r="O70" i="4"/>
  <c r="O71" i="4"/>
  <c r="O117" i="4"/>
  <c r="G48" i="2"/>
  <c r="B1535" i="1"/>
  <c r="H40" i="4"/>
  <c r="H68" i="4" s="1"/>
  <c r="B1517" i="1"/>
  <c r="H97" i="4"/>
  <c r="L97" i="4" s="1"/>
  <c r="B365" i="1"/>
  <c r="O6" i="4"/>
  <c r="O7" i="4"/>
  <c r="O11" i="4"/>
  <c r="H115" i="4" l="1"/>
  <c r="L115" i="4"/>
  <c r="B1536" i="1"/>
  <c r="F40" i="4"/>
  <c r="B1518" i="1"/>
  <c r="M97" i="4" s="1"/>
  <c r="M115" i="4" s="1"/>
  <c r="F97" i="4"/>
  <c r="G97" i="4" s="1"/>
  <c r="L40" i="4"/>
  <c r="L68" i="4" s="1"/>
  <c r="B181" i="3"/>
  <c r="B22" i="3"/>
  <c r="B23" i="3"/>
  <c r="B24" i="3"/>
  <c r="B116" i="3"/>
  <c r="B160" i="3"/>
  <c r="B85" i="2"/>
  <c r="B86" i="2"/>
  <c r="D86" i="2" s="1"/>
  <c r="D78" i="2"/>
  <c r="D79" i="2"/>
  <c r="B93" i="2" s="1"/>
  <c r="B76" i="3"/>
  <c r="K18" i="4" s="1"/>
  <c r="B75" i="3"/>
  <c r="B25" i="3"/>
  <c r="B21" i="3"/>
  <c r="K17" i="4" s="1"/>
  <c r="F17" i="4"/>
  <c r="J17" i="4" s="1"/>
  <c r="M17" i="4"/>
  <c r="B18" i="3"/>
  <c r="N17" i="4" s="1"/>
  <c r="B17" i="3"/>
  <c r="B16" i="3"/>
  <c r="B15" i="3"/>
  <c r="B14" i="3"/>
  <c r="L17" i="4" s="1"/>
  <c r="M40" i="4" l="1"/>
  <c r="M68" i="4" s="1"/>
  <c r="G85" i="2"/>
  <c r="B117" i="3" s="1"/>
  <c r="F68" i="4"/>
  <c r="G40" i="4"/>
  <c r="H103" i="4"/>
  <c r="L103" i="4" s="1"/>
  <c r="F18" i="4"/>
  <c r="J18" i="4" s="1"/>
  <c r="B94" i="2"/>
  <c r="D94" i="2" s="1"/>
  <c r="F115" i="4"/>
  <c r="P97" i="4"/>
  <c r="G86" i="2"/>
  <c r="B122" i="3"/>
  <c r="B118" i="3"/>
  <c r="B120" i="3"/>
  <c r="B119" i="3"/>
  <c r="B121" i="3"/>
  <c r="F86" i="2"/>
  <c r="G93" i="2"/>
  <c r="D93" i="2"/>
  <c r="D85" i="2"/>
  <c r="F85" i="2" s="1"/>
  <c r="B33" i="2"/>
  <c r="B30" i="2"/>
  <c r="B29" i="1"/>
  <c r="B28" i="1"/>
  <c r="P16" i="4"/>
  <c r="B186" i="3" l="1"/>
  <c r="B185" i="3"/>
  <c r="F93" i="2"/>
  <c r="B161" i="3" s="1"/>
  <c r="G68" i="4"/>
  <c r="P68" i="4" s="1"/>
  <c r="P40" i="4"/>
  <c r="B162" i="3"/>
  <c r="B159" i="3"/>
  <c r="F104" i="4" s="1"/>
  <c r="G104" i="4" s="1"/>
  <c r="B180" i="3"/>
  <c r="B183" i="3"/>
  <c r="B140" i="3"/>
  <c r="B142" i="3"/>
  <c r="B141" i="3"/>
  <c r="B143" i="3"/>
  <c r="B139" i="3"/>
  <c r="L121" i="4"/>
  <c r="H121" i="4"/>
  <c r="G115" i="4"/>
  <c r="P115" i="4" s="1"/>
  <c r="O97" i="4"/>
  <c r="B1511" i="1" s="1"/>
  <c r="O40" i="4"/>
  <c r="B1529" i="1" s="1"/>
  <c r="B123" i="3"/>
  <c r="M46" i="4" s="1"/>
  <c r="M74" i="4" s="1"/>
  <c r="F46" i="4"/>
  <c r="D33" i="2"/>
  <c r="G32" i="2"/>
  <c r="B166" i="3"/>
  <c r="M104" i="4" s="1"/>
  <c r="M122" i="4" s="1"/>
  <c r="B100" i="3"/>
  <c r="B99" i="3"/>
  <c r="B101" i="3"/>
  <c r="B97" i="3"/>
  <c r="B98" i="3"/>
  <c r="B96" i="3"/>
  <c r="G94" i="2"/>
  <c r="B184" i="3"/>
  <c r="B182" i="3"/>
  <c r="F94" i="2"/>
  <c r="I6" i="4"/>
  <c r="B565" i="1"/>
  <c r="I8" i="4" s="1"/>
  <c r="M16" i="4"/>
  <c r="N16" i="4"/>
  <c r="B2325" i="1"/>
  <c r="B2324" i="1"/>
  <c r="B2323" i="1"/>
  <c r="B8" i="2"/>
  <c r="B2138" i="1"/>
  <c r="M15" i="4" s="1"/>
  <c r="B2137" i="1"/>
  <c r="B2136" i="1"/>
  <c r="B2135" i="1"/>
  <c r="B2134" i="1"/>
  <c r="I15" i="4"/>
  <c r="H15" i="4"/>
  <c r="B2130" i="1"/>
  <c r="G15" i="4" s="1"/>
  <c r="B2129" i="1"/>
  <c r="F15" i="4" s="1"/>
  <c r="B2133" i="1"/>
  <c r="K15" i="4" s="1"/>
  <c r="B1977" i="1"/>
  <c r="M14" i="4" s="1"/>
  <c r="B1976" i="1"/>
  <c r="B1975" i="1"/>
  <c r="I14" i="4"/>
  <c r="H14" i="4"/>
  <c r="B1971" i="1"/>
  <c r="G14" i="4" s="1"/>
  <c r="B1970" i="1"/>
  <c r="F14" i="4" s="1"/>
  <c r="B1974" i="1"/>
  <c r="K14" i="4" s="1"/>
  <c r="B1775" i="1"/>
  <c r="K13" i="4" s="1"/>
  <c r="I13" i="4"/>
  <c r="B1461" i="1"/>
  <c r="K12" i="4" s="1"/>
  <c r="M12" i="4"/>
  <c r="N12" i="4"/>
  <c r="B1465" i="1"/>
  <c r="I12" i="4"/>
  <c r="H12" i="4"/>
  <c r="B1458" i="1"/>
  <c r="G12" i="4" s="1"/>
  <c r="B1457" i="1"/>
  <c r="F12" i="4" s="1"/>
  <c r="B1468" i="1"/>
  <c r="B763" i="1"/>
  <c r="K9" i="4" s="1"/>
  <c r="B1294" i="1"/>
  <c r="K11" i="4" s="1"/>
  <c r="B943" i="1"/>
  <c r="K10" i="4" s="1"/>
  <c r="B566" i="1"/>
  <c r="K8" i="4" s="1"/>
  <c r="B339" i="1"/>
  <c r="K7" i="4" s="1"/>
  <c r="B18" i="1"/>
  <c r="K6" i="4" s="1"/>
  <c r="B762" i="1"/>
  <c r="F9" i="4" s="1"/>
  <c r="J9" i="4" s="1"/>
  <c r="B1297" i="1"/>
  <c r="B1296" i="1"/>
  <c r="B1295" i="1"/>
  <c r="B1293" i="1"/>
  <c r="F11" i="4" s="1"/>
  <c r="J11" i="4" s="1"/>
  <c r="B948" i="1"/>
  <c r="M10" i="4" s="1"/>
  <c r="B947" i="1"/>
  <c r="B946" i="1"/>
  <c r="B945" i="1"/>
  <c r="B944" i="1"/>
  <c r="I10" i="4"/>
  <c r="B941" i="1"/>
  <c r="F10" i="4" s="1"/>
  <c r="M8" i="4"/>
  <c r="B569" i="1"/>
  <c r="B568" i="1"/>
  <c r="B567" i="1"/>
  <c r="B564" i="1"/>
  <c r="F8" i="4" s="1"/>
  <c r="B16" i="1"/>
  <c r="F6" i="4" s="1"/>
  <c r="M7" i="4"/>
  <c r="N7" i="4"/>
  <c r="B343" i="1"/>
  <c r="B342" i="1"/>
  <c r="B341" i="1"/>
  <c r="B340" i="1"/>
  <c r="B338" i="1"/>
  <c r="F7" i="4" s="1"/>
  <c r="J7" i="4" s="1"/>
  <c r="B23" i="1"/>
  <c r="M6" i="4" s="1"/>
  <c r="B22" i="1"/>
  <c r="B21" i="1"/>
  <c r="B20" i="1"/>
  <c r="B19" i="1"/>
  <c r="B2322" i="1" l="1"/>
  <c r="I16" i="4" s="1"/>
  <c r="B2328" i="1"/>
  <c r="B2320" i="1"/>
  <c r="G16" i="4" s="1"/>
  <c r="B2326" i="1"/>
  <c r="B2339" i="1"/>
  <c r="B2338" i="1"/>
  <c r="B2337" i="1"/>
  <c r="B2319" i="1"/>
  <c r="F16" i="4" s="1"/>
  <c r="B2329" i="1"/>
  <c r="B2321" i="1"/>
  <c r="H16" i="4" s="1"/>
  <c r="B2327" i="1"/>
  <c r="B165" i="3"/>
  <c r="B164" i="3"/>
  <c r="B163" i="3"/>
  <c r="F74" i="4"/>
  <c r="G46" i="4"/>
  <c r="L14" i="4"/>
  <c r="J6" i="4"/>
  <c r="J8" i="4"/>
  <c r="J10" i="4"/>
  <c r="J12" i="4"/>
  <c r="J14" i="4"/>
  <c r="J15" i="4"/>
  <c r="B1338" i="1"/>
  <c r="B426" i="1"/>
  <c r="B424" i="1"/>
  <c r="B648" i="1"/>
  <c r="B425" i="1"/>
  <c r="B649" i="1"/>
  <c r="H36" i="4" s="1"/>
  <c r="H64" i="4" s="1"/>
  <c r="B427" i="1"/>
  <c r="H35" i="4"/>
  <c r="H63" i="4" s="1"/>
  <c r="B802" i="1"/>
  <c r="F47" i="4"/>
  <c r="B187" i="3"/>
  <c r="M47" i="4" s="1"/>
  <c r="M75" i="4" s="1"/>
  <c r="F13" i="4"/>
  <c r="H13" i="4"/>
  <c r="G13" i="4"/>
  <c r="M13" i="4"/>
  <c r="D55" i="2"/>
  <c r="F122" i="4"/>
  <c r="P104" i="4"/>
  <c r="L12" i="4"/>
  <c r="L10" i="4"/>
  <c r="L11" i="4"/>
  <c r="L6" i="4"/>
  <c r="O68" i="4"/>
  <c r="O115" i="4"/>
  <c r="B102" i="3"/>
  <c r="M103" i="4" s="1"/>
  <c r="F103" i="4"/>
  <c r="G103" i="4" s="1"/>
  <c r="L15" i="4"/>
  <c r="K16" i="4"/>
  <c r="L7" i="4"/>
  <c r="L8" i="4"/>
  <c r="F33" i="2"/>
  <c r="F32" i="2"/>
  <c r="B1339" i="1"/>
  <c r="H39" i="4" s="1"/>
  <c r="H67" i="4" s="1"/>
  <c r="B1033" i="1"/>
  <c r="B1030" i="1"/>
  <c r="B428" i="1"/>
  <c r="B77" i="1"/>
  <c r="B653" i="1"/>
  <c r="B1028" i="1"/>
  <c r="B75" i="1"/>
  <c r="B1032" i="1"/>
  <c r="H34" i="4"/>
  <c r="H62" i="4" s="1"/>
  <c r="B78" i="1"/>
  <c r="B1029" i="1"/>
  <c r="B76" i="1"/>
  <c r="H38" i="4"/>
  <c r="H66" i="4" s="1"/>
  <c r="B651" i="1"/>
  <c r="H37" i="4"/>
  <c r="H65" i="4" s="1"/>
  <c r="B650" i="1"/>
  <c r="B1031" i="1"/>
  <c r="B79" i="1"/>
  <c r="B654" i="1"/>
  <c r="B652" i="1"/>
  <c r="B1034" i="1"/>
  <c r="B73" i="1"/>
  <c r="B74" i="1"/>
  <c r="G33" i="2"/>
  <c r="B833" i="1" l="1"/>
  <c r="B834" i="1"/>
  <c r="B832" i="1"/>
  <c r="B810" i="1"/>
  <c r="M37" i="4" s="1"/>
  <c r="M65" i="4" s="1"/>
  <c r="F75" i="4"/>
  <c r="G47" i="4"/>
  <c r="L16" i="4"/>
  <c r="P46" i="4"/>
  <c r="G74" i="4"/>
  <c r="P74" i="4" s="1"/>
  <c r="J13" i="4"/>
  <c r="J16" i="4"/>
  <c r="B1852" i="1"/>
  <c r="B1875" i="1"/>
  <c r="B1829" i="1"/>
  <c r="G122" i="4"/>
  <c r="P122" i="4" s="1"/>
  <c r="O104" i="4"/>
  <c r="B155" i="3" s="1"/>
  <c r="L13" i="4"/>
  <c r="B2451" i="1"/>
  <c r="B2428" i="1"/>
  <c r="B2405" i="1"/>
  <c r="M121" i="4"/>
  <c r="O46" i="4"/>
  <c r="B112" i="3" s="1"/>
  <c r="F121" i="4"/>
  <c r="P103" i="4"/>
  <c r="L36" i="4"/>
  <c r="L64" i="4" s="1"/>
  <c r="M35" i="4"/>
  <c r="M63" i="4" s="1"/>
  <c r="F35" i="4"/>
  <c r="L37" i="4"/>
  <c r="L65" i="4" s="1"/>
  <c r="L34" i="4"/>
  <c r="L62" i="4" s="1"/>
  <c r="B1347" i="1"/>
  <c r="M39" i="4" s="1"/>
  <c r="M67" i="4" s="1"/>
  <c r="F39" i="4"/>
  <c r="F37" i="4"/>
  <c r="B1035" i="1"/>
  <c r="F38" i="4"/>
  <c r="B80" i="1"/>
  <c r="M34" i="4" s="1"/>
  <c r="M62" i="4" s="1"/>
  <c r="F34" i="4"/>
  <c r="L39" i="4"/>
  <c r="L67" i="4" s="1"/>
  <c r="B655" i="1"/>
  <c r="M36" i="4" s="1"/>
  <c r="M64" i="4" s="1"/>
  <c r="F36" i="4"/>
  <c r="L38" i="4"/>
  <c r="L66" i="4" s="1"/>
  <c r="L35" i="4"/>
  <c r="L63" i="4" s="1"/>
  <c r="B1314" i="1"/>
  <c r="B1315" i="1"/>
  <c r="H96" i="4" s="1"/>
  <c r="L96" i="4" s="1"/>
  <c r="B1005" i="1"/>
  <c r="B49" i="1"/>
  <c r="B402" i="1"/>
  <c r="B628" i="1"/>
  <c r="B1008" i="1"/>
  <c r="B1007" i="1"/>
  <c r="B53" i="1"/>
  <c r="B51" i="1"/>
  <c r="B629" i="1"/>
  <c r="B780" i="1"/>
  <c r="H95" i="4"/>
  <c r="L95" i="4" s="1"/>
  <c r="B48" i="1"/>
  <c r="B632" i="1"/>
  <c r="B627" i="1"/>
  <c r="H93" i="4" s="1"/>
  <c r="L93" i="4" s="1"/>
  <c r="B405" i="1"/>
  <c r="H91" i="4"/>
  <c r="L91" i="4" s="1"/>
  <c r="B403" i="1"/>
  <c r="B1006" i="1"/>
  <c r="B406" i="1"/>
  <c r="H94" i="4"/>
  <c r="L94" i="4" s="1"/>
  <c r="B401" i="1"/>
  <c r="H92" i="4" s="1"/>
  <c r="L92" i="4" s="1"/>
  <c r="B50" i="1"/>
  <c r="B404" i="1"/>
  <c r="B54" i="1"/>
  <c r="B626" i="1"/>
  <c r="B630" i="1"/>
  <c r="B52" i="1"/>
  <c r="B1004" i="1"/>
  <c r="B1010" i="1"/>
  <c r="B400" i="1"/>
  <c r="B631" i="1"/>
  <c r="B1009" i="1"/>
  <c r="M38" i="4" l="1"/>
  <c r="M66" i="4" s="1"/>
  <c r="B2608" i="1"/>
  <c r="B2533" i="1"/>
  <c r="V140" i="4" s="1"/>
  <c r="V158" i="4" s="1"/>
  <c r="F65" i="4"/>
  <c r="G37" i="4"/>
  <c r="F67" i="4"/>
  <c r="G39" i="4"/>
  <c r="F64" i="4"/>
  <c r="G36" i="4"/>
  <c r="F66" i="4"/>
  <c r="G38" i="4"/>
  <c r="F63" i="4"/>
  <c r="G35" i="4"/>
  <c r="F62" i="4"/>
  <c r="G34" i="4"/>
  <c r="G75" i="4"/>
  <c r="P75" i="4" s="1"/>
  <c r="P47" i="4"/>
  <c r="F45" i="4"/>
  <c r="B2507" i="1"/>
  <c r="M45" i="4" s="1"/>
  <c r="M73" i="4" s="1"/>
  <c r="K45" i="4"/>
  <c r="K73" i="4" s="1"/>
  <c r="F44" i="4"/>
  <c r="B2436" i="1"/>
  <c r="M44" i="4" s="1"/>
  <c r="M72" i="4" s="1"/>
  <c r="B2530" i="1"/>
  <c r="M140" i="4" s="1"/>
  <c r="M158" i="4" s="1"/>
  <c r="F140" i="4"/>
  <c r="G140" i="4" s="1"/>
  <c r="B2534" i="1"/>
  <c r="W140" i="4" s="1"/>
  <c r="W158" i="4" s="1"/>
  <c r="K140" i="4"/>
  <c r="L140" i="4" s="1"/>
  <c r="O122" i="4"/>
  <c r="O47" i="4"/>
  <c r="B176" i="3" s="1"/>
  <c r="B2484" i="1"/>
  <c r="M102" i="4" s="1"/>
  <c r="M120" i="4" s="1"/>
  <c r="F102" i="4"/>
  <c r="G102" i="4" s="1"/>
  <c r="K102" i="4"/>
  <c r="L102" i="4" s="1"/>
  <c r="F136" i="4"/>
  <c r="G136" i="4" s="1"/>
  <c r="B1883" i="1"/>
  <c r="M136" i="4" s="1"/>
  <c r="M154" i="4" s="1"/>
  <c r="B2413" i="1"/>
  <c r="M101" i="4" s="1"/>
  <c r="M119" i="4" s="1"/>
  <c r="F101" i="4"/>
  <c r="G101" i="4" s="1"/>
  <c r="F41" i="4"/>
  <c r="B1860" i="1"/>
  <c r="M41" i="4" s="1"/>
  <c r="M69" i="4" s="1"/>
  <c r="B2459" i="1"/>
  <c r="M139" i="4" s="1"/>
  <c r="M157" i="4" s="1"/>
  <c r="F139" i="4"/>
  <c r="G139" i="4" s="1"/>
  <c r="B2462" i="1"/>
  <c r="V139" i="4" s="1"/>
  <c r="V157" i="4" s="1"/>
  <c r="B1837" i="1"/>
  <c r="M98" i="4" s="1"/>
  <c r="M116" i="4" s="1"/>
  <c r="F98" i="4"/>
  <c r="G98" i="4" s="1"/>
  <c r="O74" i="4"/>
  <c r="L110" i="4"/>
  <c r="H110" i="4"/>
  <c r="B1323" i="1"/>
  <c r="M96" i="4" s="1"/>
  <c r="M114" i="4" s="1"/>
  <c r="F96" i="4"/>
  <c r="G96" i="4" s="1"/>
  <c r="H111" i="4"/>
  <c r="L111" i="4"/>
  <c r="B787" i="1"/>
  <c r="M94" i="4" s="1"/>
  <c r="M112" i="4" s="1"/>
  <c r="F94" i="4"/>
  <c r="G94" i="4" s="1"/>
  <c r="H109" i="4"/>
  <c r="L109" i="4"/>
  <c r="B55" i="1"/>
  <c r="M91" i="4" s="1"/>
  <c r="M109" i="4" s="1"/>
  <c r="F91" i="4"/>
  <c r="G91" i="4" s="1"/>
  <c r="G121" i="4"/>
  <c r="P121" i="4" s="1"/>
  <c r="O103" i="4"/>
  <c r="B91" i="3" s="1"/>
  <c r="B1011" i="1"/>
  <c r="M95" i="4" s="1"/>
  <c r="M113" i="4" s="1"/>
  <c r="F95" i="4"/>
  <c r="G95" i="4" s="1"/>
  <c r="B407" i="1"/>
  <c r="M92" i="4" s="1"/>
  <c r="M110" i="4" s="1"/>
  <c r="F92" i="4"/>
  <c r="G92" i="4" s="1"/>
  <c r="L114" i="4"/>
  <c r="H114" i="4"/>
  <c r="L112" i="4"/>
  <c r="H112" i="4"/>
  <c r="B633" i="1"/>
  <c r="M93" i="4" s="1"/>
  <c r="M111" i="4" s="1"/>
  <c r="F93" i="4"/>
  <c r="G93" i="4" s="1"/>
  <c r="H113" i="4"/>
  <c r="L113" i="4"/>
  <c r="F73" i="4" l="1"/>
  <c r="G45" i="4"/>
  <c r="F72" i="4"/>
  <c r="G44" i="4"/>
  <c r="F69" i="4"/>
  <c r="G41" i="4"/>
  <c r="G67" i="4"/>
  <c r="P67" i="4" s="1"/>
  <c r="P39" i="4"/>
  <c r="G64" i="4"/>
  <c r="P64" i="4" s="1"/>
  <c r="P36" i="4"/>
  <c r="P35" i="4"/>
  <c r="G63" i="4"/>
  <c r="P63" i="4" s="1"/>
  <c r="P34" i="4"/>
  <c r="G62" i="4"/>
  <c r="P62" i="4" s="1"/>
  <c r="P38" i="4"/>
  <c r="G66" i="4"/>
  <c r="P66" i="4" s="1"/>
  <c r="P37" i="4"/>
  <c r="G65" i="4"/>
  <c r="P65" i="4" s="1"/>
  <c r="L45" i="4"/>
  <c r="L73" i="4" s="1"/>
  <c r="F154" i="4"/>
  <c r="P136" i="4"/>
  <c r="O75" i="4"/>
  <c r="F120" i="4"/>
  <c r="P102" i="4"/>
  <c r="F158" i="4"/>
  <c r="P140" i="4"/>
  <c r="F116" i="4"/>
  <c r="P98" i="4"/>
  <c r="F157" i="4"/>
  <c r="P139" i="4"/>
  <c r="P101" i="4"/>
  <c r="F119" i="4"/>
  <c r="K120" i="4"/>
  <c r="L120" i="4"/>
  <c r="K158" i="4"/>
  <c r="L158" i="4"/>
  <c r="F114" i="4"/>
  <c r="P96" i="4"/>
  <c r="F110" i="4"/>
  <c r="P92" i="4"/>
  <c r="O36" i="4"/>
  <c r="B644" i="1" s="1"/>
  <c r="O121" i="4"/>
  <c r="O39" i="4"/>
  <c r="B1334" i="1" s="1"/>
  <c r="P94" i="4"/>
  <c r="F112" i="4"/>
  <c r="O37" i="4"/>
  <c r="B798" i="1" s="1"/>
  <c r="O38" i="4"/>
  <c r="B1022" i="1" s="1"/>
  <c r="F109" i="4"/>
  <c r="P91" i="4"/>
  <c r="F111" i="4"/>
  <c r="P93" i="4"/>
  <c r="O34" i="4"/>
  <c r="B67" i="1" s="1"/>
  <c r="P95" i="4"/>
  <c r="F113" i="4"/>
  <c r="O35" i="4"/>
  <c r="B418" i="1" s="1"/>
  <c r="G72" i="4" l="1"/>
  <c r="P72" i="4" s="1"/>
  <c r="P44" i="4"/>
  <c r="P41" i="4"/>
  <c r="G69" i="4"/>
  <c r="P69" i="4" s="1"/>
  <c r="P45" i="4"/>
  <c r="G73" i="4"/>
  <c r="P73" i="4" s="1"/>
  <c r="O98" i="4"/>
  <c r="B1825" i="1" s="1"/>
  <c r="G116" i="4"/>
  <c r="P116" i="4" s="1"/>
  <c r="O101" i="4"/>
  <c r="B2401" i="1" s="1"/>
  <c r="G119" i="4"/>
  <c r="P119" i="4" s="1"/>
  <c r="O45" i="4"/>
  <c r="B2495" i="1" s="1"/>
  <c r="O139" i="4"/>
  <c r="B2447" i="1" s="1"/>
  <c r="G157" i="4"/>
  <c r="G158" i="4"/>
  <c r="O140" i="4"/>
  <c r="B2518" i="1" s="1"/>
  <c r="G120" i="4"/>
  <c r="P120" i="4" s="1"/>
  <c r="O102" i="4"/>
  <c r="B2472" i="1" s="1"/>
  <c r="O136" i="4"/>
  <c r="B1871" i="1" s="1"/>
  <c r="G154" i="4"/>
  <c r="O44" i="4"/>
  <c r="B2424" i="1" s="1"/>
  <c r="O41" i="4"/>
  <c r="B1848" i="1" s="1"/>
  <c r="G112" i="4"/>
  <c r="P112" i="4" s="1"/>
  <c r="O94" i="4"/>
  <c r="B776" i="1" s="1"/>
  <c r="O92" i="4"/>
  <c r="B396" i="1" s="1"/>
  <c r="G110" i="4"/>
  <c r="P110" i="4" s="1"/>
  <c r="G111" i="4"/>
  <c r="P111" i="4" s="1"/>
  <c r="O93" i="4"/>
  <c r="O63" i="4"/>
  <c r="O91" i="4"/>
  <c r="B42" i="1" s="1"/>
  <c r="G109" i="4"/>
  <c r="P109" i="4" s="1"/>
  <c r="O64" i="4"/>
  <c r="G113" i="4"/>
  <c r="P113" i="4" s="1"/>
  <c r="O95" i="4"/>
  <c r="B998" i="1" s="1"/>
  <c r="O62" i="4"/>
  <c r="O67" i="4"/>
  <c r="O66" i="4"/>
  <c r="O96" i="4"/>
  <c r="G114" i="4"/>
  <c r="P114" i="4" s="1"/>
  <c r="O65" i="4"/>
  <c r="B1310" i="1" l="1"/>
  <c r="B1587" i="1"/>
  <c r="B622" i="1"/>
  <c r="B666" i="1"/>
  <c r="P157" i="4"/>
  <c r="O157" i="4"/>
  <c r="O73" i="4"/>
  <c r="O116" i="4"/>
  <c r="O72" i="4"/>
  <c r="O119" i="4"/>
  <c r="O120" i="4"/>
  <c r="O69" i="4"/>
  <c r="P154" i="4"/>
  <c r="O154" i="4"/>
  <c r="P158" i="4"/>
  <c r="O158" i="4"/>
  <c r="O111" i="4"/>
  <c r="O109" i="4"/>
  <c r="B143" i="1" s="1"/>
  <c r="O114" i="4"/>
  <c r="O112" i="4"/>
  <c r="B1098" i="1" s="1"/>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indexed="81"/>
            <rFont val="Tahoma"/>
            <family val="2"/>
          </rPr>
          <t>Sacchi Romain:</t>
        </r>
        <r>
          <rPr>
            <sz val="9"/>
            <color indexed="81"/>
            <rFont val="Tahoma"/>
            <family val="2"/>
          </rPr>
          <t xml:space="preserve">
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<sst xmlns="http://schemas.openxmlformats.org/spreadsheetml/2006/main" count="18832" uniqueCount="1102">
  <si>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</si>
  <si>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</si>
  <si>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</si>
  <si>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</si>
  <si>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</si>
  <si>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</si>
  <si>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</si>
  <si>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</si>
  <si>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</si>
  <si>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</si>
  <si>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</si>
  <si>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</si>
  <si>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</si>
  <si>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</si>
  <si>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</si>
  <si>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</si>
  <si>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</si>
  <si>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</si>
  <si>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</si>
  <si>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</si>
  <si>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</si>
  <si>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</si>
  <si>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</si>
  <si>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</si>
  <si>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</si>
  <si>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</si>
  <si>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</si>
  <si>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</si>
  <si>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</si>
  <si>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</si>
  <si>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</si>
  <si>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</si>
  <si>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</si>
  <si>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</si>
  <si>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</si>
  <si>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</si>
  <si>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</si>
  <si>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</si>
  <si>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</si>
  <si>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</si>
  <si>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</si>
  <si>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</si>
  <si>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</si>
  <si>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</si>
  <si>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</si>
  <si>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</si>
  <si>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</si>
  <si>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</si>
  <si>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</si>
  <si>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</si>
  <si>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</si>
  <si>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</si>
  <si>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</si>
  <si>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</si>
  <si>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</si>
  <si>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</si>
  <si>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</si>
  <si>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</si>
  <si>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</si>
  <si>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</si>
  <si>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</si>
  <si>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</si>
  <si>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</si>
  <si>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</si>
  <si>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</si>
  <si>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</si>
  <si>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</si>
  <si>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</si>
  <si>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</si>
  <si>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</si>
  <si>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</si>
  <si>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</si>
  <si>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</si>
  <si>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</si>
  <si>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</si>
  <si>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</si>
  <si>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</si>
  <si>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</si>
  <si>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</si>
  <si>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</si>
  <si>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</si>
  <si>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</si>
  <si>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</si>
  <si>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</si>
  <si>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</si>
  <si>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</si>
  <si>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</si>
  <si>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</si>
  <si>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</si>
  <si>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</si>
  <si>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</si>
  <si>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</si>
  <si>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</si>
  <si>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</si>
  <si>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</si>
  <si>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</si>
  <si>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</si>
  <si>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</si>
  <si>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</si>
  <si>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</si>
  <si>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</si>
  <si>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</si>
  <si>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</si>
  <si>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</si>
  <si>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</si>
  <si>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</si>
  <si>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</si>
  <si>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</si>
  <si>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</si>
  <si>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</si>
  <si>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</si>
  <si>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</si>
  <si>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</si>
  <si>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</si>
  <si>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</si>
  <si>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</si>
  <si>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</si>
  <si>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</si>
  <si>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</si>
  <si>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</si>
  <si>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</si>
  <si>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</si>
  <si>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</si>
  <si>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</si>
  <si>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</si>
  <si>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</si>
  <si>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</si>
  <si>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</si>
  <si>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</si>
  <si>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</si>
  <si>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</si>
  <si>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</si>
  <si>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</si>
  <si>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</si>
  <si>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</si>
  <si>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</si>
  <si>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</si>
  <si>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</si>
  <si>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</si>
  <si>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</si>
  <si>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</si>
  <si>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</si>
  <si>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</si>
  <si>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</si>
  <si>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</si>
  <si>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</si>
  <si>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</si>
  <si>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</si>
  <si>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</si>
  <si>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</si>
  <si>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</si>
  <si>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</si>
  <si>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</si>
  <si>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</si>
  <si>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</si>
  <si>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</si>
  <si>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</si>
  <si>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</si>
  <si>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</si>
  <si>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</si>
  <si>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</si>
  <si>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</si>
  <si>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</si>
  <si>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</si>
  <si>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</si>
  <si>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</si>
  <si>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</si>
  <si>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</si>
  <si>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</si>
  <si>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</si>
  <si>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</si>
  <si>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</si>
  <si>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</si>
  <si>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</si>
  <si>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</si>
  <si>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</si>
  <si>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</si>
  <si>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</si>
  <si>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</si>
  <si>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</si>
  <si>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</si>
  <si>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</si>
  <si>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</si>
  <si>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</si>
  <si>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</si>
  <si>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</si>
  <si>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</si>
  <si>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</si>
  <si>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</si>
  <si>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</si>
  <si>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</si>
  <si>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</si>
  <si>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</si>
  <si>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</si>
  <si>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</si>
  <si>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</si>
  <si>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</si>
  <si>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</si>
  <si>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</si>
  <si>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</si>
  <si>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</si>
  <si>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</si>
  <si>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</si>
  <si>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</si>
  <si>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</si>
  <si>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</si>
  <si>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</si>
  <si>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</si>
  <si>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</si>
  <si>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</si>
  <si>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</si>
  <si>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</si>
  <si>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</si>
  <si>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</si>
  <si>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</si>
  <si>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</si>
  <si>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</si>
  <si>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</si>
  <si>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</si>
  <si>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</si>
  <si>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</si>
  <si>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</si>
  <si>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</si>
  <si>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</si>
  <si>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</si>
  <si>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</si>
  <si>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</si>
  <si>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</si>
  <si>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</si>
  <si>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</si>
  <si>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</si>
  <si>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</si>
  <si>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</si>
  <si>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</si>
  <si>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</si>
  <si>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</si>
  <si>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</si>
  <si>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</si>
  <si>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</si>
  <si>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</si>
  <si>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</si>
  <si>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</si>
  <si>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</si>
  <si>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</si>
  <si>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</si>
  <si>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</si>
  <si>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</si>
  <si>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</si>
  <si>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</si>
  <si>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</si>
  <si>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</si>
  <si>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</si>
  <si>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</si>
  <si>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</si>
  <si>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</si>
  <si>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</si>
  <si>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</si>
  <si>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</si>
  <si>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</si>
  <si>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</si>
  <si>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</si>
  <si>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</si>
  <si>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</si>
  <si>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</si>
  <si>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</si>
  <si>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</si>
  <si>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</si>
  <si>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</si>
  <si>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</si>
  <si>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</si>
  <si>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</si>
  <si>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</si>
  <si>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</si>
  <si>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</si>
  <si>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</si>
  <si>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</si>
  <si>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</si>
  <si>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</si>
  <si>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</si>
  <si>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</si>
  <si>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</si>
  <si>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</si>
  <si>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</si>
  <si>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</si>
  <si>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</si>
  <si>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</si>
  <si>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</si>
  <si>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</si>
  <si>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</si>
  <si>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</si>
  <si>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</si>
  <si>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</si>
  <si>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</si>
  <si>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</si>
  <si>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</si>
  <si>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</si>
  <si>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</si>
  <si>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</si>
  <si>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</si>
  <si>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</si>
  <si>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</si>
  <si>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</si>
  <si>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</si>
  <si>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</si>
  <si>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</si>
  <si>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</si>
  <si>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</si>
  <si>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</si>
  <si>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</si>
  <si>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</si>
  <si>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</si>
  <si>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</si>
  <si>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</si>
  <si>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</si>
  <si>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</si>
  <si>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</si>
  <si>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</si>
  <si>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</si>
  <si>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</si>
  <si>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</si>
  <si>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</si>
  <si>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</si>
  <si>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</si>
  <si>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</si>
  <si>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</si>
  <si>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</si>
  <si>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</si>
  <si>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</si>
  <si>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</si>
  <si>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</si>
  <si>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</si>
  <si>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</si>
  <si>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</si>
  <si>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</si>
  <si>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</si>
  <si>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</si>
  <si>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</si>
  <si>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</si>
  <si>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</si>
  <si>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</si>
  <si>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</si>
  <si>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</si>
  <si>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</si>
  <si>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</si>
  <si>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</si>
  <si>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</si>
  <si>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</si>
  <si>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</si>
  <si>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</si>
  <si>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</si>
  <si>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</si>
  <si>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</si>
  <si>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</si>
  <si>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</si>
  <si>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</si>
  <si>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</si>
  <si>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</si>
  <si>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</si>
  <si>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</si>
  <si>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</si>
  <si>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</si>
  <si>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</si>
  <si>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</si>
  <si>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</si>
  <si>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</si>
  <si>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</si>
  <si>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</si>
  <si>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</si>
  <si>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</si>
  <si>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</si>
  <si>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</si>
  <si>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</si>
  <si>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</si>
  <si>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</si>
  <si>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</si>
  <si>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</si>
  <si>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</si>
  <si>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</si>
  <si>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</si>
  <si>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</si>
  <si>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</si>
  <si>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</si>
  <si>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</si>
  <si>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</si>
  <si>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</si>
  <si>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</si>
  <si>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</si>
  <si>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</si>
  <si>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</si>
  <si>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</si>
  <si>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</si>
  <si>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</si>
  <si>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</si>
  <si>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</si>
  <si>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</si>
  <si>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</si>
  <si>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</si>
  <si>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</si>
  <si>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</si>
  <si>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</si>
  <si>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</si>
  <si>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</si>
  <si>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</si>
  <si>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Ethanol production, via fermentation, from miscanthus, energy allocation</t>
  </si>
  <si>
    <t>Ethanol, from miscanthus, economic allocation, at fuelling station</t>
  </si>
  <si>
    <t>Ethanol, from miscanthus, energy allocation, at fuelling station</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</si>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</sst>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
    <numFmt numFmtId="167" formatCode="#,##0.0"/>
    <numFmt numFmtId="168" formatCode="[$€-2]\ #,##0;[Red]\-[$€-2]\ #,##0"/>
    <numFmt numFmtId="169" formatCode="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4" fillId="0" borderId="0" applyFont="0" applyFill="0" applyBorder="0" applyAlignment="0" applyProtection="0"/>
    <xf numFmtId="0" fontId="7" fillId="0" borderId="0" applyNumberFormat="0" applyFill="0" applyBorder="0" applyAlignment="0" applyProtection="0"/>
  </cellStyleXfs>
  <cellXfs count="81">
    <xf numFmtId="0" fontId="0" fillId="0" borderId="0" xfId="0"/>
    <xf numFmtId="0" fontId="5" fillId="0" borderId="0" xfId="0" applyFont="1"/>
    <xf numFmtId="0" fontId="6"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7" fillId="0" borderId="0" xfId="2"/>
    <xf numFmtId="0" fontId="8"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9" fillId="0" borderId="5" xfId="1" applyNumberFormat="1" applyFont="1" applyFill="1" applyBorder="1" applyAlignment="1"/>
    <xf numFmtId="166" fontId="9" fillId="0" borderId="0" xfId="1" applyNumberFormat="1" applyFont="1" applyFill="1" applyBorder="1" applyAlignment="1"/>
    <xf numFmtId="166" fontId="0" fillId="0" borderId="0" xfId="0" applyNumberFormat="1" applyFont="1" applyFill="1" applyBorder="1" applyAlignment="1"/>
    <xf numFmtId="167" fontId="9" fillId="0" borderId="3" xfId="1" applyNumberFormat="1" applyFont="1" applyFill="1" applyBorder="1" applyAlignment="1"/>
    <xf numFmtId="167" fontId="9"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9" fillId="0" borderId="5" xfId="1" applyNumberFormat="1" applyFont="1" applyFill="1" applyBorder="1" applyAlignment="1"/>
    <xf numFmtId="3" fontId="9" fillId="0" borderId="5" xfId="1" applyNumberFormat="1" applyFont="1" applyFill="1" applyBorder="1" applyAlignment="1"/>
    <xf numFmtId="167" fontId="9"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9"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2"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3" fillId="0" borderId="0" xfId="0" applyFont="1" applyAlignment="1">
      <alignment horizontal="left" vertical="center" wrapText="1"/>
    </xf>
    <xf numFmtId="0" fontId="13" fillId="0" borderId="0" xfId="0" applyFont="1" applyAlignment="1">
      <alignment horizontal="left" vertical="center"/>
    </xf>
    <xf numFmtId="9" fontId="0" fillId="0" borderId="0" xfId="0" applyNumberFormat="1"/>
    <xf numFmtId="11" fontId="5" fillId="0" borderId="0" xfId="0" applyNumberFormat="1" applyFont="1"/>
    <xf numFmtId="11" fontId="6" fillId="0" borderId="0" xfId="0" applyNumberFormat="1" applyFont="1"/>
    <xf numFmtId="11" fontId="0" fillId="0" borderId="0" xfId="1" applyNumberFormat="1" applyFont="1"/>
    <xf numFmtId="11" fontId="13" fillId="0" borderId="12" xfId="0" applyNumberFormat="1" applyFont="1" applyBorder="1" applyAlignment="1">
      <alignment vertical="center" wrapText="1"/>
    </xf>
    <xf numFmtId="11" fontId="13" fillId="0" borderId="0" xfId="0" applyNumberFormat="1" applyFont="1" applyAlignment="1">
      <alignment vertical="center" wrapText="1"/>
    </xf>
    <xf numFmtId="2" fontId="0" fillId="0" borderId="0" xfId="1" applyNumberFormat="1" applyFont="1"/>
    <xf numFmtId="4" fontId="9" fillId="0" borderId="5" xfId="1" applyNumberFormat="1" applyFont="1" applyFill="1" applyBorder="1" applyAlignment="1"/>
    <xf numFmtId="0" fontId="3" fillId="0" borderId="0" xfId="0" applyFont="1"/>
    <xf numFmtId="0" fontId="2" fillId="0" borderId="0" xfId="0"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topLeftCell="A18" zoomScale="85" zoomScaleNormal="85" workbookViewId="0">
      <selection activeCell="O80" sqref="O80"/>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row>
    <row r="3" spans="1:19" x14ac:dyDescent="0.2">
      <c r="B3" s="9" t="s">
        <v>469</v>
      </c>
    </row>
    <row r="4" spans="1:19" x14ac:dyDescent="0.2">
      <c r="B4" t="s">
        <v>1</v>
      </c>
      <c r="C4" t="s">
        <v>454</v>
      </c>
      <c r="D4" t="s">
        <v>455</v>
      </c>
      <c r="E4" t="s">
        <v>456</v>
      </c>
      <c r="F4" t="s">
        <v>457</v>
      </c>
      <c r="G4" t="s">
        <v>465</v>
      </c>
      <c r="H4" t="s">
        <v>466</v>
      </c>
      <c r="I4" t="s">
        <v>247</v>
      </c>
      <c r="J4" t="s">
        <v>467</v>
      </c>
      <c r="K4" t="s">
        <v>263</v>
      </c>
      <c r="L4" t="s">
        <v>468</v>
      </c>
      <c r="M4" t="s">
        <v>460</v>
      </c>
      <c r="N4" t="s">
        <v>461</v>
      </c>
      <c r="O4" t="s">
        <v>1022</v>
      </c>
      <c r="P4" t="s">
        <v>462</v>
      </c>
      <c r="Q4" t="s">
        <v>470</v>
      </c>
      <c r="R4" t="s">
        <v>1016</v>
      </c>
      <c r="S4" t="s">
        <v>1016</v>
      </c>
    </row>
    <row r="5" spans="1:19" x14ac:dyDescent="0.2">
      <c r="B5" t="s">
        <v>7</v>
      </c>
      <c r="E5" t="s">
        <v>543</v>
      </c>
      <c r="F5" t="s">
        <v>458</v>
      </c>
      <c r="G5" t="s">
        <v>458</v>
      </c>
      <c r="H5" t="s">
        <v>458</v>
      </c>
      <c r="I5" t="s">
        <v>248</v>
      </c>
      <c r="J5" t="s">
        <v>458</v>
      </c>
      <c r="K5" t="s">
        <v>459</v>
      </c>
      <c r="L5" t="s">
        <v>545</v>
      </c>
      <c r="M5" t="s">
        <v>544</v>
      </c>
      <c r="N5" t="s">
        <v>544</v>
      </c>
      <c r="O5" t="s">
        <v>107</v>
      </c>
      <c r="P5" t="s">
        <v>463</v>
      </c>
      <c r="Q5" t="s">
        <v>471</v>
      </c>
      <c r="R5" t="s">
        <v>490</v>
      </c>
      <c r="S5" t="s">
        <v>496</v>
      </c>
    </row>
    <row r="6" spans="1:19" x14ac:dyDescent="0.2">
      <c r="B6" t="s">
        <v>63</v>
      </c>
      <c r="C6" t="s">
        <v>1033</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1033</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1033</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1033</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1033</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1033</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1033</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1033</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1033</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1033</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1033</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1023</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464</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562</v>
      </c>
      <c r="C19" t="s">
        <v>563</v>
      </c>
      <c r="D19" t="s">
        <v>616</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838</v>
      </c>
      <c r="C20" t="s">
        <v>567</v>
      </c>
      <c r="D20" t="s">
        <v>840</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852</v>
      </c>
      <c r="C21" t="s">
        <v>567</v>
      </c>
      <c r="D21" t="s">
        <v>840</v>
      </c>
      <c r="E21">
        <v>1</v>
      </c>
      <c r="F21" s="4">
        <f>'Cozzolini 2018'!B189</f>
        <v>3.6585432000000003E-3</v>
      </c>
      <c r="H21" s="4"/>
      <c r="I21" s="3">
        <f>'Cozzolini 2018'!B185</f>
        <v>8.6068800000000015E-2</v>
      </c>
      <c r="J21" s="5">
        <f t="shared" si="0"/>
        <v>0.31350622320000004</v>
      </c>
      <c r="K21" s="4">
        <f>'Cozzolini 2018'!B184</f>
        <v>5.4180000000000006E-2</v>
      </c>
      <c r="L21" s="43"/>
      <c r="M21" s="43"/>
      <c r="N21" s="42"/>
      <c r="O21" s="5">
        <f>'Cozzolini 2018'!B190</f>
        <v>1.518</v>
      </c>
      <c r="P21" s="5"/>
      <c r="Q21" s="29">
        <f>'Cozzolini 2018'!B179</f>
        <v>0.1</v>
      </c>
      <c r="R21" s="42">
        <f>'Cozzolini 2018'!B178</f>
        <v>17.2</v>
      </c>
      <c r="S21" s="42">
        <f t="shared" si="1"/>
        <v>15.48</v>
      </c>
    </row>
    <row r="22" spans="2:19" x14ac:dyDescent="0.2">
      <c r="B22" t="s">
        <v>96</v>
      </c>
      <c r="C22" t="s">
        <v>567</v>
      </c>
      <c r="D22" t="s">
        <v>1027</v>
      </c>
      <c r="E22">
        <v>1</v>
      </c>
      <c r="F22" s="4">
        <f>'Cozzolini 2018'!B268</f>
        <v>0.55718582999999999</v>
      </c>
      <c r="H22" s="4">
        <f>'Cozzolini 2018'!B261*50</f>
        <v>0.1691192</v>
      </c>
      <c r="I22" s="3">
        <f>SUM('Cozzolini 2018'!B269:B270)</f>
        <v>9.4050180000000011E-3</v>
      </c>
      <c r="J22" s="5">
        <f t="shared" si="0"/>
        <v>0.76016309479999999</v>
      </c>
      <c r="K22" s="4">
        <f>'Cozzolini 2018'!B272</f>
        <v>0.05</v>
      </c>
      <c r="L22" s="43">
        <f>SUM('Cozzolini 2018'!B262,'Cozzolini 2018'!B265:B266)*1000</f>
        <v>30.43</v>
      </c>
      <c r="M22" s="43">
        <f>'Cozzolini 2018'!B264*1000000</f>
        <v>985.99999999999989</v>
      </c>
      <c r="N22" s="42">
        <f>'Cozzolini 2018'!B263*1000000</f>
        <v>1.79</v>
      </c>
      <c r="O22" s="5">
        <f>'Cozzolini 2018'!B274</f>
        <v>1.40008</v>
      </c>
      <c r="P22" s="5">
        <f>'Cozzolini 2018'!B275</f>
        <v>1.4027212792818067</v>
      </c>
      <c r="Q22" s="29">
        <f>'Cozzolini 2018'!B253</f>
        <v>0.14000000000000001</v>
      </c>
      <c r="R22" s="42">
        <f>'Cozzolini 2018'!B252</f>
        <v>17.325581395348838</v>
      </c>
      <c r="S22" s="42">
        <f t="shared" si="1"/>
        <v>14.9</v>
      </c>
    </row>
    <row r="23" spans="2:19" x14ac:dyDescent="0.2">
      <c r="B23" t="s">
        <v>857</v>
      </c>
      <c r="C23" t="s">
        <v>567</v>
      </c>
      <c r="D23" t="s">
        <v>840</v>
      </c>
      <c r="E23">
        <v>1</v>
      </c>
      <c r="F23" s="4">
        <f>'Cozzolini 2018'!B405</f>
        <v>0.17115000000000002</v>
      </c>
      <c r="H23" s="4"/>
      <c r="I23" s="3">
        <f>SUM('Cozzolini 2018'!B406:B407)</f>
        <v>6.7498300000000001E-3</v>
      </c>
      <c r="J23" s="5">
        <f t="shared" si="0"/>
        <v>0.19544938800000003</v>
      </c>
      <c r="K23" s="4">
        <f>'Cozzolini 2018'!B409</f>
        <v>0.05</v>
      </c>
      <c r="L23" s="43">
        <f>SUM('Cozzolini 2018'!B399,'Cozzolini 2018'!B401:B402)*1000</f>
        <v>3.097</v>
      </c>
      <c r="M23" s="43"/>
      <c r="N23" s="42">
        <f>'Cozzolini 2018'!B400*1000000</f>
        <v>0.20374999999999999</v>
      </c>
      <c r="O23" s="5">
        <f>'Cozzolini 2018'!B410</f>
        <v>0.40791666666666665</v>
      </c>
      <c r="P23" s="5">
        <f>'Cozzolini 2018'!B411</f>
        <v>7.4294205052005929E-2</v>
      </c>
      <c r="Q23" s="29">
        <f>'Cozzolini 2018'!B393</f>
        <v>0.75</v>
      </c>
      <c r="R23" s="42">
        <f>'Cozzolini 2018'!B392</f>
        <v>16.3</v>
      </c>
      <c r="S23" s="42">
        <f t="shared" si="1"/>
        <v>4.0750000000000002</v>
      </c>
    </row>
    <row r="24" spans="2:19" x14ac:dyDescent="0.2">
      <c r="B24" t="s">
        <v>69</v>
      </c>
      <c r="C24" t="s">
        <v>567</v>
      </c>
      <c r="D24" t="s">
        <v>840</v>
      </c>
      <c r="E24">
        <v>1</v>
      </c>
      <c r="J24" s="5">
        <f t="shared" si="0"/>
        <v>0</v>
      </c>
      <c r="K24" s="4">
        <f>SUM('Cozzolini 2018'!B567:B568)</f>
        <v>2.5</v>
      </c>
      <c r="O24" s="5">
        <f>'Cozzolini 2018'!B570</f>
        <v>1.8186666666666667</v>
      </c>
      <c r="Q24">
        <f>'Cozzolini 2018'!B560</f>
        <v>0</v>
      </c>
      <c r="R24">
        <f>'Cozzolini 2018'!B559</f>
        <v>19</v>
      </c>
      <c r="S24" s="42">
        <f t="shared" si="1"/>
        <v>19</v>
      </c>
    </row>
    <row r="25" spans="2:19" x14ac:dyDescent="0.2">
      <c r="B25" t="s">
        <v>870</v>
      </c>
      <c r="C25" t="s">
        <v>567</v>
      </c>
      <c r="D25" t="s">
        <v>840</v>
      </c>
      <c r="E25">
        <v>1</v>
      </c>
      <c r="I25" s="3">
        <f>'Cozzolini 2018'!B636</f>
        <v>9.9079200000000006E-3</v>
      </c>
      <c r="J25" s="5">
        <f t="shared" si="0"/>
        <v>3.5668512000000006E-2</v>
      </c>
      <c r="K25" s="4">
        <f>SUM('Cozzolini 2018'!B634:B635)</f>
        <v>7.6071600000000004</v>
      </c>
      <c r="O25" s="5">
        <f>'Cozzolini 2018'!B637</f>
        <v>1.9066666666666667</v>
      </c>
      <c r="R25">
        <f>'Cozzolini 2018'!B625</f>
        <v>39.6</v>
      </c>
      <c r="S25" s="42">
        <f t="shared" si="1"/>
        <v>39.6</v>
      </c>
    </row>
    <row r="26" spans="2:19" x14ac:dyDescent="0.2">
      <c r="B26" t="s">
        <v>875</v>
      </c>
      <c r="C26" t="s">
        <v>567</v>
      </c>
      <c r="D26" t="s">
        <v>1027</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43">
        <f>SUM('Cozzolini 2018'!B734,'Cozzolini 2018'!B736:B737)*1000</f>
        <v>70.867582417582412</v>
      </c>
      <c r="M26" s="5">
        <f>'Cozzolini 2018'!B743*1000000</f>
        <v>2099</v>
      </c>
      <c r="N26" s="42">
        <f>'Cozzolini 2018'!B735*1000000</f>
        <v>2.2697802197802202</v>
      </c>
      <c r="O26" s="5">
        <f>'Cozzolini 2018'!B747</f>
        <v>1.6674166666666665</v>
      </c>
      <c r="P26" s="5">
        <f>'Cozzolini 2018'!B748</f>
        <v>3.58</v>
      </c>
      <c r="Q26" s="70">
        <v>0.09</v>
      </c>
      <c r="R26" s="42">
        <v>26.9</v>
      </c>
      <c r="S26" s="42">
        <f t="shared" si="1"/>
        <v>24.478999999999999</v>
      </c>
    </row>
    <row r="27" spans="2:19" x14ac:dyDescent="0.2">
      <c r="B27" t="s">
        <v>882</v>
      </c>
      <c r="C27" t="s">
        <v>567</v>
      </c>
      <c r="D27" t="s">
        <v>840</v>
      </c>
      <c r="E27">
        <v>1</v>
      </c>
      <c r="F27" s="4">
        <f>'Cozzolini 2018'!B907</f>
        <v>0.118300224</v>
      </c>
      <c r="G27" s="4"/>
      <c r="H27" s="4"/>
      <c r="I27" s="3"/>
      <c r="J27" s="5">
        <f t="shared" si="0"/>
        <v>0.118300224</v>
      </c>
      <c r="K27" s="4"/>
      <c r="L27" s="43">
        <f>SUM('Cozzolini 2018'!B903,'Cozzolini 2018'!B905:B906)*1000</f>
        <v>22.080000000000002</v>
      </c>
      <c r="N27" s="42">
        <f>'Cozzolini 2018'!B904*1000000</f>
        <v>1.1039999999999999</v>
      </c>
      <c r="O27" s="5">
        <f>'Cozzolini 2018'!B913</f>
        <v>1.7069066666666668</v>
      </c>
      <c r="P27" s="5">
        <f>'Cozzolini 2018'!B914</f>
        <v>0.59589999999999999</v>
      </c>
      <c r="Q27" s="70">
        <f>'Cozzolini 2018'!B897</f>
        <v>0.08</v>
      </c>
      <c r="R27" s="42">
        <f>'Cozzolini 2018'!B896</f>
        <v>24</v>
      </c>
      <c r="S27" s="42">
        <f t="shared" si="1"/>
        <v>22.080000000000002</v>
      </c>
    </row>
    <row r="28" spans="2:19" x14ac:dyDescent="0.2">
      <c r="B28" t="s">
        <v>883</v>
      </c>
      <c r="C28" t="s">
        <v>567</v>
      </c>
      <c r="D28" t="s">
        <v>840</v>
      </c>
      <c r="E28">
        <v>1</v>
      </c>
      <c r="F28" s="4"/>
      <c r="G28" s="4"/>
      <c r="H28" s="4"/>
      <c r="I28" s="3">
        <f>'Cozzolini 2018'!B1049+'Cozzolini 2018'!B1060</f>
        <v>1.1348685764000002</v>
      </c>
      <c r="J28" s="5">
        <f t="shared" si="0"/>
        <v>4.0855268750400011</v>
      </c>
      <c r="K28" s="4"/>
      <c r="L28" s="43">
        <f>('Cozzolini 2018'!B1055+'Cozzolini 2018'!B1056)*1000</f>
        <v>19.367110599999997</v>
      </c>
      <c r="N28" s="42"/>
      <c r="O28" s="5">
        <f>'Cozzolini 2018'!B1051</f>
        <v>1.9433333333333334</v>
      </c>
      <c r="P28" s="5"/>
      <c r="Q28" s="70">
        <v>0</v>
      </c>
      <c r="R28" s="42">
        <f>'Cozzolini 2018'!B1050</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475</v>
      </c>
    </row>
    <row r="32" spans="2:19" x14ac:dyDescent="0.2">
      <c r="B32" t="s">
        <v>1</v>
      </c>
      <c r="C32" t="s">
        <v>454</v>
      </c>
      <c r="D32" t="s">
        <v>455</v>
      </c>
      <c r="E32" t="s">
        <v>456</v>
      </c>
      <c r="F32" t="s">
        <v>488</v>
      </c>
      <c r="G32" t="s">
        <v>488</v>
      </c>
      <c r="H32" t="s">
        <v>457</v>
      </c>
      <c r="I32" t="s">
        <v>466</v>
      </c>
      <c r="J32" t="s">
        <v>491</v>
      </c>
      <c r="K32" t="s">
        <v>247</v>
      </c>
      <c r="L32" t="s">
        <v>467</v>
      </c>
      <c r="M32" t="s">
        <v>423</v>
      </c>
      <c r="N32" t="s">
        <v>489</v>
      </c>
      <c r="O32" t="s">
        <v>492</v>
      </c>
      <c r="P32" t="s">
        <v>493</v>
      </c>
    </row>
    <row r="33" spans="2:17" x14ac:dyDescent="0.2">
      <c r="B33" t="s">
        <v>7</v>
      </c>
      <c r="E33" t="s">
        <v>8</v>
      </c>
      <c r="F33" t="s">
        <v>107</v>
      </c>
      <c r="G33" t="s">
        <v>458</v>
      </c>
      <c r="H33" t="s">
        <v>458</v>
      </c>
      <c r="I33" t="s">
        <v>458</v>
      </c>
      <c r="J33" t="s">
        <v>458</v>
      </c>
      <c r="K33" t="s">
        <v>248</v>
      </c>
      <c r="L33" t="s">
        <v>458</v>
      </c>
      <c r="M33" t="s">
        <v>8</v>
      </c>
      <c r="N33" t="s">
        <v>458</v>
      </c>
      <c r="O33" t="s">
        <v>471</v>
      </c>
      <c r="P33" t="s">
        <v>471</v>
      </c>
    </row>
    <row r="34" spans="2:17" x14ac:dyDescent="0.2">
      <c r="B34" t="s">
        <v>476</v>
      </c>
      <c r="C34" t="s">
        <v>1033</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477</v>
      </c>
      <c r="C35" t="s">
        <v>1033</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478</v>
      </c>
      <c r="C36" t="s">
        <v>1033</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479</v>
      </c>
      <c r="C37" t="s">
        <v>1033</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480</v>
      </c>
      <c r="C38" t="s">
        <v>1033</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481</v>
      </c>
      <c r="C39" t="s">
        <v>1033</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482</v>
      </c>
      <c r="C40" t="s">
        <v>1033</v>
      </c>
      <c r="D40" t="s">
        <v>21</v>
      </c>
      <c r="E40">
        <v>1</v>
      </c>
      <c r="F40" s="42">
        <f>GREET!B1533</f>
        <v>13.152756545370348</v>
      </c>
      <c r="G40" s="43">
        <f>F40*S12</f>
        <v>42.955130132502624</v>
      </c>
      <c r="H40" s="5">
        <f>GREET!B1534</f>
        <v>8.9089655592411415E-2</v>
      </c>
      <c r="I40" s="5"/>
      <c r="J40" s="5"/>
      <c r="K40" s="5"/>
      <c r="L40" s="5">
        <f t="shared" si="4"/>
        <v>8.9089655592411415E-2</v>
      </c>
      <c r="M40" s="5">
        <f>GREET!B1536</f>
        <v>3.8732128799629537</v>
      </c>
      <c r="N40">
        <v>29.7</v>
      </c>
      <c r="O40" s="29">
        <f t="shared" si="2"/>
        <v>0.69141916014187699</v>
      </c>
      <c r="P40" s="29">
        <f t="shared" si="5"/>
        <v>0.6899881132986474</v>
      </c>
    </row>
    <row r="41" spans="2:17" x14ac:dyDescent="0.2">
      <c r="B41" t="s">
        <v>483</v>
      </c>
      <c r="C41" t="s">
        <v>1033</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484</v>
      </c>
      <c r="C42" t="s">
        <v>1033</v>
      </c>
      <c r="D42" t="s">
        <v>21</v>
      </c>
      <c r="E42">
        <v>1</v>
      </c>
      <c r="F42" s="42">
        <f>GREET!B2044</f>
        <v>33.870416137128686</v>
      </c>
      <c r="G42" s="43">
        <f>F42*S14</f>
        <v>144.18362594997322</v>
      </c>
      <c r="H42" s="5"/>
      <c r="I42" s="5"/>
      <c r="J42" s="5"/>
      <c r="K42" s="5"/>
      <c r="L42" s="5">
        <f t="shared" si="4"/>
        <v>0</v>
      </c>
      <c r="M42" s="5">
        <f>GREET!B2046</f>
        <v>12.690923438329891</v>
      </c>
      <c r="N42">
        <v>29.7</v>
      </c>
      <c r="O42" s="29">
        <f t="shared" si="2"/>
        <v>0.20598732903488556</v>
      </c>
      <c r="P42" s="29">
        <f t="shared" si="5"/>
        <v>0.20598732903488556</v>
      </c>
    </row>
    <row r="43" spans="2:17" x14ac:dyDescent="0.2">
      <c r="B43" t="s">
        <v>485</v>
      </c>
      <c r="C43" t="s">
        <v>1033</v>
      </c>
      <c r="D43" t="s">
        <v>21</v>
      </c>
      <c r="E43">
        <v>1</v>
      </c>
      <c r="F43" s="42">
        <f>GREET!B2208</f>
        <v>17.530771682300895</v>
      </c>
      <c r="G43" s="43">
        <f>F43*S15</f>
        <v>71.961826350155732</v>
      </c>
      <c r="H43" s="5"/>
      <c r="I43" s="5"/>
      <c r="J43" s="5"/>
      <c r="K43" s="5"/>
      <c r="L43" s="5">
        <f t="shared" si="4"/>
        <v>0</v>
      </c>
      <c r="M43" s="5">
        <f>GREET!B2213</f>
        <v>5.3752948655007122</v>
      </c>
      <c r="N43">
        <v>29.7</v>
      </c>
      <c r="O43" s="29">
        <f t="shared" si="2"/>
        <v>0.41271881921790227</v>
      </c>
      <c r="P43" s="29">
        <f t="shared" si="5"/>
        <v>0.41271881921790227</v>
      </c>
    </row>
    <row r="44" spans="2:17" x14ac:dyDescent="0.2">
      <c r="B44" t="s">
        <v>486</v>
      </c>
      <c r="C44" t="s">
        <v>1033</v>
      </c>
      <c r="D44" t="s">
        <v>1024</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557</v>
      </c>
      <c r="C45" t="s">
        <v>1033</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482</v>
      </c>
      <c r="C46" t="s">
        <v>264</v>
      </c>
      <c r="D46" t="s">
        <v>464</v>
      </c>
      <c r="E46">
        <v>1</v>
      </c>
      <c r="F46" s="42">
        <f>'Pereira et al. 2019'!B117</f>
        <v>15.575994374364498</v>
      </c>
      <c r="G46" s="43">
        <f>F46*S17</f>
        <v>82.42816222913693</v>
      </c>
      <c r="H46" s="5">
        <f>'Pereira et al. 2019'!B113</f>
        <v>0</v>
      </c>
      <c r="I46" s="5"/>
      <c r="J46" s="5"/>
      <c r="K46" s="5"/>
      <c r="L46" s="5">
        <f t="shared" si="4"/>
        <v>0</v>
      </c>
      <c r="M46" s="5">
        <f>'Pereira et al. 2019'!B123</f>
        <v>5.8566239626877756</v>
      </c>
      <c r="N46">
        <v>29.7</v>
      </c>
      <c r="O46" s="29">
        <f t="shared" si="2"/>
        <v>0.36031374710792186</v>
      </c>
      <c r="P46" s="29">
        <f t="shared" si="5"/>
        <v>0.36031374710792186</v>
      </c>
    </row>
    <row r="47" spans="2:17" x14ac:dyDescent="0.2">
      <c r="B47" t="s">
        <v>487</v>
      </c>
      <c r="C47" t="s">
        <v>264</v>
      </c>
      <c r="D47" t="s">
        <v>464</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606</v>
      </c>
      <c r="C48" t="s">
        <v>563</v>
      </c>
      <c r="D48" t="s">
        <v>616</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845</v>
      </c>
      <c r="C49" t="s">
        <v>567</v>
      </c>
      <c r="D49" t="s">
        <v>840</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856</v>
      </c>
      <c r="C50" t="s">
        <v>567</v>
      </c>
      <c r="D50" t="s">
        <v>840</v>
      </c>
      <c r="E50">
        <v>1</v>
      </c>
      <c r="F50" s="42">
        <f>'Cozzolini 2018'!B203</f>
        <v>3.3487885658914727</v>
      </c>
      <c r="G50" s="43">
        <f t="shared" si="3"/>
        <v>58.019708874166213</v>
      </c>
      <c r="H50" s="5"/>
      <c r="I50" s="5"/>
      <c r="J50" s="5"/>
      <c r="K50" s="5">
        <f>SUM('Cozzolini 2018'!B217:B218)</f>
        <v>3.1589696E-2</v>
      </c>
      <c r="L50" s="5">
        <f t="shared" si="6"/>
        <v>0.11372290560000001</v>
      </c>
      <c r="M50" s="5">
        <f>'Cozzolini 2018'!B219</f>
        <v>3.881145589046513</v>
      </c>
      <c r="N50">
        <v>26.8</v>
      </c>
      <c r="O50" s="29">
        <f t="shared" si="7"/>
        <v>0.46191200404200816</v>
      </c>
      <c r="P50" s="29">
        <f t="shared" si="5"/>
        <v>0.46100839361298374</v>
      </c>
      <c r="Q50" s="43"/>
    </row>
    <row r="51" spans="2:17" x14ac:dyDescent="0.2">
      <c r="B51" t="s">
        <v>848</v>
      </c>
      <c r="C51" t="s">
        <v>567</v>
      </c>
      <c r="D51" t="s">
        <v>840</v>
      </c>
      <c r="E51">
        <v>1</v>
      </c>
      <c r="F51" s="42">
        <f>'Cozzolini 2018'!B343</f>
        <v>2.0213589710276736</v>
      </c>
      <c r="G51" s="43">
        <f t="shared" si="3"/>
        <v>32.948151227751083</v>
      </c>
      <c r="H51" s="5"/>
      <c r="I51" s="5">
        <f>'Cozzolini 2018'!B345</f>
        <v>6.2462400000000002</v>
      </c>
      <c r="J51" s="5"/>
      <c r="K51" s="5">
        <f>SUM('Cozzolini 2018'!B357:B359)</f>
        <v>0.22721796240000006</v>
      </c>
      <c r="L51" s="5">
        <f t="shared" si="6"/>
        <v>7.0642246646400002</v>
      </c>
      <c r="M51" s="5">
        <f>'Cozzolini 2018'!B360</f>
        <v>1.3122732656983251</v>
      </c>
      <c r="N51">
        <v>26.8</v>
      </c>
      <c r="O51" s="29">
        <f t="shared" si="7"/>
        <v>0.81339920454860881</v>
      </c>
      <c r="P51" s="29">
        <f t="shared" si="5"/>
        <v>0.6697927679194976</v>
      </c>
      <c r="Q51" s="43"/>
    </row>
    <row r="52" spans="2:17" x14ac:dyDescent="0.2">
      <c r="B52" t="s">
        <v>861</v>
      </c>
      <c r="C52" t="s">
        <v>567</v>
      </c>
      <c r="D52" t="s">
        <v>840</v>
      </c>
      <c r="E52">
        <v>1</v>
      </c>
      <c r="F52" s="42">
        <f>'Cozzolini 2018'!B469</f>
        <v>8.6286134969325143</v>
      </c>
      <c r="G52" s="43">
        <f t="shared" si="3"/>
        <v>163.94365644171776</v>
      </c>
      <c r="H52" s="5"/>
      <c r="I52" s="5">
        <f>'Cozzolini 2018'!B470</f>
        <v>1.9939199999999999</v>
      </c>
      <c r="J52" s="5"/>
      <c r="K52" s="5">
        <f>'Cozzolini 2018'!B477+'Cozzolini 2018'!B478</f>
        <v>0.24318105600000003</v>
      </c>
      <c r="L52" s="5">
        <f t="shared" si="6"/>
        <v>2.8693718015999998</v>
      </c>
      <c r="M52" s="5">
        <f>'Cozzolini 2018'!B479</f>
        <v>2.0985209914110428</v>
      </c>
      <c r="N52">
        <v>26.8</v>
      </c>
      <c r="O52" s="29">
        <f t="shared" si="7"/>
        <v>0.16347079589216948</v>
      </c>
      <c r="P52" s="29">
        <f t="shared" si="5"/>
        <v>0.1606589142480456</v>
      </c>
      <c r="Q52" s="43"/>
    </row>
    <row r="53" spans="2:17" x14ac:dyDescent="0.2">
      <c r="B53" t="s">
        <v>479</v>
      </c>
      <c r="C53" t="s">
        <v>567</v>
      </c>
      <c r="D53" t="s">
        <v>840</v>
      </c>
      <c r="E53">
        <v>1</v>
      </c>
      <c r="F53" s="42">
        <f>'Cozzolini 2018'!B584</f>
        <v>3.0842105263157897</v>
      </c>
      <c r="G53" s="43">
        <f t="shared" si="3"/>
        <v>122.13473684210528</v>
      </c>
      <c r="H53" s="5"/>
      <c r="I53" s="5"/>
      <c r="J53" s="5"/>
      <c r="K53" s="5">
        <f>'Cozzolini 2018'!B593</f>
        <v>3.1589696E-2</v>
      </c>
      <c r="L53" s="5">
        <f t="shared" si="6"/>
        <v>0.11372290560000001</v>
      </c>
      <c r="M53" s="5">
        <f>'Cozzolini 2018'!B594</f>
        <v>4.4804320000000013</v>
      </c>
      <c r="N53">
        <v>26.8</v>
      </c>
      <c r="O53" s="29">
        <f t="shared" si="7"/>
        <v>0.21942979280863237</v>
      </c>
      <c r="P53" s="29">
        <f t="shared" si="5"/>
        <v>0.21922566595366091</v>
      </c>
      <c r="Q53" s="43"/>
    </row>
    <row r="54" spans="2:17" ht="16" x14ac:dyDescent="0.2">
      <c r="B54" s="2" t="s">
        <v>874</v>
      </c>
      <c r="C54" t="s">
        <v>567</v>
      </c>
      <c r="D54" t="s">
        <v>840</v>
      </c>
      <c r="E54">
        <v>1</v>
      </c>
      <c r="F54" s="42">
        <f>'Cozzolini 2018'!B650</f>
        <v>1.0256410256410258</v>
      </c>
      <c r="G54" s="43">
        <f t="shared" si="3"/>
        <v>27.589743589743591</v>
      </c>
      <c r="H54" s="5"/>
      <c r="I54" s="5"/>
      <c r="J54" s="5"/>
      <c r="K54" s="5">
        <f>SUM('Cozzolini 2018'!B661:B663)</f>
        <v>8.5938696000000009E-2</v>
      </c>
      <c r="L54" s="5">
        <f t="shared" si="6"/>
        <v>0.30937930560000004</v>
      </c>
      <c r="M54" s="5">
        <f>'Cozzolini 2018'!B664*-1</f>
        <v>-0.89444444444444415</v>
      </c>
      <c r="N54">
        <v>37.200000000000003</v>
      </c>
      <c r="O54" s="29">
        <f t="shared" si="7"/>
        <v>1.3483271375464685</v>
      </c>
      <c r="P54" s="29">
        <f t="shared" si="5"/>
        <v>1.3333752512416346</v>
      </c>
      <c r="Q54" s="43"/>
    </row>
    <row r="55" spans="2:17" ht="16" x14ac:dyDescent="0.2">
      <c r="B55" s="2" t="s">
        <v>879</v>
      </c>
      <c r="C55" t="s">
        <v>567</v>
      </c>
      <c r="D55" t="s">
        <v>840</v>
      </c>
      <c r="E55">
        <v>1</v>
      </c>
      <c r="F55" s="42">
        <f>'Cozzolini 2018'!B851*'Cozzolini 2018'!B834*'Cozzolini 2018'!B814</f>
        <v>2.6969842112944966</v>
      </c>
      <c r="G55" s="43">
        <f t="shared" si="3"/>
        <v>64.727621071067915</v>
      </c>
      <c r="H55" s="5"/>
      <c r="I55" s="5">
        <f>'Cozzolini 2018'!B852</f>
        <v>1.2276000000000002</v>
      </c>
      <c r="J55" s="5"/>
      <c r="K55" s="5">
        <f>SUM('Cozzolini 2018'!B862:B864)</f>
        <v>8.5731864000000005E-2</v>
      </c>
      <c r="L55" s="5">
        <f t="shared" si="6"/>
        <v>1.5362347104000003</v>
      </c>
      <c r="M55" s="5">
        <f>'Cozzolini 2018'!B865</f>
        <v>2.2765759229602005</v>
      </c>
      <c r="N55">
        <v>37.200000000000003</v>
      </c>
      <c r="O55" s="29">
        <f t="shared" si="7"/>
        <v>0.57471600816529522</v>
      </c>
      <c r="P55" s="29">
        <f t="shared" si="5"/>
        <v>0.5613920222614599</v>
      </c>
      <c r="Q55" s="43"/>
    </row>
    <row r="56" spans="2:17" ht="16" x14ac:dyDescent="0.2">
      <c r="B56" s="2" t="s">
        <v>881</v>
      </c>
      <c r="C56" t="s">
        <v>567</v>
      </c>
      <c r="D56" t="s">
        <v>840</v>
      </c>
      <c r="E56">
        <v>1</v>
      </c>
      <c r="F56" s="42">
        <f>'Cozzolini 2018'!B1002*'Cozzolini 2018'!B982*'Cozzolini 2018'!B963</f>
        <v>3.201548559774154</v>
      </c>
      <c r="G56" s="43">
        <f t="shared" si="3"/>
        <v>43.541060412928495</v>
      </c>
      <c r="H56" s="5"/>
      <c r="I56" s="5">
        <f>'Cozzolini 2018'!B1003</f>
        <v>1.2290000000000001</v>
      </c>
      <c r="J56" s="5"/>
      <c r="K56" s="5">
        <f>SUM('Cozzolini 2018'!B1012:B1014)</f>
        <v>8.5731864000000005E-2</v>
      </c>
      <c r="L56" s="5">
        <f t="shared" si="6"/>
        <v>1.5376347104000001</v>
      </c>
      <c r="M56" s="5">
        <f>'Cozzolini 2018'!B1015</f>
        <v>3.3798088215825497</v>
      </c>
      <c r="N56">
        <v>37.200000000000003</v>
      </c>
      <c r="O56" s="29">
        <f t="shared" si="7"/>
        <v>0.85436596277646781</v>
      </c>
      <c r="P56" s="29">
        <f>N56/SUM(G56,L56)</f>
        <v>0.82522353183086661</v>
      </c>
      <c r="Q56" s="43"/>
    </row>
    <row r="57" spans="2:17" ht="16" x14ac:dyDescent="0.2">
      <c r="B57" s="2" t="s">
        <v>884</v>
      </c>
      <c r="C57" t="s">
        <v>567</v>
      </c>
      <c r="D57" t="s">
        <v>840</v>
      </c>
      <c r="E57">
        <v>1</v>
      </c>
      <c r="F57" s="42">
        <f>'Cozzolini 2018'!B1073</f>
        <v>2.2084524000000001</v>
      </c>
      <c r="G57" s="43">
        <f t="shared" si="3"/>
        <v>0</v>
      </c>
      <c r="H57" s="5"/>
      <c r="I57" s="5">
        <f>SUM('Cozzolini 2018'!B1075:B1078)</f>
        <v>5.5887419999999999</v>
      </c>
      <c r="J57" s="5"/>
      <c r="K57" s="5">
        <f>SUM('Cozzolini 2018'!B1085:B1088)</f>
        <v>0.24906702</v>
      </c>
      <c r="L57" s="5">
        <f t="shared" si="6"/>
        <v>6.485383272</v>
      </c>
      <c r="M57" s="5">
        <f>'Cozzolini 2018'!B1089</f>
        <v>1.441759164</v>
      </c>
      <c r="N57">
        <v>37.200000000000003</v>
      </c>
      <c r="O57" s="29" t="e">
        <f t="shared" si="7"/>
        <v>#DIV/0!</v>
      </c>
      <c r="P57" s="29">
        <f>N57/SUM(G57,L57)</f>
        <v>5.7359755684151033</v>
      </c>
      <c r="Q57" s="43"/>
    </row>
    <row r="59" spans="2:17" x14ac:dyDescent="0.2">
      <c r="B59" s="9" t="s">
        <v>494</v>
      </c>
    </row>
    <row r="60" spans="2:17" x14ac:dyDescent="0.2">
      <c r="B60" t="s">
        <v>1</v>
      </c>
      <c r="C60" t="s">
        <v>454</v>
      </c>
      <c r="D60" t="s">
        <v>455</v>
      </c>
      <c r="E60" t="s">
        <v>456</v>
      </c>
      <c r="F60" t="s">
        <v>488</v>
      </c>
      <c r="G60" t="s">
        <v>488</v>
      </c>
      <c r="H60" t="s">
        <v>457</v>
      </c>
      <c r="I60" t="s">
        <v>466</v>
      </c>
      <c r="J60" t="s">
        <v>491</v>
      </c>
      <c r="K60" t="s">
        <v>247</v>
      </c>
      <c r="L60" t="s">
        <v>467</v>
      </c>
      <c r="M60" t="s">
        <v>423</v>
      </c>
      <c r="N60" t="s">
        <v>489</v>
      </c>
      <c r="O60" t="s">
        <v>492</v>
      </c>
      <c r="P60" t="s">
        <v>493</v>
      </c>
    </row>
    <row r="61" spans="2:17" x14ac:dyDescent="0.2">
      <c r="B61" t="s">
        <v>7</v>
      </c>
      <c r="E61" t="s">
        <v>19</v>
      </c>
      <c r="F61" t="s">
        <v>107</v>
      </c>
      <c r="G61" t="s">
        <v>458</v>
      </c>
      <c r="H61" t="s">
        <v>458</v>
      </c>
      <c r="I61" t="s">
        <v>458</v>
      </c>
      <c r="J61" t="s">
        <v>458</v>
      </c>
      <c r="K61" t="s">
        <v>248</v>
      </c>
      <c r="L61" t="s">
        <v>458</v>
      </c>
      <c r="M61" t="s">
        <v>8</v>
      </c>
      <c r="N61" t="s">
        <v>458</v>
      </c>
      <c r="O61" t="s">
        <v>471</v>
      </c>
      <c r="P61" t="s">
        <v>471</v>
      </c>
    </row>
    <row r="62" spans="2:17" x14ac:dyDescent="0.2">
      <c r="B62" t="s">
        <v>476</v>
      </c>
      <c r="C62" t="s">
        <v>1033</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477</v>
      </c>
      <c r="C63" t="s">
        <v>1033</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478</v>
      </c>
      <c r="C64" t="s">
        <v>1033</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479</v>
      </c>
      <c r="C65" t="s">
        <v>1033</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480</v>
      </c>
      <c r="C66" t="s">
        <v>1033</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481</v>
      </c>
      <c r="C67" t="s">
        <v>1033</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482</v>
      </c>
      <c r="C68" t="s">
        <v>1033</v>
      </c>
      <c r="D68" t="s">
        <v>21</v>
      </c>
      <c r="E68">
        <v>1</v>
      </c>
      <c r="F68" s="5">
        <f t="shared" si="10"/>
        <v>0.44285375573637537</v>
      </c>
      <c r="G68" s="5">
        <f t="shared" si="11"/>
        <v>1.4463006778620413</v>
      </c>
      <c r="H68" s="4">
        <f t="shared" si="12"/>
        <v>2.9996517034481958E-3</v>
      </c>
      <c r="I68" s="4">
        <f t="shared" si="13"/>
        <v>0</v>
      </c>
      <c r="J68" s="4">
        <f t="shared" si="14"/>
        <v>0</v>
      </c>
      <c r="K68" s="4">
        <f t="shared" si="15"/>
        <v>0</v>
      </c>
      <c r="L68" s="4">
        <f t="shared" si="16"/>
        <v>2.9996517034481958E-3</v>
      </c>
      <c r="M68" s="4">
        <f t="shared" si="17"/>
        <v>0.13041120807956075</v>
      </c>
      <c r="N68" s="42">
        <f t="shared" si="18"/>
        <v>1</v>
      </c>
      <c r="O68" s="29">
        <f t="shared" si="8"/>
        <v>0.69141916014187699</v>
      </c>
      <c r="P68" s="29">
        <f t="shared" si="9"/>
        <v>0.6899881132986474</v>
      </c>
    </row>
    <row r="69" spans="2:16" x14ac:dyDescent="0.2">
      <c r="B69" t="s">
        <v>483</v>
      </c>
      <c r="C69" t="s">
        <v>1033</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484</v>
      </c>
      <c r="C70" t="s">
        <v>1033</v>
      </c>
      <c r="D70" t="s">
        <v>21</v>
      </c>
      <c r="E70">
        <v>1</v>
      </c>
      <c r="F70" s="5">
        <f t="shared" si="10"/>
        <v>1.1404180517551747</v>
      </c>
      <c r="G70" s="5">
        <f t="shared" si="11"/>
        <v>4.8546675404031392</v>
      </c>
      <c r="H70" s="4">
        <f t="shared" si="12"/>
        <v>0</v>
      </c>
      <c r="I70" s="4">
        <f t="shared" si="13"/>
        <v>0</v>
      </c>
      <c r="J70" s="4">
        <f t="shared" si="14"/>
        <v>0</v>
      </c>
      <c r="K70" s="4">
        <f t="shared" si="15"/>
        <v>0</v>
      </c>
      <c r="L70" s="4">
        <f t="shared" si="16"/>
        <v>0</v>
      </c>
      <c r="M70" s="4">
        <f t="shared" si="17"/>
        <v>0.42730381947238694</v>
      </c>
      <c r="N70" s="42">
        <f t="shared" si="18"/>
        <v>1</v>
      </c>
      <c r="O70" s="29">
        <f t="shared" si="8"/>
        <v>0.20598732903488556</v>
      </c>
      <c r="P70" s="29">
        <f t="shared" si="9"/>
        <v>0.20598732903488556</v>
      </c>
    </row>
    <row r="71" spans="2:16" x14ac:dyDescent="0.2">
      <c r="B71" t="s">
        <v>485</v>
      </c>
      <c r="C71" t="s">
        <v>1033</v>
      </c>
      <c r="D71" t="s">
        <v>21</v>
      </c>
      <c r="E71">
        <v>1</v>
      </c>
      <c r="F71" s="5">
        <f t="shared" si="10"/>
        <v>0.59026167280474395</v>
      </c>
      <c r="G71" s="5">
        <f t="shared" si="11"/>
        <v>2.4229571161668599</v>
      </c>
      <c r="H71" s="4">
        <f t="shared" si="12"/>
        <v>0</v>
      </c>
      <c r="I71" s="4">
        <f t="shared" si="13"/>
        <v>0</v>
      </c>
      <c r="J71" s="4">
        <f t="shared" si="14"/>
        <v>0</v>
      </c>
      <c r="K71" s="4">
        <f t="shared" si="15"/>
        <v>0</v>
      </c>
      <c r="L71" s="4">
        <f t="shared" si="16"/>
        <v>0</v>
      </c>
      <c r="M71" s="4">
        <f t="shared" si="17"/>
        <v>0.18098635910776809</v>
      </c>
      <c r="N71" s="42">
        <f t="shared" si="18"/>
        <v>1</v>
      </c>
      <c r="O71" s="29">
        <f t="shared" si="8"/>
        <v>0.41271881921790221</v>
      </c>
      <c r="P71" s="29">
        <f t="shared" si="9"/>
        <v>0.41271881921790221</v>
      </c>
    </row>
    <row r="72" spans="2:16" x14ac:dyDescent="0.2">
      <c r="B72" t="s">
        <v>486</v>
      </c>
      <c r="C72" t="s">
        <v>1033</v>
      </c>
      <c r="D72" t="s">
        <v>1024</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557</v>
      </c>
      <c r="C73" t="s">
        <v>1033</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482</v>
      </c>
      <c r="C74" t="s">
        <v>264</v>
      </c>
      <c r="D74" t="s">
        <v>464</v>
      </c>
      <c r="E74">
        <v>1</v>
      </c>
      <c r="F74" s="5">
        <f t="shared" si="10"/>
        <v>0.52444425502910774</v>
      </c>
      <c r="G74" s="5">
        <f t="shared" si="11"/>
        <v>2.7753589976140383</v>
      </c>
      <c r="H74" s="4">
        <f t="shared" si="12"/>
        <v>0</v>
      </c>
      <c r="I74" s="4">
        <f t="shared" si="13"/>
        <v>0</v>
      </c>
      <c r="J74" s="4">
        <f t="shared" si="14"/>
        <v>0</v>
      </c>
      <c r="K74" s="4">
        <f t="shared" si="15"/>
        <v>0</v>
      </c>
      <c r="L74" s="4">
        <f t="shared" si="16"/>
        <v>0</v>
      </c>
      <c r="M74" s="4">
        <f t="shared" si="17"/>
        <v>0.19719272601642343</v>
      </c>
      <c r="N74" s="42">
        <f t="shared" si="18"/>
        <v>1</v>
      </c>
      <c r="O74" s="29">
        <f t="shared" si="8"/>
        <v>0.3603137471079218</v>
      </c>
      <c r="P74" s="29">
        <f t="shared" si="9"/>
        <v>0.3603137471079218</v>
      </c>
    </row>
    <row r="75" spans="2:16" x14ac:dyDescent="0.2">
      <c r="B75" t="s">
        <v>487</v>
      </c>
      <c r="C75" t="s">
        <v>264</v>
      </c>
      <c r="D75" t="s">
        <v>464</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606</v>
      </c>
      <c r="C76" t="s">
        <v>563</v>
      </c>
      <c r="D76" t="s">
        <v>616</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845</v>
      </c>
      <c r="C77" t="s">
        <v>567</v>
      </c>
      <c r="D77" t="s">
        <v>840</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856</v>
      </c>
      <c r="C78" t="s">
        <v>567</v>
      </c>
      <c r="D78" t="s">
        <v>840</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0.14481886526292959</v>
      </c>
      <c r="N78" s="42">
        <f t="shared" si="18"/>
        <v>1</v>
      </c>
      <c r="O78" s="29">
        <f t="shared" si="19"/>
        <v>0.46191200404200816</v>
      </c>
      <c r="P78" s="29">
        <f t="shared" si="9"/>
        <v>0.46100839361298379</v>
      </c>
    </row>
    <row r="79" spans="2:16" x14ac:dyDescent="0.2">
      <c r="B79" t="s">
        <v>848</v>
      </c>
      <c r="C79" t="s">
        <v>567</v>
      </c>
      <c r="D79" t="s">
        <v>840</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861</v>
      </c>
      <c r="C80" t="s">
        <v>567</v>
      </c>
      <c r="D80" t="s">
        <v>840</v>
      </c>
      <c r="E80">
        <v>1</v>
      </c>
      <c r="F80" s="5">
        <f t="shared" si="10"/>
        <v>0.32196319018404901</v>
      </c>
      <c r="G80" s="5">
        <f t="shared" si="11"/>
        <v>6.1173006134969317</v>
      </c>
      <c r="H80" s="4">
        <f t="shared" si="12"/>
        <v>0</v>
      </c>
      <c r="I80" s="4">
        <f t="shared" si="13"/>
        <v>7.4399999999999994E-2</v>
      </c>
      <c r="J80" s="4">
        <f t="shared" si="14"/>
        <v>0</v>
      </c>
      <c r="K80" s="4">
        <f t="shared" si="15"/>
        <v>9.0739200000000009E-3</v>
      </c>
      <c r="L80" s="4">
        <f t="shared" si="16"/>
        <v>0.10706611199999999</v>
      </c>
      <c r="M80" s="4">
        <f t="shared" si="17"/>
        <v>7.8303022067576222E-2</v>
      </c>
      <c r="N80" s="42">
        <f t="shared" si="18"/>
        <v>1</v>
      </c>
      <c r="O80" s="29">
        <f t="shared" si="19"/>
        <v>0.16347079589216948</v>
      </c>
      <c r="P80" s="29">
        <f t="shared" si="9"/>
        <v>0.1606589142480456</v>
      </c>
    </row>
    <row r="81" spans="2:17" x14ac:dyDescent="0.2">
      <c r="B81" t="s">
        <v>479</v>
      </c>
      <c r="C81" t="s">
        <v>567</v>
      </c>
      <c r="D81" t="s">
        <v>840</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874</v>
      </c>
      <c r="C82" t="s">
        <v>567</v>
      </c>
      <c r="D82" t="s">
        <v>840</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879</v>
      </c>
      <c r="C83" t="s">
        <v>567</v>
      </c>
      <c r="D83" t="s">
        <v>840</v>
      </c>
      <c r="E83">
        <v>1</v>
      </c>
      <c r="F83" s="5">
        <f>F55/N55</f>
        <v>7.2499575572432695E-2</v>
      </c>
      <c r="G83" s="5">
        <f>G55/N55</f>
        <v>1.7399898137383847</v>
      </c>
      <c r="H83" s="4">
        <f>H55/N55</f>
        <v>0</v>
      </c>
      <c r="I83" s="4">
        <f>I55/N55</f>
        <v>3.3000000000000002E-2</v>
      </c>
      <c r="J83" s="4">
        <f>J55/N55</f>
        <v>0</v>
      </c>
      <c r="K83" s="4">
        <f>K55/N55</f>
        <v>2.3046199999999998E-3</v>
      </c>
      <c r="L83" s="4">
        <f>L55/N55</f>
        <v>4.1296632000000007E-2</v>
      </c>
      <c r="M83" s="4">
        <f t="shared" si="17"/>
        <v>6.1198277498930115E-2</v>
      </c>
      <c r="N83" s="42">
        <f t="shared" si="18"/>
        <v>1</v>
      </c>
      <c r="O83" s="29">
        <f t="shared" si="19"/>
        <v>0.57471600816529522</v>
      </c>
      <c r="P83" s="29">
        <f>N83/SUM(G83,L83)</f>
        <v>0.5613920222614599</v>
      </c>
    </row>
    <row r="84" spans="2:17" ht="16" x14ac:dyDescent="0.2">
      <c r="B84" s="2" t="s">
        <v>881</v>
      </c>
      <c r="C84" t="s">
        <v>567</v>
      </c>
      <c r="D84" t="s">
        <v>840</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884</v>
      </c>
      <c r="C85" t="s">
        <v>567</v>
      </c>
      <c r="D85" t="s">
        <v>840</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475</v>
      </c>
    </row>
    <row r="89" spans="2:17" x14ac:dyDescent="0.2">
      <c r="B89" t="s">
        <v>1</v>
      </c>
      <c r="C89" t="s">
        <v>454</v>
      </c>
      <c r="D89" t="s">
        <v>455</v>
      </c>
      <c r="E89" t="s">
        <v>456</v>
      </c>
      <c r="F89" t="s">
        <v>488</v>
      </c>
      <c r="G89" t="s">
        <v>488</v>
      </c>
      <c r="H89" t="s">
        <v>457</v>
      </c>
      <c r="I89" t="s">
        <v>466</v>
      </c>
      <c r="J89" t="s">
        <v>491</v>
      </c>
      <c r="K89" t="s">
        <v>247</v>
      </c>
      <c r="L89" t="s">
        <v>467</v>
      </c>
      <c r="M89" t="s">
        <v>423</v>
      </c>
      <c r="N89" t="s">
        <v>489</v>
      </c>
      <c r="O89" t="s">
        <v>546</v>
      </c>
      <c r="P89" t="s">
        <v>493</v>
      </c>
    </row>
    <row r="90" spans="2:17" x14ac:dyDescent="0.2">
      <c r="B90" t="s">
        <v>7</v>
      </c>
      <c r="E90" t="s">
        <v>8</v>
      </c>
      <c r="F90" t="s">
        <v>107</v>
      </c>
      <c r="G90" t="s">
        <v>458</v>
      </c>
      <c r="H90" t="s">
        <v>458</v>
      </c>
      <c r="I90" t="s">
        <v>458</v>
      </c>
      <c r="J90" t="s">
        <v>458</v>
      </c>
      <c r="K90" t="s">
        <v>248</v>
      </c>
      <c r="L90" t="s">
        <v>458</v>
      </c>
      <c r="M90" t="s">
        <v>107</v>
      </c>
      <c r="N90" t="s">
        <v>458</v>
      </c>
      <c r="O90" t="s">
        <v>471</v>
      </c>
      <c r="P90" t="s">
        <v>471</v>
      </c>
    </row>
    <row r="91" spans="2:17" x14ac:dyDescent="0.2">
      <c r="B91" t="s">
        <v>476</v>
      </c>
      <c r="C91" t="s">
        <v>1033</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477</v>
      </c>
      <c r="C92" t="s">
        <v>1033</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478</v>
      </c>
      <c r="C93" t="s">
        <v>1033</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479</v>
      </c>
      <c r="C94" t="s">
        <v>1033</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480</v>
      </c>
      <c r="C95" t="s">
        <v>1033</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481</v>
      </c>
      <c r="C96" t="s">
        <v>1033</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482</v>
      </c>
      <c r="C97" t="s">
        <v>1033</v>
      </c>
      <c r="D97" t="s">
        <v>21</v>
      </c>
      <c r="E97">
        <v>1</v>
      </c>
      <c r="F97" s="42">
        <f>GREET!B1515</f>
        <v>11.057877270651369</v>
      </c>
      <c r="G97" s="43">
        <f>F97*S12</f>
        <v>36.113536771671306</v>
      </c>
      <c r="H97" s="5">
        <f>GREET!B1516</f>
        <v>7.4900076970727938E-2</v>
      </c>
      <c r="I97" s="5"/>
      <c r="J97" s="5"/>
      <c r="K97" s="5"/>
      <c r="L97" s="5">
        <f t="shared" si="23"/>
        <v>7.4900076970727938E-2</v>
      </c>
      <c r="M97" s="5">
        <f>GREET!B1518</f>
        <v>2.9514659990866026</v>
      </c>
      <c r="N97">
        <v>29.7</v>
      </c>
      <c r="O97" s="29">
        <f t="shared" si="20"/>
        <v>0.82240629567186829</v>
      </c>
      <c r="P97" s="29">
        <f t="shared" si="21"/>
        <v>0.82070414160799787</v>
      </c>
      <c r="Q97" s="43"/>
    </row>
    <row r="98" spans="2:17" x14ac:dyDescent="0.2">
      <c r="B98" t="s">
        <v>483</v>
      </c>
      <c r="C98" t="s">
        <v>1033</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484</v>
      </c>
      <c r="C99" t="s">
        <v>1033</v>
      </c>
      <c r="D99" t="s">
        <v>21</v>
      </c>
      <c r="E99">
        <v>1</v>
      </c>
      <c r="F99" s="42">
        <f>GREET!B2027</f>
        <v>34.290297328911272</v>
      </c>
      <c r="G99" s="43">
        <f>F99*S14</f>
        <v>145.97102627166711</v>
      </c>
      <c r="H99" s="5"/>
      <c r="I99" s="5"/>
      <c r="J99" s="5"/>
      <c r="K99" s="5"/>
      <c r="L99" s="5">
        <f t="shared" si="23"/>
        <v>0</v>
      </c>
      <c r="M99" s="5">
        <f>GREET!B2029</f>
        <v>12.871976208226542</v>
      </c>
      <c r="N99">
        <v>29.7</v>
      </c>
      <c r="O99" s="29">
        <f t="shared" si="20"/>
        <v>0.20346503520996859</v>
      </c>
      <c r="P99" s="29">
        <f t="shared" si="21"/>
        <v>0.20346503520996859</v>
      </c>
      <c r="Q99" s="43"/>
    </row>
    <row r="100" spans="2:17" x14ac:dyDescent="0.2">
      <c r="B100" t="s">
        <v>485</v>
      </c>
      <c r="C100" t="s">
        <v>1033</v>
      </c>
      <c r="D100" t="s">
        <v>21</v>
      </c>
      <c r="E100">
        <v>1</v>
      </c>
      <c r="F100" s="42">
        <f>GREET!B2188</f>
        <v>18.192310236349986</v>
      </c>
      <c r="G100" s="43">
        <f>F100*S15</f>
        <v>74.677366967142746</v>
      </c>
      <c r="H100" s="5"/>
      <c r="I100" s="5"/>
      <c r="J100" s="5"/>
      <c r="K100" s="5"/>
      <c r="L100" s="5">
        <f t="shared" si="23"/>
        <v>0</v>
      </c>
      <c r="M100" s="5">
        <f>GREET!B2193</f>
        <v>5.6503625962743245</v>
      </c>
      <c r="N100">
        <v>29.7</v>
      </c>
      <c r="O100" s="29">
        <f t="shared" si="20"/>
        <v>0.39771086215543305</v>
      </c>
      <c r="P100" s="29">
        <f t="shared" si="21"/>
        <v>0.39771086215543305</v>
      </c>
      <c r="Q100" s="43"/>
    </row>
    <row r="101" spans="2:17" x14ac:dyDescent="0.2">
      <c r="B101" t="s">
        <v>486</v>
      </c>
      <c r="C101" t="s">
        <v>1033</v>
      </c>
      <c r="D101" t="s">
        <v>1024</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557</v>
      </c>
      <c r="C102" t="s">
        <v>1033</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482</v>
      </c>
      <c r="C103" t="s">
        <v>264</v>
      </c>
      <c r="D103" t="s">
        <v>464</v>
      </c>
      <c r="E103">
        <v>1</v>
      </c>
      <c r="F103" s="42">
        <f>'Pereira et al. 2019'!B96</f>
        <v>16.407888792403554</v>
      </c>
      <c r="G103" s="43">
        <f>F103*S17</f>
        <v>86.830547489399621</v>
      </c>
      <c r="H103" s="5">
        <f>'Pereira et al. 2019'!B74</f>
        <v>8.1699999999999995E-2</v>
      </c>
      <c r="I103" s="5"/>
      <c r="J103" s="5"/>
      <c r="K103" s="5"/>
      <c r="L103" s="5">
        <f t="shared" si="23"/>
        <v>8.1699999999999995E-2</v>
      </c>
      <c r="M103" s="5">
        <f>'Pereira et al. 2019'!B102</f>
        <v>6.2716432894717986</v>
      </c>
      <c r="N103">
        <v>29.7</v>
      </c>
      <c r="O103" s="29">
        <f t="shared" si="20"/>
        <v>0.34204552267306398</v>
      </c>
      <c r="P103" s="29">
        <f t="shared" si="21"/>
        <v>0.34172399009267829</v>
      </c>
      <c r="Q103" s="43"/>
    </row>
    <row r="104" spans="2:17" x14ac:dyDescent="0.2">
      <c r="B104" t="s">
        <v>487</v>
      </c>
      <c r="C104" t="s">
        <v>264</v>
      </c>
      <c r="D104" t="s">
        <v>464</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494</v>
      </c>
    </row>
    <row r="107" spans="2:17" x14ac:dyDescent="0.2">
      <c r="B107" t="s">
        <v>1</v>
      </c>
      <c r="C107" t="s">
        <v>454</v>
      </c>
      <c r="D107" t="s">
        <v>455</v>
      </c>
      <c r="E107" t="s">
        <v>456</v>
      </c>
      <c r="F107" t="s">
        <v>488</v>
      </c>
      <c r="G107" t="s">
        <v>488</v>
      </c>
      <c r="H107" t="s">
        <v>457</v>
      </c>
      <c r="I107" t="s">
        <v>466</v>
      </c>
      <c r="J107" t="s">
        <v>491</v>
      </c>
      <c r="K107" t="s">
        <v>247</v>
      </c>
      <c r="L107" t="s">
        <v>467</v>
      </c>
      <c r="M107" t="s">
        <v>423</v>
      </c>
      <c r="N107" t="s">
        <v>489</v>
      </c>
      <c r="O107" t="s">
        <v>492</v>
      </c>
      <c r="P107" t="s">
        <v>493</v>
      </c>
    </row>
    <row r="108" spans="2:17" x14ac:dyDescent="0.2">
      <c r="B108" t="s">
        <v>7</v>
      </c>
      <c r="E108" t="s">
        <v>19</v>
      </c>
      <c r="F108" t="s">
        <v>107</v>
      </c>
      <c r="G108" t="s">
        <v>458</v>
      </c>
      <c r="H108" t="s">
        <v>458</v>
      </c>
      <c r="I108" t="s">
        <v>458</v>
      </c>
      <c r="J108" t="s">
        <v>458</v>
      </c>
      <c r="K108" t="s">
        <v>248</v>
      </c>
      <c r="L108" t="s">
        <v>458</v>
      </c>
      <c r="M108" t="s">
        <v>8</v>
      </c>
      <c r="N108" t="s">
        <v>458</v>
      </c>
      <c r="O108" t="s">
        <v>471</v>
      </c>
      <c r="P108" t="s">
        <v>471</v>
      </c>
    </row>
    <row r="109" spans="2:17" x14ac:dyDescent="0.2">
      <c r="B109" t="s">
        <v>476</v>
      </c>
      <c r="C109" t="s">
        <v>1033</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477</v>
      </c>
      <c r="C110" t="s">
        <v>1033</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478</v>
      </c>
      <c r="C111" t="s">
        <v>1033</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479</v>
      </c>
      <c r="C112" t="s">
        <v>1033</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480</v>
      </c>
      <c r="C113" t="s">
        <v>1033</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481</v>
      </c>
      <c r="C114" t="s">
        <v>1033</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482</v>
      </c>
      <c r="C115" t="s">
        <v>1033</v>
      </c>
      <c r="D115" t="s">
        <v>21</v>
      </c>
      <c r="E115">
        <v>1</v>
      </c>
      <c r="F115" s="5">
        <f t="shared" si="24"/>
        <v>0.37231910002193164</v>
      </c>
      <c r="G115" s="5">
        <f t="shared" si="28"/>
        <v>1.215943999046172</v>
      </c>
      <c r="H115" s="4">
        <f t="shared" si="28"/>
        <v>2.5218881134925234E-3</v>
      </c>
      <c r="I115" s="4">
        <f t="shared" si="28"/>
        <v>0</v>
      </c>
      <c r="J115" s="4">
        <f t="shared" si="28"/>
        <v>0</v>
      </c>
      <c r="K115" s="4">
        <f t="shared" si="28"/>
        <v>0</v>
      </c>
      <c r="L115" s="4">
        <f t="shared" si="28"/>
        <v>2.5218881134925234E-3</v>
      </c>
      <c r="M115" s="4">
        <f t="shared" si="28"/>
        <v>9.9375959565205479E-2</v>
      </c>
      <c r="N115" s="42">
        <f t="shared" si="28"/>
        <v>1</v>
      </c>
      <c r="O115" s="29">
        <f t="shared" si="26"/>
        <v>0.82240629567186818</v>
      </c>
      <c r="P115" s="29">
        <f t="shared" si="27"/>
        <v>0.82070414160799776</v>
      </c>
    </row>
    <row r="116" spans="2:23" x14ac:dyDescent="0.2">
      <c r="B116" t="s">
        <v>483</v>
      </c>
      <c r="C116" t="s">
        <v>1033</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484</v>
      </c>
      <c r="C117" t="s">
        <v>1033</v>
      </c>
      <c r="D117" t="s">
        <v>21</v>
      </c>
      <c r="E117">
        <v>1</v>
      </c>
      <c r="F117" s="5">
        <f t="shared" si="24"/>
        <v>1.1545554656199082</v>
      </c>
      <c r="G117" s="5">
        <f t="shared" si="28"/>
        <v>4.9148493694164008</v>
      </c>
      <c r="H117" s="4">
        <f t="shared" si="28"/>
        <v>0</v>
      </c>
      <c r="I117" s="4">
        <f t="shared" si="28"/>
        <v>0</v>
      </c>
      <c r="J117" s="4">
        <f t="shared" si="28"/>
        <v>0</v>
      </c>
      <c r="K117" s="4">
        <f t="shared" si="28"/>
        <v>0</v>
      </c>
      <c r="L117" s="4">
        <f t="shared" si="28"/>
        <v>0</v>
      </c>
      <c r="M117" s="4">
        <f t="shared" si="28"/>
        <v>0.43339987233086003</v>
      </c>
      <c r="N117" s="42">
        <f t="shared" si="28"/>
        <v>1</v>
      </c>
      <c r="O117" s="29">
        <f t="shared" si="26"/>
        <v>0.20346503520996861</v>
      </c>
      <c r="P117" s="29">
        <f t="shared" si="27"/>
        <v>0.20346503520996861</v>
      </c>
    </row>
    <row r="118" spans="2:23" x14ac:dyDescent="0.2">
      <c r="B118" t="s">
        <v>485</v>
      </c>
      <c r="C118" t="s">
        <v>1033</v>
      </c>
      <c r="D118" t="s">
        <v>21</v>
      </c>
      <c r="E118">
        <v>1</v>
      </c>
      <c r="F118" s="5">
        <f t="shared" si="24"/>
        <v>0.61253569819360221</v>
      </c>
      <c r="G118" s="5">
        <f t="shared" si="28"/>
        <v>2.5143894601731565</v>
      </c>
      <c r="H118" s="4">
        <f t="shared" si="28"/>
        <v>0</v>
      </c>
      <c r="I118" s="4">
        <f t="shared" si="28"/>
        <v>0</v>
      </c>
      <c r="J118" s="4">
        <f t="shared" si="28"/>
        <v>0</v>
      </c>
      <c r="K118" s="4">
        <f t="shared" si="28"/>
        <v>0</v>
      </c>
      <c r="L118" s="4">
        <f t="shared" si="28"/>
        <v>0</v>
      </c>
      <c r="M118" s="4">
        <f t="shared" si="28"/>
        <v>0.19024789886445537</v>
      </c>
      <c r="N118" s="42">
        <f t="shared" si="28"/>
        <v>1</v>
      </c>
      <c r="O118" s="29">
        <f t="shared" si="26"/>
        <v>0.39771086215543305</v>
      </c>
      <c r="P118" s="29">
        <f t="shared" si="27"/>
        <v>0.39771086215543305</v>
      </c>
    </row>
    <row r="119" spans="2:23" x14ac:dyDescent="0.2">
      <c r="B119" t="s">
        <v>486</v>
      </c>
      <c r="C119" t="s">
        <v>1033</v>
      </c>
      <c r="D119" t="s">
        <v>1024</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557</v>
      </c>
      <c r="C120" t="s">
        <v>1033</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482</v>
      </c>
      <c r="C121" t="s">
        <v>264</v>
      </c>
      <c r="D121" t="s">
        <v>464</v>
      </c>
      <c r="E121">
        <v>1</v>
      </c>
      <c r="F121" s="5">
        <f t="shared" si="24"/>
        <v>0.55245416809439574</v>
      </c>
      <c r="G121" s="5">
        <f t="shared" ref="G121:M122" si="31">G103/29.7</f>
        <v>2.9235874575555427</v>
      </c>
      <c r="H121" s="4">
        <f t="shared" si="31"/>
        <v>2.7508417508417507E-3</v>
      </c>
      <c r="I121" s="4">
        <f t="shared" si="31"/>
        <v>0</v>
      </c>
      <c r="J121" s="4">
        <f t="shared" si="31"/>
        <v>0</v>
      </c>
      <c r="K121" s="4">
        <f t="shared" si="31"/>
        <v>0</v>
      </c>
      <c r="L121" s="4">
        <f t="shared" si="31"/>
        <v>2.7508417508417507E-3</v>
      </c>
      <c r="M121" s="4">
        <f t="shared" si="31"/>
        <v>0.21116644072295618</v>
      </c>
      <c r="N121" s="42">
        <f>N103/29.7</f>
        <v>1</v>
      </c>
      <c r="O121" s="29">
        <f t="shared" si="26"/>
        <v>0.34204552267306404</v>
      </c>
      <c r="P121" s="29">
        <f t="shared" si="27"/>
        <v>0.34172399009267829</v>
      </c>
    </row>
    <row r="122" spans="2:23" x14ac:dyDescent="0.2">
      <c r="B122" t="s">
        <v>487</v>
      </c>
      <c r="C122" t="s">
        <v>264</v>
      </c>
      <c r="D122" t="s">
        <v>464</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537</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475</v>
      </c>
    </row>
    <row r="127" spans="2:23" x14ac:dyDescent="0.2">
      <c r="B127" t="s">
        <v>1</v>
      </c>
      <c r="C127" t="s">
        <v>454</v>
      </c>
      <c r="D127" t="s">
        <v>455</v>
      </c>
      <c r="E127" t="s">
        <v>456</v>
      </c>
      <c r="F127" t="s">
        <v>488</v>
      </c>
      <c r="G127" t="s">
        <v>488</v>
      </c>
      <c r="H127" t="s">
        <v>457</v>
      </c>
      <c r="I127" t="s">
        <v>466</v>
      </c>
      <c r="J127" t="s">
        <v>491</v>
      </c>
      <c r="K127" t="s">
        <v>247</v>
      </c>
      <c r="L127" t="s">
        <v>467</v>
      </c>
      <c r="M127" t="s">
        <v>423</v>
      </c>
      <c r="N127" t="s">
        <v>489</v>
      </c>
      <c r="O127" t="s">
        <v>492</v>
      </c>
      <c r="P127" t="s">
        <v>493</v>
      </c>
      <c r="Q127" t="s">
        <v>538</v>
      </c>
      <c r="R127" t="s">
        <v>539</v>
      </c>
      <c r="S127" t="s">
        <v>540</v>
      </c>
      <c r="T127" t="s">
        <v>541</v>
      </c>
      <c r="U127" t="s">
        <v>542</v>
      </c>
      <c r="V127" t="s">
        <v>550</v>
      </c>
      <c r="W127" t="s">
        <v>558</v>
      </c>
    </row>
    <row r="128" spans="2:23" x14ac:dyDescent="0.2">
      <c r="B128" t="s">
        <v>7</v>
      </c>
      <c r="E128" t="s">
        <v>8</v>
      </c>
      <c r="F128" t="s">
        <v>107</v>
      </c>
      <c r="G128" t="s">
        <v>458</v>
      </c>
      <c r="H128" t="s">
        <v>458</v>
      </c>
      <c r="I128" t="s">
        <v>458</v>
      </c>
      <c r="J128" t="s">
        <v>458</v>
      </c>
      <c r="K128" t="s">
        <v>248</v>
      </c>
      <c r="L128" t="s">
        <v>458</v>
      </c>
      <c r="M128" s="5"/>
      <c r="N128" t="s">
        <v>458</v>
      </c>
      <c r="O128" t="s">
        <v>471</v>
      </c>
      <c r="P128" t="s">
        <v>471</v>
      </c>
      <c r="Q128" t="s">
        <v>248</v>
      </c>
      <c r="R128" t="s">
        <v>107</v>
      </c>
      <c r="S128" t="s">
        <v>107</v>
      </c>
      <c r="T128" t="s">
        <v>107</v>
      </c>
      <c r="U128" t="s">
        <v>107</v>
      </c>
      <c r="V128" t="s">
        <v>107</v>
      </c>
    </row>
    <row r="129" spans="2:23" x14ac:dyDescent="0.2">
      <c r="B129" t="s">
        <v>476</v>
      </c>
      <c r="C129" t="s">
        <v>1033</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477</v>
      </c>
      <c r="C130" t="s">
        <v>1033</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478</v>
      </c>
      <c r="C131" t="s">
        <v>1033</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479</v>
      </c>
      <c r="C132" t="s">
        <v>1033</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480</v>
      </c>
      <c r="C133" t="s">
        <v>1033</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481</v>
      </c>
      <c r="C134" t="s">
        <v>1033</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482</v>
      </c>
      <c r="C135" t="s">
        <v>1033</v>
      </c>
      <c r="D135" t="s">
        <v>21</v>
      </c>
      <c r="E135">
        <v>1</v>
      </c>
      <c r="F135" s="42">
        <f>GREET!B1551</f>
        <v>15.64744160965482</v>
      </c>
      <c r="G135" s="43">
        <f>F135*S12</f>
        <v>51.102435315739619</v>
      </c>
      <c r="H135" s="5">
        <f>GREET!B1552</f>
        <v>0.10598730228890306</v>
      </c>
      <c r="I135" s="5"/>
      <c r="J135" s="5"/>
      <c r="K135" s="5"/>
      <c r="L135" s="5">
        <f t="shared" si="35"/>
        <v>0.10598730228890306</v>
      </c>
      <c r="M135" s="5">
        <f>GREET!B1554</f>
        <v>4.9708743082481206</v>
      </c>
      <c r="N135">
        <v>29.7</v>
      </c>
      <c r="O135" s="29">
        <f t="shared" si="32"/>
        <v>0.5811856091886165</v>
      </c>
      <c r="P135" s="29">
        <f t="shared" si="33"/>
        <v>0.57998271537354029</v>
      </c>
      <c r="Q135" s="5">
        <f>GREET!B1556</f>
        <v>-0.97410752972258918</v>
      </c>
      <c r="R135" s="5"/>
      <c r="S135" s="5"/>
      <c r="T135" s="5"/>
      <c r="U135" s="5"/>
    </row>
    <row r="136" spans="2:23" x14ac:dyDescent="0.2">
      <c r="B136" t="s">
        <v>483</v>
      </c>
      <c r="C136" t="s">
        <v>1033</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484</v>
      </c>
      <c r="C137" t="s">
        <v>1033</v>
      </c>
      <c r="D137" t="s">
        <v>21</v>
      </c>
      <c r="E137">
        <v>1</v>
      </c>
      <c r="F137" s="42">
        <f>GREET!B2061</f>
        <v>34.990099315215588</v>
      </c>
      <c r="G137" s="43">
        <f>F137*S14</f>
        <v>148.9500268078236</v>
      </c>
      <c r="H137" s="5"/>
      <c r="I137" s="5"/>
      <c r="J137" s="5"/>
      <c r="K137" s="5"/>
      <c r="L137" s="5">
        <f t="shared" si="35"/>
        <v>0</v>
      </c>
      <c r="M137" s="5">
        <f>GREET!B2063</f>
        <v>13.173730824720963</v>
      </c>
      <c r="N137">
        <v>29.7</v>
      </c>
      <c r="O137" s="29">
        <f t="shared" si="32"/>
        <v>0.1993957345057692</v>
      </c>
      <c r="P137" s="29">
        <f t="shared" si="33"/>
        <v>0.1993957345057692</v>
      </c>
      <c r="Q137" s="5">
        <f>GREET!B2065</f>
        <v>-2.8328956406869219</v>
      </c>
      <c r="R137" s="5"/>
      <c r="S137" s="5">
        <f>GREET!B2066</f>
        <v>-1.0295355614266841E-2</v>
      </c>
      <c r="T137" s="5">
        <f>GREET!B2067</f>
        <v>-2.5585487714663145E-2</v>
      </c>
      <c r="U137" s="5">
        <f>GREET!B2068</f>
        <v>0</v>
      </c>
    </row>
    <row r="138" spans="2:23" x14ac:dyDescent="0.2">
      <c r="B138" t="s">
        <v>485</v>
      </c>
      <c r="C138" t="s">
        <v>1033</v>
      </c>
      <c r="D138" t="s">
        <v>21</v>
      </c>
      <c r="E138">
        <v>1</v>
      </c>
      <c r="F138" s="42">
        <f>GREET!B2228</f>
        <v>19.45701629556148</v>
      </c>
      <c r="G138" s="43">
        <f>F138*S15</f>
        <v>79.868841676088493</v>
      </c>
      <c r="H138" s="5"/>
      <c r="I138" s="5"/>
      <c r="J138" s="5"/>
      <c r="K138" s="5"/>
      <c r="L138" s="5">
        <f t="shared" si="35"/>
        <v>0</v>
      </c>
      <c r="M138" s="5">
        <f>GREET!B2233</f>
        <v>6.1762273756944648</v>
      </c>
      <c r="N138">
        <v>29.7</v>
      </c>
      <c r="O138" s="29">
        <f t="shared" si="32"/>
        <v>0.37185965611532995</v>
      </c>
      <c r="P138" s="29">
        <f t="shared" si="33"/>
        <v>0.37185965611532995</v>
      </c>
      <c r="Q138" s="5">
        <f>GREET!B2235</f>
        <v>-0.51905151915455749</v>
      </c>
      <c r="R138" s="5"/>
      <c r="S138" s="5"/>
      <c r="T138" s="5"/>
      <c r="U138" s="5"/>
    </row>
    <row r="139" spans="2:23" x14ac:dyDescent="0.2">
      <c r="B139" t="s">
        <v>486</v>
      </c>
      <c r="C139" t="s">
        <v>1033</v>
      </c>
      <c r="D139" t="s">
        <v>1024</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557</v>
      </c>
      <c r="C140" t="s">
        <v>1033</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482</v>
      </c>
      <c r="C141" t="s">
        <v>264</v>
      </c>
      <c r="D141" t="s">
        <v>464</v>
      </c>
      <c r="E141">
        <v>1</v>
      </c>
      <c r="F141" s="42">
        <f>'Pereira et al. 2019'!B138</f>
        <v>14.875905198831346</v>
      </c>
      <c r="G141" s="43">
        <f>F141*S17</f>
        <v>78.723290312215497</v>
      </c>
      <c r="H141" s="5"/>
      <c r="I141" s="5"/>
      <c r="J141" s="5"/>
      <c r="K141" s="5"/>
      <c r="L141" s="5">
        <f t="shared" si="35"/>
        <v>0</v>
      </c>
      <c r="M141" s="5">
        <f>'Pereira et al. 2019'!B144</f>
        <v>5.5073602436169855</v>
      </c>
      <c r="N141">
        <v>29.7</v>
      </c>
      <c r="O141" s="29">
        <f t="shared" si="32"/>
        <v>0.37727081632653059</v>
      </c>
      <c r="P141" s="29">
        <f t="shared" si="33"/>
        <v>0.37727081632653059</v>
      </c>
      <c r="Q141" s="5">
        <f>'Pereira et al. 2019'!B145</f>
        <v>-0.38826112568949817</v>
      </c>
      <c r="R141" s="5"/>
      <c r="S141" s="5"/>
      <c r="T141" s="5"/>
      <c r="U141" s="5"/>
    </row>
    <row r="142" spans="2:23" x14ac:dyDescent="0.2">
      <c r="B142" t="s">
        <v>487</v>
      </c>
      <c r="C142" t="s">
        <v>264</v>
      </c>
      <c r="D142" t="s">
        <v>464</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494</v>
      </c>
    </row>
    <row r="145" spans="2:23" x14ac:dyDescent="0.2">
      <c r="B145" t="s">
        <v>1</v>
      </c>
      <c r="C145" t="s">
        <v>454</v>
      </c>
      <c r="D145" t="s">
        <v>455</v>
      </c>
      <c r="E145" t="s">
        <v>456</v>
      </c>
      <c r="F145" t="s">
        <v>488</v>
      </c>
      <c r="G145" t="s">
        <v>488</v>
      </c>
      <c r="H145" t="s">
        <v>457</v>
      </c>
      <c r="I145" t="s">
        <v>466</v>
      </c>
      <c r="J145" t="s">
        <v>491</v>
      </c>
      <c r="K145" t="s">
        <v>247</v>
      </c>
      <c r="L145" t="s">
        <v>467</v>
      </c>
      <c r="M145" t="s">
        <v>423</v>
      </c>
      <c r="N145" t="s">
        <v>489</v>
      </c>
      <c r="O145" t="s">
        <v>492</v>
      </c>
      <c r="P145" t="s">
        <v>493</v>
      </c>
      <c r="Q145" t="s">
        <v>538</v>
      </c>
      <c r="R145" t="s">
        <v>539</v>
      </c>
      <c r="S145" t="s">
        <v>540</v>
      </c>
      <c r="T145" t="s">
        <v>541</v>
      </c>
      <c r="U145" t="s">
        <v>542</v>
      </c>
      <c r="V145" t="s">
        <v>550</v>
      </c>
      <c r="W145" t="s">
        <v>558</v>
      </c>
    </row>
    <row r="146" spans="2:23" x14ac:dyDescent="0.2">
      <c r="B146" t="s">
        <v>7</v>
      </c>
      <c r="E146" t="s">
        <v>19</v>
      </c>
      <c r="F146" t="s">
        <v>107</v>
      </c>
      <c r="G146" t="s">
        <v>458</v>
      </c>
      <c r="H146" t="s">
        <v>458</v>
      </c>
      <c r="I146" t="s">
        <v>458</v>
      </c>
      <c r="J146" t="s">
        <v>458</v>
      </c>
      <c r="K146" t="s">
        <v>248</v>
      </c>
      <c r="L146" t="s">
        <v>458</v>
      </c>
      <c r="M146" t="s">
        <v>8</v>
      </c>
      <c r="N146" t="s">
        <v>458</v>
      </c>
      <c r="O146" t="s">
        <v>471</v>
      </c>
      <c r="P146" t="s">
        <v>471</v>
      </c>
      <c r="Q146" t="s">
        <v>248</v>
      </c>
      <c r="R146" t="s">
        <v>107</v>
      </c>
      <c r="S146" t="s">
        <v>107</v>
      </c>
      <c r="T146" t="s">
        <v>107</v>
      </c>
      <c r="U146" t="s">
        <v>107</v>
      </c>
    </row>
    <row r="147" spans="2:23" x14ac:dyDescent="0.2">
      <c r="B147" t="s">
        <v>476</v>
      </c>
      <c r="C147" t="s">
        <v>1033</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477</v>
      </c>
      <c r="C148" t="s">
        <v>1033</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478</v>
      </c>
      <c r="C149" t="s">
        <v>1033</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479</v>
      </c>
      <c r="C150" t="s">
        <v>1033</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480</v>
      </c>
      <c r="C151" t="s">
        <v>1033</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481</v>
      </c>
      <c r="C152" t="s">
        <v>1033</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482</v>
      </c>
      <c r="C153" t="s">
        <v>1033</v>
      </c>
      <c r="D153" t="s">
        <v>21</v>
      </c>
      <c r="E153">
        <v>1</v>
      </c>
      <c r="F153" s="5">
        <f t="shared" ref="F153:N153" si="45">F135/29.7</f>
        <v>0.52684988584696368</v>
      </c>
      <c r="G153" s="5">
        <f t="shared" si="45"/>
        <v>1.7206207177016708</v>
      </c>
      <c r="H153" s="4">
        <f t="shared" si="45"/>
        <v>3.5685960366634026E-3</v>
      </c>
      <c r="I153" s="4">
        <f t="shared" si="45"/>
        <v>0</v>
      </c>
      <c r="J153" s="4">
        <f t="shared" si="45"/>
        <v>0</v>
      </c>
      <c r="K153" s="4">
        <f t="shared" si="45"/>
        <v>0</v>
      </c>
      <c r="L153" s="4">
        <f t="shared" si="45"/>
        <v>3.5685960366634026E-3</v>
      </c>
      <c r="M153" s="4">
        <f t="shared" si="45"/>
        <v>0.16736950532821956</v>
      </c>
      <c r="N153" s="42">
        <f t="shared" si="45"/>
        <v>1</v>
      </c>
      <c r="O153" s="29">
        <f t="shared" si="37"/>
        <v>0.5811856091886165</v>
      </c>
      <c r="P153" s="29">
        <f t="shared" si="40"/>
        <v>0.57998271537354029</v>
      </c>
      <c r="Q153" s="4">
        <f t="shared" si="38"/>
        <v>-3.2798233323992905E-2</v>
      </c>
      <c r="R153" s="4">
        <f t="shared" si="38"/>
        <v>0</v>
      </c>
      <c r="S153" s="4">
        <f t="shared" si="38"/>
        <v>0</v>
      </c>
      <c r="T153" s="4">
        <f t="shared" si="38"/>
        <v>0</v>
      </c>
      <c r="U153" s="4">
        <f t="shared" si="38"/>
        <v>0</v>
      </c>
    </row>
    <row r="154" spans="2:23" x14ac:dyDescent="0.2">
      <c r="B154" t="s">
        <v>483</v>
      </c>
      <c r="C154" t="s">
        <v>1033</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484</v>
      </c>
      <c r="C155" t="s">
        <v>1033</v>
      </c>
      <c r="D155" t="s">
        <v>21</v>
      </c>
      <c r="E155">
        <v>1</v>
      </c>
      <c r="F155" s="5">
        <f t="shared" ref="F155:N155" si="47">F137/29.7</f>
        <v>1.178117822061131</v>
      </c>
      <c r="G155" s="5">
        <f t="shared" si="47"/>
        <v>5.015152417771839</v>
      </c>
      <c r="H155" s="4">
        <f t="shared" si="47"/>
        <v>0</v>
      </c>
      <c r="I155" s="4">
        <f t="shared" si="47"/>
        <v>0</v>
      </c>
      <c r="J155" s="4">
        <f t="shared" si="47"/>
        <v>0</v>
      </c>
      <c r="K155" s="4">
        <f t="shared" si="47"/>
        <v>0</v>
      </c>
      <c r="L155" s="4">
        <f t="shared" si="47"/>
        <v>0</v>
      </c>
      <c r="M155" s="4">
        <f t="shared" si="47"/>
        <v>0.44355996042831525</v>
      </c>
      <c r="N155" s="42">
        <f t="shared" si="47"/>
        <v>1</v>
      </c>
      <c r="O155" s="29">
        <f t="shared" si="37"/>
        <v>0.19939573450576917</v>
      </c>
      <c r="P155" s="29">
        <f t="shared" si="40"/>
        <v>0.19939573450576917</v>
      </c>
      <c r="Q155" s="4">
        <f t="shared" si="38"/>
        <v>-9.5383691605620269E-2</v>
      </c>
      <c r="R155" s="4">
        <f t="shared" si="38"/>
        <v>0</v>
      </c>
      <c r="S155" s="4">
        <f t="shared" si="38"/>
        <v>-3.4664497017733475E-4</v>
      </c>
      <c r="T155" s="4">
        <f t="shared" si="38"/>
        <v>-8.614642328169409E-4</v>
      </c>
      <c r="U155" s="4">
        <f t="shared" si="38"/>
        <v>0</v>
      </c>
    </row>
    <row r="156" spans="2:23" x14ac:dyDescent="0.2">
      <c r="B156" t="s">
        <v>485</v>
      </c>
      <c r="C156" t="s">
        <v>1033</v>
      </c>
      <c r="D156" t="s">
        <v>21</v>
      </c>
      <c r="E156">
        <v>1</v>
      </c>
      <c r="F156" s="5">
        <f t="shared" ref="F156:N156" si="48">F138/29.7</f>
        <v>0.65511839378994885</v>
      </c>
      <c r="G156" s="5">
        <f t="shared" si="48"/>
        <v>2.6891865884204882</v>
      </c>
      <c r="H156" s="4">
        <f t="shared" si="48"/>
        <v>0</v>
      </c>
      <c r="I156" s="4">
        <f t="shared" si="48"/>
        <v>0</v>
      </c>
      <c r="J156" s="4">
        <f t="shared" si="48"/>
        <v>0</v>
      </c>
      <c r="K156" s="4">
        <f t="shared" si="48"/>
        <v>0</v>
      </c>
      <c r="L156" s="4">
        <f t="shared" si="48"/>
        <v>0</v>
      </c>
      <c r="M156" s="4">
        <f t="shared" si="48"/>
        <v>0.20795378369341633</v>
      </c>
      <c r="N156" s="42">
        <f t="shared" si="48"/>
        <v>1</v>
      </c>
      <c r="O156" s="29">
        <f t="shared" si="37"/>
        <v>0.3718596561153299</v>
      </c>
      <c r="P156" s="29">
        <f t="shared" si="40"/>
        <v>0.3718596561153299</v>
      </c>
      <c r="Q156" s="4">
        <f t="shared" si="38"/>
        <v>-1.7476482126416077E-2</v>
      </c>
      <c r="R156" s="4">
        <f t="shared" si="38"/>
        <v>0</v>
      </c>
      <c r="S156" s="4">
        <f t="shared" si="38"/>
        <v>0</v>
      </c>
      <c r="T156" s="4">
        <f t="shared" si="38"/>
        <v>0</v>
      </c>
      <c r="U156" s="4">
        <f t="shared" si="38"/>
        <v>0</v>
      </c>
    </row>
    <row r="157" spans="2:23" x14ac:dyDescent="0.2">
      <c r="B157" t="s">
        <v>486</v>
      </c>
      <c r="C157" t="s">
        <v>1033</v>
      </c>
      <c r="D157" t="s">
        <v>1024</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557</v>
      </c>
      <c r="C158" t="s">
        <v>1033</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482</v>
      </c>
      <c r="C159" t="s">
        <v>264</v>
      </c>
      <c r="D159" t="s">
        <v>464</v>
      </c>
      <c r="E159">
        <v>1</v>
      </c>
      <c r="F159" s="5">
        <f t="shared" ref="F159:N159" si="51">F141/29.7</f>
        <v>0.50087222891688032</v>
      </c>
      <c r="G159" s="5">
        <f t="shared" si="51"/>
        <v>2.6506158354281313</v>
      </c>
      <c r="H159" s="4">
        <f t="shared" si="51"/>
        <v>0</v>
      </c>
      <c r="I159" s="4">
        <f t="shared" si="51"/>
        <v>0</v>
      </c>
      <c r="J159" s="4">
        <f t="shared" si="51"/>
        <v>0</v>
      </c>
      <c r="K159" s="4">
        <f t="shared" si="51"/>
        <v>0</v>
      </c>
      <c r="L159" s="4">
        <f t="shared" si="51"/>
        <v>0</v>
      </c>
      <c r="M159" s="4">
        <f t="shared" si="51"/>
        <v>0.18543300483558875</v>
      </c>
      <c r="N159" s="42">
        <f t="shared" si="51"/>
        <v>1</v>
      </c>
      <c r="O159" s="29">
        <f t="shared" si="37"/>
        <v>0.37727081632653059</v>
      </c>
      <c r="P159" s="29">
        <f t="shared" si="40"/>
        <v>0.37727081632653059</v>
      </c>
      <c r="Q159" s="4">
        <f t="shared" ref="Q159:U160" si="52">Q141/29.7</f>
        <v>-1.3072765174730579E-2</v>
      </c>
      <c r="R159" s="4">
        <f t="shared" si="52"/>
        <v>0</v>
      </c>
      <c r="S159" s="4">
        <f t="shared" si="52"/>
        <v>0</v>
      </c>
      <c r="T159" s="4">
        <f t="shared" si="52"/>
        <v>0</v>
      </c>
      <c r="U159" s="4">
        <f t="shared" si="52"/>
        <v>0</v>
      </c>
    </row>
    <row r="160" spans="2:23" x14ac:dyDescent="0.2">
      <c r="B160" t="s">
        <v>487</v>
      </c>
      <c r="C160" t="s">
        <v>264</v>
      </c>
      <c r="D160" t="s">
        <v>464</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846" zoomScaleNormal="78" workbookViewId="0">
      <selection activeCell="E852" sqref="E852"/>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1033</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1037</v>
      </c>
    </row>
    <row r="11" spans="1:8" x14ac:dyDescent="0.2">
      <c r="A11" t="s">
        <v>836</v>
      </c>
      <c r="B11" s="5">
        <f>Summary!R6</f>
        <v>15.242392587299999</v>
      </c>
    </row>
    <row r="12" spans="1:8" x14ac:dyDescent="0.2">
      <c r="A12" t="s">
        <v>842</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1033</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1034</v>
      </c>
      <c r="D17" t="s">
        <v>29</v>
      </c>
      <c r="F17" t="s">
        <v>20</v>
      </c>
      <c r="G17" t="s">
        <v>35</v>
      </c>
      <c r="H17" t="s">
        <v>30</v>
      </c>
    </row>
    <row r="18" spans="1:8" x14ac:dyDescent="0.2">
      <c r="A18" t="s">
        <v>352</v>
      </c>
      <c r="B18" s="6">
        <f>53*Parameters!$B$7/1000</f>
        <v>8.5330000000000003E-2</v>
      </c>
      <c r="C18" t="s">
        <v>567</v>
      </c>
      <c r="D18" t="s">
        <v>41</v>
      </c>
      <c r="F18" t="s">
        <v>20</v>
      </c>
      <c r="G18" t="s">
        <v>72</v>
      </c>
      <c r="H18" t="s">
        <v>353</v>
      </c>
    </row>
    <row r="19" spans="1:8" x14ac:dyDescent="0.2">
      <c r="A19" t="s">
        <v>42</v>
      </c>
      <c r="B19" s="6">
        <f>4.877/1000</f>
        <v>4.8769999999999994E-3</v>
      </c>
      <c r="C19" t="s">
        <v>1034</v>
      </c>
      <c r="D19" t="s">
        <v>8</v>
      </c>
      <c r="F19" t="s">
        <v>20</v>
      </c>
      <c r="H19" t="s">
        <v>43</v>
      </c>
    </row>
    <row r="20" spans="1:8" x14ac:dyDescent="0.2">
      <c r="A20" t="s">
        <v>44</v>
      </c>
      <c r="B20" s="6">
        <f>2.307/1000</f>
        <v>2.307E-3</v>
      </c>
      <c r="C20" t="s">
        <v>1034</v>
      </c>
      <c r="D20" t="s">
        <v>8</v>
      </c>
      <c r="F20" t="s">
        <v>20</v>
      </c>
      <c r="H20" t="s">
        <v>45</v>
      </c>
    </row>
    <row r="21" spans="1:8" x14ac:dyDescent="0.2">
      <c r="A21" t="s">
        <v>46</v>
      </c>
      <c r="B21" s="6">
        <f>3.2/1000</f>
        <v>3.2000000000000002E-3</v>
      </c>
      <c r="C21" t="s">
        <v>1034</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1040</v>
      </c>
      <c r="H24" t="s">
        <v>55</v>
      </c>
    </row>
    <row r="25" spans="1:8" x14ac:dyDescent="0.2">
      <c r="A25" t="s">
        <v>1029</v>
      </c>
      <c r="B25" s="6">
        <f>0.466*(44/12)*0.85</f>
        <v>1.4523666666666668</v>
      </c>
      <c r="D25" t="s">
        <v>8</v>
      </c>
      <c r="E25" t="s">
        <v>1030</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1038</v>
      </c>
    </row>
    <row r="31" spans="1:8" x14ac:dyDescent="0.2">
      <c r="A31" t="s">
        <v>979</v>
      </c>
      <c r="B31" s="6">
        <f>75.643/1000000</f>
        <v>7.5643000000000007E-5</v>
      </c>
      <c r="D31" t="s">
        <v>8</v>
      </c>
      <c r="E31" t="s">
        <v>37</v>
      </c>
      <c r="F31" t="s">
        <v>36</v>
      </c>
      <c r="G31" t="s">
        <v>980</v>
      </c>
    </row>
    <row r="32" spans="1:8" x14ac:dyDescent="0.2">
      <c r="A32" t="s">
        <v>40</v>
      </c>
      <c r="B32" s="6">
        <f>116.3/1000000</f>
        <v>1.1629999999999999E-4</v>
      </c>
      <c r="D32" t="s">
        <v>8</v>
      </c>
      <c r="E32" t="s">
        <v>37</v>
      </c>
      <c r="F32" t="s">
        <v>36</v>
      </c>
      <c r="G32" t="s">
        <v>1039</v>
      </c>
    </row>
    <row r="34" spans="1:8" ht="16" x14ac:dyDescent="0.2">
      <c r="A34" s="1" t="s">
        <v>1</v>
      </c>
      <c r="B34" s="71" t="s">
        <v>379</v>
      </c>
    </row>
    <row r="35" spans="1:8" x14ac:dyDescent="0.2">
      <c r="A35" t="s">
        <v>2</v>
      </c>
      <c r="B35" s="6" t="s">
        <v>1033</v>
      </c>
    </row>
    <row r="36" spans="1:8" x14ac:dyDescent="0.2">
      <c r="A36" t="s">
        <v>3</v>
      </c>
      <c r="B36" s="6">
        <v>1</v>
      </c>
    </row>
    <row r="37" spans="1:8" ht="16" x14ac:dyDescent="0.2">
      <c r="A37" t="s">
        <v>4</v>
      </c>
      <c r="B37" s="72" t="s">
        <v>380</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492</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379</v>
      </c>
      <c r="B45" s="6">
        <v>1</v>
      </c>
      <c r="C45" t="s">
        <v>1033</v>
      </c>
      <c r="D45" t="s">
        <v>8</v>
      </c>
      <c r="F45" t="s">
        <v>17</v>
      </c>
      <c r="G45" t="s">
        <v>18</v>
      </c>
      <c r="H45" s="2" t="s">
        <v>380</v>
      </c>
    </row>
    <row r="46" spans="1:8" ht="16" x14ac:dyDescent="0.2">
      <c r="A46" s="2" t="s">
        <v>63</v>
      </c>
      <c r="B46" s="6">
        <f>(1/((Parameters!C20*Parameters!B4*Parameters!B10)/1000))*Parameters!F32</f>
        <v>3.6117899478066171</v>
      </c>
      <c r="C46" t="s">
        <v>1033</v>
      </c>
      <c r="D46" t="s">
        <v>8</v>
      </c>
      <c r="F46" t="s">
        <v>20</v>
      </c>
      <c r="G46" t="s">
        <v>18</v>
      </c>
      <c r="H46" s="79" t="s">
        <v>58</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410</v>
      </c>
    </row>
    <row r="51" spans="1:8" ht="16" x14ac:dyDescent="0.2">
      <c r="A51" s="2" t="s">
        <v>370</v>
      </c>
      <c r="B51" s="6">
        <f>((76.17/1000)/(Parameters!$B$4*Parameters!$B$10))*Parameters!$F$32</f>
        <v>2.2008803225954405E-2</v>
      </c>
      <c r="C51" t="s">
        <v>31</v>
      </c>
      <c r="D51" t="s">
        <v>8</v>
      </c>
      <c r="F51" t="s">
        <v>20</v>
      </c>
      <c r="G51" t="s">
        <v>385</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382</v>
      </c>
      <c r="B53" s="6">
        <f>((26.58/1000)/(Parameters!$B$4*Parameters!$B$10))*Parameters!$F$32</f>
        <v>7.6801101450159909E-3</v>
      </c>
      <c r="C53" t="s">
        <v>26</v>
      </c>
      <c r="D53" t="s">
        <v>8</v>
      </c>
      <c r="F53" t="s">
        <v>20</v>
      </c>
      <c r="G53" t="s">
        <v>384</v>
      </c>
      <c r="H53" s="2" t="s">
        <v>383</v>
      </c>
    </row>
    <row r="54" spans="1:8" ht="16" x14ac:dyDescent="0.2">
      <c r="A54" s="2" t="s">
        <v>386</v>
      </c>
      <c r="B54" s="6">
        <f>((117.72/1000)/(Parameters!$B$4*Parameters!$B$10))*Parameters!$F$32</f>
        <v>3.4014393012463603E-2</v>
      </c>
      <c r="C54" t="s">
        <v>26</v>
      </c>
      <c r="D54" t="s">
        <v>8</v>
      </c>
      <c r="F54" t="s">
        <v>20</v>
      </c>
      <c r="G54" t="s">
        <v>388</v>
      </c>
      <c r="H54" s="2" t="s">
        <v>387</v>
      </c>
    </row>
    <row r="55" spans="1:8" x14ac:dyDescent="0.2">
      <c r="A55" t="s">
        <v>265</v>
      </c>
      <c r="B55" s="6">
        <f>(B25*B46)-Parameters!$B$13</f>
        <v>3.3316433271960717</v>
      </c>
      <c r="D55" t="s">
        <v>8</v>
      </c>
      <c r="E55" t="s">
        <v>37</v>
      </c>
      <c r="F55" t="s">
        <v>36</v>
      </c>
      <c r="G55" t="s">
        <v>423</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381</v>
      </c>
    </row>
    <row r="60" spans="1:8" x14ac:dyDescent="0.2">
      <c r="A60" t="s">
        <v>2</v>
      </c>
      <c r="B60" s="6" t="s">
        <v>1033</v>
      </c>
    </row>
    <row r="61" spans="1:8" x14ac:dyDescent="0.2">
      <c r="A61" t="s">
        <v>3</v>
      </c>
      <c r="B61" s="6">
        <v>1</v>
      </c>
    </row>
    <row r="62" spans="1:8" ht="16" x14ac:dyDescent="0.2">
      <c r="A62" t="s">
        <v>4</v>
      </c>
      <c r="B62" s="72" t="s">
        <v>380</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492</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381</v>
      </c>
      <c r="B70" s="6">
        <v>1</v>
      </c>
      <c r="C70" t="s">
        <v>1033</v>
      </c>
      <c r="D70" t="s">
        <v>8</v>
      </c>
      <c r="F70" t="s">
        <v>17</v>
      </c>
      <c r="G70" t="s">
        <v>18</v>
      </c>
      <c r="H70" s="2" t="s">
        <v>380</v>
      </c>
    </row>
    <row r="71" spans="1:8" ht="16" x14ac:dyDescent="0.2">
      <c r="A71" s="2" t="s">
        <v>63</v>
      </c>
      <c r="B71" s="6">
        <f>(1/((Parameters!C20*Parameters!B4*Parameters!B10)/1000))*Parameters!G32</f>
        <v>3.902331224292801</v>
      </c>
      <c r="C71" t="s">
        <v>1033</v>
      </c>
      <c r="D71" t="s">
        <v>8</v>
      </c>
      <c r="F71" t="s">
        <v>20</v>
      </c>
      <c r="G71" t="s">
        <v>18</v>
      </c>
      <c r="H71" s="79" t="s">
        <v>58</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410</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382</v>
      </c>
      <c r="B78" s="6">
        <f>((26.58/1000)/(Parameters!$B$4*Parameters!$B$10))*Parameters!$G$32</f>
        <v>8.2979171153362129E-3</v>
      </c>
      <c r="C78" t="s">
        <v>26</v>
      </c>
      <c r="D78" t="s">
        <v>8</v>
      </c>
      <c r="F78" t="s">
        <v>20</v>
      </c>
      <c r="G78" t="s">
        <v>384</v>
      </c>
      <c r="H78" s="2" t="s">
        <v>383</v>
      </c>
    </row>
    <row r="79" spans="1:8" ht="16" x14ac:dyDescent="0.2">
      <c r="A79" s="2" t="s">
        <v>386</v>
      </c>
      <c r="B79" s="6">
        <f>((117.72/1000)/(Parameters!$B$4*Parameters!$B$10))*Parameters!G$32</f>
        <v>3.6750594537899889E-2</v>
      </c>
      <c r="C79" t="s">
        <v>26</v>
      </c>
      <c r="D79" t="s">
        <v>8</v>
      </c>
      <c r="F79" t="s">
        <v>20</v>
      </c>
      <c r="G79" t="s">
        <v>388</v>
      </c>
      <c r="H79" s="2" t="s">
        <v>387</v>
      </c>
    </row>
    <row r="80" spans="1:8" x14ac:dyDescent="0.2">
      <c r="A80" t="s">
        <v>265</v>
      </c>
      <c r="B80" s="6">
        <f>(B25*B71)-Parameters!$B$13</f>
        <v>3.7536157924553883</v>
      </c>
      <c r="D80" t="s">
        <v>8</v>
      </c>
      <c r="E80" t="s">
        <v>37</v>
      </c>
      <c r="F80" t="s">
        <v>36</v>
      </c>
      <c r="G80" t="s">
        <v>423</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498</v>
      </c>
    </row>
    <row r="84" spans="1:8" x14ac:dyDescent="0.2">
      <c r="A84" t="s">
        <v>2</v>
      </c>
      <c r="B84" s="6" t="s">
        <v>1033</v>
      </c>
    </row>
    <row r="85" spans="1:8" x14ac:dyDescent="0.2">
      <c r="A85" t="s">
        <v>3</v>
      </c>
      <c r="B85" s="6">
        <v>1</v>
      </c>
    </row>
    <row r="86" spans="1:8" ht="16" x14ac:dyDescent="0.2">
      <c r="A86" t="s">
        <v>4</v>
      </c>
      <c r="B86" s="72" t="s">
        <v>380</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499</v>
      </c>
    </row>
    <row r="91" spans="1:8" x14ac:dyDescent="0.2">
      <c r="A91" t="s">
        <v>492</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498</v>
      </c>
      <c r="B94" s="6">
        <v>1</v>
      </c>
      <c r="C94" t="s">
        <v>1033</v>
      </c>
      <c r="D94" t="s">
        <v>8</v>
      </c>
      <c r="F94" t="s">
        <v>17</v>
      </c>
      <c r="G94" t="s">
        <v>18</v>
      </c>
      <c r="H94" s="2" t="s">
        <v>380</v>
      </c>
    </row>
    <row r="95" spans="1:8" ht="16" x14ac:dyDescent="0.2">
      <c r="A95" s="2" t="s">
        <v>63</v>
      </c>
      <c r="B95" s="6">
        <f>(1/((Parameters!C20*Parameters!B4*Parameters!B10)/1000))</f>
        <v>4.1856906305826644</v>
      </c>
      <c r="C95" t="s">
        <v>1033</v>
      </c>
      <c r="D95" t="s">
        <v>8</v>
      </c>
      <c r="F95" t="s">
        <v>20</v>
      </c>
      <c r="G95" t="s">
        <v>18</v>
      </c>
      <c r="H95" s="79" t="s">
        <v>58</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410</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382</v>
      </c>
      <c r="B102" s="6">
        <f>((26.58/1000)/(Parameters!$B$4*Parameters!$B$10))</f>
        <v>8.9004525568709778E-3</v>
      </c>
      <c r="C102" t="s">
        <v>26</v>
      </c>
      <c r="D102" t="s">
        <v>8</v>
      </c>
      <c r="F102" t="s">
        <v>20</v>
      </c>
      <c r="G102" t="s">
        <v>384</v>
      </c>
      <c r="H102" s="2" t="s">
        <v>383</v>
      </c>
    </row>
    <row r="103" spans="1:9" ht="16" x14ac:dyDescent="0.2">
      <c r="A103" s="2" t="s">
        <v>386</v>
      </c>
      <c r="B103" s="6">
        <f>((117.72/1000)/(Parameters!$B$4*Parameters!$B$10))</f>
        <v>3.9419160082575302E-2</v>
      </c>
      <c r="C103" t="s">
        <v>26</v>
      </c>
      <c r="D103" t="s">
        <v>8</v>
      </c>
      <c r="F103" t="s">
        <v>20</v>
      </c>
      <c r="G103" t="s">
        <v>388</v>
      </c>
      <c r="H103" s="2" t="s">
        <v>387</v>
      </c>
    </row>
    <row r="104" spans="1:9" x14ac:dyDescent="0.2">
      <c r="A104" t="s">
        <v>265</v>
      </c>
      <c r="B104" s="6">
        <f>(B25*B95)-Parameters!$B$13</f>
        <v>4.165157548837243</v>
      </c>
      <c r="D104" t="s">
        <v>8</v>
      </c>
      <c r="E104" t="s">
        <v>37</v>
      </c>
      <c r="F104" t="s">
        <v>36</v>
      </c>
      <c r="G104" t="s">
        <v>423</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1034</v>
      </c>
      <c r="D106" s="35" t="s">
        <v>29</v>
      </c>
      <c r="E106" s="35"/>
      <c r="F106" s="35" t="s">
        <v>20</v>
      </c>
      <c r="G106" s="35" t="s">
        <v>500</v>
      </c>
      <c r="H106" s="35" t="s">
        <v>30</v>
      </c>
      <c r="I106" s="35"/>
    </row>
    <row r="107" spans="1:9" ht="16" x14ac:dyDescent="0.2">
      <c r="A107" s="2"/>
      <c r="H107" s="2"/>
    </row>
    <row r="109" spans="1:9" ht="16" x14ac:dyDescent="0.2">
      <c r="A109" s="1" t="s">
        <v>1</v>
      </c>
      <c r="B109" s="71" t="s">
        <v>1070</v>
      </c>
    </row>
    <row r="110" spans="1:9" x14ac:dyDescent="0.2">
      <c r="A110" t="s">
        <v>2</v>
      </c>
      <c r="B110" s="6" t="s">
        <v>1033</v>
      </c>
    </row>
    <row r="111" spans="1:9" x14ac:dyDescent="0.2">
      <c r="A111" t="s">
        <v>3</v>
      </c>
      <c r="B111" s="6">
        <v>1</v>
      </c>
    </row>
    <row r="112" spans="1:9" ht="16" x14ac:dyDescent="0.2">
      <c r="A112" t="s">
        <v>4</v>
      </c>
      <c r="B112" s="72" t="s">
        <v>380</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1073</v>
      </c>
    </row>
    <row r="117" spans="1:8" x14ac:dyDescent="0.2">
      <c r="A117" t="s">
        <v>492</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1070</v>
      </c>
      <c r="B120" s="6">
        <v>1</v>
      </c>
      <c r="C120" t="s">
        <v>1033</v>
      </c>
      <c r="D120" t="s">
        <v>8</v>
      </c>
      <c r="F120" t="s">
        <v>17</v>
      </c>
      <c r="G120" t="s">
        <v>18</v>
      </c>
      <c r="H120" s="2" t="s">
        <v>380</v>
      </c>
    </row>
    <row r="121" spans="1:8" ht="16" x14ac:dyDescent="0.2">
      <c r="A121" s="2" t="s">
        <v>63</v>
      </c>
      <c r="B121" s="6">
        <f>(1/((Parameters!C20*Parameters!B4*Parameters!B10)/1000))*Parameters!F32</f>
        <v>3.6117899478066171</v>
      </c>
      <c r="C121" t="s">
        <v>1033</v>
      </c>
      <c r="D121" t="s">
        <v>8</v>
      </c>
      <c r="F121" t="s">
        <v>20</v>
      </c>
      <c r="G121" t="s">
        <v>18</v>
      </c>
      <c r="H121" s="79" t="s">
        <v>58</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410</v>
      </c>
    </row>
    <row r="126" spans="1:8" ht="16" x14ac:dyDescent="0.2">
      <c r="A126" s="2" t="s">
        <v>370</v>
      </c>
      <c r="B126" s="6">
        <f>((76.17/1000)/(Parameters!$B$4*Parameters!$B$10))*Parameters!$F$32</f>
        <v>2.2008803225954405E-2</v>
      </c>
      <c r="C126" t="s">
        <v>31</v>
      </c>
      <c r="D126" t="s">
        <v>8</v>
      </c>
      <c r="F126" t="s">
        <v>20</v>
      </c>
      <c r="G126" t="s">
        <v>385</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382</v>
      </c>
      <c r="B128" s="6">
        <f>((26.58/1000)/(Parameters!$B$4*Parameters!$B$10))*Parameters!$F$32</f>
        <v>7.6801101450159909E-3</v>
      </c>
      <c r="C128" t="s">
        <v>26</v>
      </c>
      <c r="D128" t="s">
        <v>8</v>
      </c>
      <c r="F128" t="s">
        <v>20</v>
      </c>
      <c r="G128" t="s">
        <v>384</v>
      </c>
      <c r="H128" s="2" t="s">
        <v>383</v>
      </c>
    </row>
    <row r="129" spans="1:9" ht="16" x14ac:dyDescent="0.2">
      <c r="A129" s="2" t="s">
        <v>386</v>
      </c>
      <c r="B129" s="6">
        <f>((117.72/1000)/(Parameters!$B$4*Parameters!$B$10))*Parameters!$F$32</f>
        <v>3.4014393012463603E-2</v>
      </c>
      <c r="C129" t="s">
        <v>26</v>
      </c>
      <c r="D129" t="s">
        <v>8</v>
      </c>
      <c r="F129" t="s">
        <v>20</v>
      </c>
      <c r="G129" t="s">
        <v>388</v>
      </c>
      <c r="H129" s="2" t="s">
        <v>387</v>
      </c>
    </row>
    <row r="130" spans="1:9" x14ac:dyDescent="0.2">
      <c r="A130" t="s">
        <v>265</v>
      </c>
      <c r="B130" s="6">
        <f>((B25*B121)-Parameters!$B$13)*(1-0.975)</f>
        <v>8.3291083179901873E-2</v>
      </c>
      <c r="D130" t="s">
        <v>8</v>
      </c>
      <c r="E130" t="s">
        <v>37</v>
      </c>
      <c r="F130" t="s">
        <v>36</v>
      </c>
      <c r="G130" t="s">
        <v>423</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1034</v>
      </c>
      <c r="D132" s="35" t="s">
        <v>29</v>
      </c>
      <c r="E132" s="35"/>
      <c r="F132" s="35" t="s">
        <v>20</v>
      </c>
      <c r="G132" s="35" t="s">
        <v>500</v>
      </c>
      <c r="H132" s="35" t="s">
        <v>30</v>
      </c>
      <c r="I132" s="35"/>
    </row>
    <row r="133" spans="1:9" ht="16" x14ac:dyDescent="0.2">
      <c r="A133" s="2" t="s">
        <v>1065</v>
      </c>
      <c r="B133" s="6">
        <f>((B25*B121)-Parameters!$B$13)*0.975</f>
        <v>3.2483522440161696</v>
      </c>
      <c r="C133" t="s">
        <v>567</v>
      </c>
      <c r="D133" t="s">
        <v>8</v>
      </c>
      <c r="F133" s="35" t="s">
        <v>20</v>
      </c>
      <c r="G133" s="35" t="s">
        <v>1074</v>
      </c>
      <c r="H133" s="2" t="s">
        <v>1065</v>
      </c>
    </row>
    <row r="134" spans="1:9" ht="16" x14ac:dyDescent="0.2">
      <c r="A134" s="2"/>
      <c r="H134" s="2"/>
    </row>
    <row r="135" spans="1:9" ht="16" x14ac:dyDescent="0.2">
      <c r="A135" s="1" t="s">
        <v>1</v>
      </c>
      <c r="B135" s="71" t="s">
        <v>1071</v>
      </c>
    </row>
    <row r="136" spans="1:9" x14ac:dyDescent="0.2">
      <c r="A136" t="s">
        <v>2</v>
      </c>
      <c r="B136" s="6" t="s">
        <v>1033</v>
      </c>
    </row>
    <row r="137" spans="1:9" x14ac:dyDescent="0.2">
      <c r="A137" t="s">
        <v>3</v>
      </c>
      <c r="B137" s="6">
        <v>1</v>
      </c>
    </row>
    <row r="138" spans="1:9" ht="16" x14ac:dyDescent="0.2">
      <c r="A138" t="s">
        <v>4</v>
      </c>
      <c r="B138" s="72" t="s">
        <v>380</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492</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1071</v>
      </c>
      <c r="B146" s="6">
        <v>1</v>
      </c>
      <c r="C146" t="s">
        <v>1033</v>
      </c>
      <c r="D146" t="s">
        <v>8</v>
      </c>
      <c r="F146" t="s">
        <v>17</v>
      </c>
      <c r="G146" t="s">
        <v>18</v>
      </c>
      <c r="H146" s="2" t="s">
        <v>380</v>
      </c>
    </row>
    <row r="147" spans="1:9" ht="16" x14ac:dyDescent="0.2">
      <c r="A147" s="2" t="s">
        <v>63</v>
      </c>
      <c r="B147" s="6">
        <f>(1/((Parameters!C20*Parameters!B4*Parameters!B10)/1000))*Parameters!G32</f>
        <v>3.902331224292801</v>
      </c>
      <c r="C147" t="s">
        <v>1033</v>
      </c>
      <c r="D147" t="s">
        <v>8</v>
      </c>
      <c r="F147" t="s">
        <v>20</v>
      </c>
      <c r="G147" t="s">
        <v>18</v>
      </c>
      <c r="H147" s="79" t="s">
        <v>58</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410</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382</v>
      </c>
      <c r="B154" s="6">
        <f>((26.58/1000)/(Parameters!$B$4*Parameters!$B$10))*Parameters!$G$32</f>
        <v>8.2979171153362129E-3</v>
      </c>
      <c r="C154" t="s">
        <v>26</v>
      </c>
      <c r="D154" t="s">
        <v>8</v>
      </c>
      <c r="F154" t="s">
        <v>20</v>
      </c>
      <c r="G154" t="s">
        <v>384</v>
      </c>
      <c r="H154" s="2" t="s">
        <v>383</v>
      </c>
    </row>
    <row r="155" spans="1:9" ht="16" x14ac:dyDescent="0.2">
      <c r="A155" s="2" t="s">
        <v>386</v>
      </c>
      <c r="B155" s="6">
        <f>((117.72/1000)/(Parameters!$B$4*Parameters!$B$10))*Parameters!G$32</f>
        <v>3.6750594537899889E-2</v>
      </c>
      <c r="C155" t="s">
        <v>26</v>
      </c>
      <c r="D155" t="s">
        <v>8</v>
      </c>
      <c r="F155" t="s">
        <v>20</v>
      </c>
      <c r="G155" t="s">
        <v>388</v>
      </c>
      <c r="H155" s="2" t="s">
        <v>387</v>
      </c>
    </row>
    <row r="156" spans="1:9" x14ac:dyDescent="0.2">
      <c r="A156" t="s">
        <v>265</v>
      </c>
      <c r="B156" s="6">
        <f>((B25*B147)-Parameters!$B$13)*(1-0.975)</f>
        <v>9.3840394811384786E-2</v>
      </c>
      <c r="D156" t="s">
        <v>8</v>
      </c>
      <c r="E156" t="s">
        <v>37</v>
      </c>
      <c r="F156" t="s">
        <v>36</v>
      </c>
      <c r="G156" t="s">
        <v>423</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1034</v>
      </c>
      <c r="D158" s="35" t="s">
        <v>29</v>
      </c>
      <c r="E158" s="35"/>
      <c r="F158" s="35" t="s">
        <v>20</v>
      </c>
      <c r="G158" s="35" t="s">
        <v>500</v>
      </c>
      <c r="H158" s="35" t="s">
        <v>30</v>
      </c>
      <c r="I158" s="35"/>
    </row>
    <row r="159" spans="1:9" ht="16" x14ac:dyDescent="0.2">
      <c r="A159" s="2" t="s">
        <v>1065</v>
      </c>
      <c r="B159" s="6">
        <f>((B25*B147)-Parameters!$B$13)*0.975</f>
        <v>3.6597753976440037</v>
      </c>
      <c r="C159" t="s">
        <v>567</v>
      </c>
      <c r="D159" t="s">
        <v>8</v>
      </c>
      <c r="F159" s="35" t="s">
        <v>20</v>
      </c>
      <c r="G159" s="35" t="s">
        <v>1074</v>
      </c>
      <c r="H159" s="2" t="s">
        <v>1065</v>
      </c>
    </row>
    <row r="160" spans="1:9" ht="16" x14ac:dyDescent="0.2">
      <c r="A160" s="2"/>
      <c r="H160" s="2"/>
    </row>
    <row r="161" spans="1:8" ht="16" x14ac:dyDescent="0.2">
      <c r="A161" s="1" t="s">
        <v>1</v>
      </c>
      <c r="B161" s="71" t="s">
        <v>1072</v>
      </c>
    </row>
    <row r="162" spans="1:8" x14ac:dyDescent="0.2">
      <c r="A162" t="s">
        <v>2</v>
      </c>
      <c r="B162" s="6" t="s">
        <v>1033</v>
      </c>
    </row>
    <row r="163" spans="1:8" x14ac:dyDescent="0.2">
      <c r="A163" t="s">
        <v>3</v>
      </c>
      <c r="B163" s="6">
        <v>1</v>
      </c>
    </row>
    <row r="164" spans="1:8" ht="16" x14ac:dyDescent="0.2">
      <c r="A164" t="s">
        <v>4</v>
      </c>
      <c r="B164" s="72" t="s">
        <v>380</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499</v>
      </c>
    </row>
    <row r="169" spans="1:8" x14ac:dyDescent="0.2">
      <c r="A169" t="s">
        <v>492</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1072</v>
      </c>
      <c r="B172" s="6">
        <v>1</v>
      </c>
      <c r="C172" t="s">
        <v>1033</v>
      </c>
      <c r="D172" t="s">
        <v>8</v>
      </c>
      <c r="F172" t="s">
        <v>17</v>
      </c>
      <c r="G172" t="s">
        <v>18</v>
      </c>
      <c r="H172" s="2" t="s">
        <v>380</v>
      </c>
    </row>
    <row r="173" spans="1:8" ht="16" x14ac:dyDescent="0.2">
      <c r="A173" s="2" t="s">
        <v>63</v>
      </c>
      <c r="B173" s="6">
        <f>(1/((Parameters!C20*Parameters!B4*Parameters!B10)/1000))</f>
        <v>4.1856906305826644</v>
      </c>
      <c r="C173" t="s">
        <v>1033</v>
      </c>
      <c r="D173" t="s">
        <v>8</v>
      </c>
      <c r="F173" t="s">
        <v>20</v>
      </c>
      <c r="G173" t="s">
        <v>18</v>
      </c>
      <c r="H173" s="79" t="s">
        <v>58</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410</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382</v>
      </c>
      <c r="B180" s="6">
        <f>((26.58/1000)/(Parameters!$B$4*Parameters!$B$10))</f>
        <v>8.9004525568709778E-3</v>
      </c>
      <c r="C180" t="s">
        <v>26</v>
      </c>
      <c r="D180" t="s">
        <v>8</v>
      </c>
      <c r="F180" t="s">
        <v>20</v>
      </c>
      <c r="G180" t="s">
        <v>384</v>
      </c>
      <c r="H180" s="2" t="s">
        <v>383</v>
      </c>
    </row>
    <row r="181" spans="1:9" ht="16" x14ac:dyDescent="0.2">
      <c r="A181" s="2" t="s">
        <v>386</v>
      </c>
      <c r="B181" s="6">
        <f>((117.72/1000)/(Parameters!$B$4*Parameters!$B$10))</f>
        <v>3.9419160082575302E-2</v>
      </c>
      <c r="C181" t="s">
        <v>26</v>
      </c>
      <c r="D181" t="s">
        <v>8</v>
      </c>
      <c r="F181" t="s">
        <v>20</v>
      </c>
      <c r="G181" t="s">
        <v>388</v>
      </c>
      <c r="H181" s="2" t="s">
        <v>387</v>
      </c>
    </row>
    <row r="182" spans="1:9" x14ac:dyDescent="0.2">
      <c r="A182" t="s">
        <v>265</v>
      </c>
      <c r="B182" s="6">
        <f>((B25*B173)-Parameters!$B$13)*(1-0.975)</f>
        <v>0.10412893872093117</v>
      </c>
      <c r="D182" t="s">
        <v>8</v>
      </c>
      <c r="E182" t="s">
        <v>37</v>
      </c>
      <c r="F182" t="s">
        <v>36</v>
      </c>
      <c r="G182" t="s">
        <v>423</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1034</v>
      </c>
      <c r="D184" s="35" t="s">
        <v>29</v>
      </c>
      <c r="E184" s="35"/>
      <c r="F184" s="35" t="s">
        <v>20</v>
      </c>
      <c r="G184" s="35" t="s">
        <v>500</v>
      </c>
      <c r="H184" s="35" t="s">
        <v>30</v>
      </c>
      <c r="I184" s="35"/>
    </row>
    <row r="185" spans="1:9" ht="16" x14ac:dyDescent="0.2">
      <c r="A185" s="2" t="s">
        <v>1065</v>
      </c>
      <c r="B185" s="6">
        <f>((B25*B173)-Parameters!$B$13)*0.975</f>
        <v>4.0610286101163116</v>
      </c>
      <c r="C185" t="s">
        <v>567</v>
      </c>
      <c r="D185" t="s">
        <v>8</v>
      </c>
      <c r="F185" s="35" t="s">
        <v>20</v>
      </c>
      <c r="G185" s="35" t="s">
        <v>1074</v>
      </c>
      <c r="H185" s="2" t="s">
        <v>1065</v>
      </c>
    </row>
    <row r="186" spans="1:9" ht="16" x14ac:dyDescent="0.2">
      <c r="A186" s="2"/>
      <c r="H186" s="2"/>
    </row>
    <row r="187" spans="1:9" ht="16" x14ac:dyDescent="0.2">
      <c r="A187" s="1" t="s">
        <v>1</v>
      </c>
      <c r="B187" s="71" t="s">
        <v>389</v>
      </c>
    </row>
    <row r="188" spans="1:9" x14ac:dyDescent="0.2">
      <c r="A188" t="s">
        <v>2</v>
      </c>
      <c r="B188" s="6" t="s">
        <v>1033</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391</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389</v>
      </c>
      <c r="B197" s="36">
        <v>1</v>
      </c>
      <c r="C197" t="s">
        <v>1033</v>
      </c>
      <c r="D197" s="35" t="s">
        <v>8</v>
      </c>
      <c r="E197" s="35"/>
      <c r="F197" s="35" t="s">
        <v>17</v>
      </c>
      <c r="G197" s="35"/>
      <c r="H197" s="35"/>
      <c r="I197" s="35" t="s">
        <v>18</v>
      </c>
      <c r="J197" s="35" t="s">
        <v>337</v>
      </c>
    </row>
    <row r="198" spans="1:10" ht="16" x14ac:dyDescent="0.2">
      <c r="A198" s="2" t="s">
        <v>379</v>
      </c>
      <c r="B198" s="6">
        <v>1.00057</v>
      </c>
      <c r="C198" t="s">
        <v>1033</v>
      </c>
      <c r="D198" t="s">
        <v>8</v>
      </c>
      <c r="F198" s="35" t="s">
        <v>20</v>
      </c>
      <c r="G198" t="s">
        <v>18</v>
      </c>
      <c r="I198" s="35"/>
      <c r="J198" s="2" t="s">
        <v>380</v>
      </c>
    </row>
    <row r="199" spans="1:10" x14ac:dyDescent="0.2">
      <c r="A199" s="35" t="s">
        <v>28</v>
      </c>
      <c r="B199" s="36">
        <v>6.7000000000000002E-3</v>
      </c>
      <c r="C199" t="s">
        <v>1034</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567</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390</v>
      </c>
    </row>
    <row r="211" spans="1:10" x14ac:dyDescent="0.2">
      <c r="A211" t="s">
        <v>2</v>
      </c>
      <c r="B211" s="6" t="s">
        <v>1033</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391</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390</v>
      </c>
      <c r="B220" s="36">
        <v>1</v>
      </c>
      <c r="C220" t="s">
        <v>1033</v>
      </c>
      <c r="D220" s="35" t="s">
        <v>8</v>
      </c>
      <c r="E220" s="35"/>
      <c r="F220" s="35" t="s">
        <v>17</v>
      </c>
      <c r="G220" s="35"/>
      <c r="H220" s="35"/>
      <c r="I220" s="35" t="s">
        <v>18</v>
      </c>
      <c r="J220" s="35" t="s">
        <v>337</v>
      </c>
    </row>
    <row r="221" spans="1:10" ht="16" x14ac:dyDescent="0.2">
      <c r="A221" s="2" t="s">
        <v>381</v>
      </c>
      <c r="B221" s="6">
        <v>1.00057</v>
      </c>
      <c r="C221" t="s">
        <v>1033</v>
      </c>
      <c r="D221" t="s">
        <v>8</v>
      </c>
      <c r="F221" s="35" t="s">
        <v>20</v>
      </c>
      <c r="G221" t="s">
        <v>18</v>
      </c>
      <c r="I221" s="35"/>
      <c r="J221" s="2" t="s">
        <v>380</v>
      </c>
    </row>
    <row r="222" spans="1:10" x14ac:dyDescent="0.2">
      <c r="A222" s="35" t="s">
        <v>28</v>
      </c>
      <c r="B222" s="36">
        <v>6.7000000000000002E-3</v>
      </c>
      <c r="C222" t="s">
        <v>1034</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567</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501</v>
      </c>
    </row>
    <row r="234" spans="1:10" x14ac:dyDescent="0.2">
      <c r="A234" t="s">
        <v>2</v>
      </c>
      <c r="B234" s="6" t="s">
        <v>1033</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391</v>
      </c>
    </row>
    <row r="240" spans="1:10" x14ac:dyDescent="0.2">
      <c r="A240" t="s">
        <v>11</v>
      </c>
      <c r="B240" s="6" t="s">
        <v>502</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501</v>
      </c>
      <c r="B243" s="36">
        <v>1</v>
      </c>
      <c r="C243" t="s">
        <v>1033</v>
      </c>
      <c r="D243" s="35" t="s">
        <v>8</v>
      </c>
      <c r="E243" s="35"/>
      <c r="F243" s="35" t="s">
        <v>17</v>
      </c>
      <c r="G243" s="35"/>
      <c r="H243" s="35"/>
      <c r="I243" s="35" t="s">
        <v>18</v>
      </c>
      <c r="J243" s="35" t="s">
        <v>337</v>
      </c>
    </row>
    <row r="244" spans="1:10" ht="16" x14ac:dyDescent="0.2">
      <c r="A244" s="2" t="s">
        <v>498</v>
      </c>
      <c r="B244" s="6">
        <v>1.00057</v>
      </c>
      <c r="C244" t="s">
        <v>1033</v>
      </c>
      <c r="D244" t="s">
        <v>8</v>
      </c>
      <c r="F244" s="35" t="s">
        <v>20</v>
      </c>
      <c r="G244" t="s">
        <v>18</v>
      </c>
      <c r="I244" s="35"/>
      <c r="J244" s="2" t="s">
        <v>380</v>
      </c>
    </row>
    <row r="245" spans="1:10" x14ac:dyDescent="0.2">
      <c r="A245" s="35" t="s">
        <v>28</v>
      </c>
      <c r="B245" s="36">
        <v>6.7000000000000002E-3</v>
      </c>
      <c r="C245" t="s">
        <v>1034</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567</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1075</v>
      </c>
    </row>
    <row r="257" spans="1:10" x14ac:dyDescent="0.2">
      <c r="A257" t="s">
        <v>2</v>
      </c>
      <c r="B257" s="6" t="s">
        <v>1033</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391</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1075</v>
      </c>
      <c r="B266" s="36">
        <v>1</v>
      </c>
      <c r="C266" t="s">
        <v>1033</v>
      </c>
      <c r="D266" s="35" t="s">
        <v>8</v>
      </c>
      <c r="E266" s="35"/>
      <c r="F266" s="35" t="s">
        <v>17</v>
      </c>
      <c r="G266" s="35"/>
      <c r="H266" s="35"/>
      <c r="I266" s="35" t="s">
        <v>18</v>
      </c>
      <c r="J266" s="35" t="s">
        <v>337</v>
      </c>
    </row>
    <row r="267" spans="1:10" ht="16" x14ac:dyDescent="0.2">
      <c r="A267" s="78" t="s">
        <v>1070</v>
      </c>
      <c r="B267" s="6">
        <v>1.00057</v>
      </c>
      <c r="C267" t="s">
        <v>1033</v>
      </c>
      <c r="D267" t="s">
        <v>8</v>
      </c>
      <c r="F267" s="35" t="s">
        <v>20</v>
      </c>
      <c r="G267" t="s">
        <v>18</v>
      </c>
      <c r="I267" s="35"/>
      <c r="J267" s="2" t="s">
        <v>380</v>
      </c>
    </row>
    <row r="268" spans="1:10" x14ac:dyDescent="0.2">
      <c r="A268" s="35" t="s">
        <v>28</v>
      </c>
      <c r="B268" s="36">
        <v>6.7000000000000002E-3</v>
      </c>
      <c r="C268" t="s">
        <v>1034</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567</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1076</v>
      </c>
    </row>
    <row r="280" spans="1:10" x14ac:dyDescent="0.2">
      <c r="A280" t="s">
        <v>2</v>
      </c>
      <c r="B280" s="6" t="s">
        <v>1033</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391</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1076</v>
      </c>
      <c r="B289" s="36">
        <v>1</v>
      </c>
      <c r="C289" t="s">
        <v>1033</v>
      </c>
      <c r="D289" s="35" t="s">
        <v>8</v>
      </c>
      <c r="E289" s="35"/>
      <c r="F289" s="35" t="s">
        <v>17</v>
      </c>
      <c r="G289" s="35"/>
      <c r="H289" s="35"/>
      <c r="I289" s="35" t="s">
        <v>18</v>
      </c>
      <c r="J289" s="35" t="s">
        <v>337</v>
      </c>
    </row>
    <row r="290" spans="1:10" ht="16" x14ac:dyDescent="0.2">
      <c r="A290" s="78" t="s">
        <v>1071</v>
      </c>
      <c r="B290" s="6">
        <v>1.00057</v>
      </c>
      <c r="C290" t="s">
        <v>1033</v>
      </c>
      <c r="D290" t="s">
        <v>8</v>
      </c>
      <c r="F290" s="35" t="s">
        <v>20</v>
      </c>
      <c r="G290" t="s">
        <v>18</v>
      </c>
      <c r="I290" s="35"/>
      <c r="J290" s="2" t="s">
        <v>380</v>
      </c>
    </row>
    <row r="291" spans="1:10" x14ac:dyDescent="0.2">
      <c r="A291" s="35" t="s">
        <v>28</v>
      </c>
      <c r="B291" s="36">
        <v>6.7000000000000002E-3</v>
      </c>
      <c r="C291" t="s">
        <v>1034</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567</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1077</v>
      </c>
    </row>
    <row r="303" spans="1:10" x14ac:dyDescent="0.2">
      <c r="A303" t="s">
        <v>2</v>
      </c>
      <c r="B303" s="6" t="s">
        <v>1033</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391</v>
      </c>
    </row>
    <row r="309" spans="1:10" x14ac:dyDescent="0.2">
      <c r="A309" t="s">
        <v>11</v>
      </c>
      <c r="B309" s="6" t="s">
        <v>502</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1077</v>
      </c>
      <c r="B312" s="36">
        <v>1</v>
      </c>
      <c r="C312" t="s">
        <v>1033</v>
      </c>
      <c r="D312" s="35" t="s">
        <v>8</v>
      </c>
      <c r="E312" s="35"/>
      <c r="F312" s="35" t="s">
        <v>17</v>
      </c>
      <c r="G312" s="35"/>
      <c r="H312" s="35"/>
      <c r="I312" s="35" t="s">
        <v>18</v>
      </c>
      <c r="J312" s="35" t="s">
        <v>337</v>
      </c>
    </row>
    <row r="313" spans="1:10" ht="16" x14ac:dyDescent="0.2">
      <c r="A313" s="78" t="s">
        <v>1072</v>
      </c>
      <c r="B313" s="6">
        <v>1.00057</v>
      </c>
      <c r="C313" t="s">
        <v>1033</v>
      </c>
      <c r="D313" t="s">
        <v>8</v>
      </c>
      <c r="F313" s="35" t="s">
        <v>20</v>
      </c>
      <c r="G313" t="s">
        <v>18</v>
      </c>
      <c r="I313" s="35"/>
      <c r="J313" s="2" t="s">
        <v>380</v>
      </c>
    </row>
    <row r="314" spans="1:10" x14ac:dyDescent="0.2">
      <c r="A314" s="35" t="s">
        <v>28</v>
      </c>
      <c r="B314" s="36">
        <v>6.7000000000000002E-3</v>
      </c>
      <c r="C314" t="s">
        <v>1034</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567</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1033</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836</v>
      </c>
      <c r="B333" s="5">
        <f>Summary!R7</f>
        <v>16.805985431099998</v>
      </c>
    </row>
    <row r="334" spans="1:10" x14ac:dyDescent="0.2">
      <c r="A334" t="s">
        <v>842</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1033</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567</v>
      </c>
      <c r="D339" t="s">
        <v>41</v>
      </c>
      <c r="F339" t="s">
        <v>20</v>
      </c>
      <c r="G339" t="s">
        <v>73</v>
      </c>
      <c r="H339" t="s">
        <v>353</v>
      </c>
    </row>
    <row r="340" spans="1:8" x14ac:dyDescent="0.2">
      <c r="A340" t="s">
        <v>42</v>
      </c>
      <c r="B340" s="6">
        <f>1.97/1000</f>
        <v>1.97E-3</v>
      </c>
      <c r="C340" t="s">
        <v>1034</v>
      </c>
      <c r="D340" t="s">
        <v>8</v>
      </c>
      <c r="F340" t="s">
        <v>20</v>
      </c>
      <c r="H340" t="s">
        <v>43</v>
      </c>
    </row>
    <row r="341" spans="1:8" x14ac:dyDescent="0.2">
      <c r="A341" t="s">
        <v>44</v>
      </c>
      <c r="B341" s="6">
        <f>0.591/1000</f>
        <v>5.9099999999999995E-4</v>
      </c>
      <c r="C341" t="s">
        <v>1034</v>
      </c>
      <c r="D341" t="s">
        <v>8</v>
      </c>
      <c r="F341" t="s">
        <v>20</v>
      </c>
      <c r="H341" t="s">
        <v>45</v>
      </c>
    </row>
    <row r="342" spans="1:8" x14ac:dyDescent="0.2">
      <c r="A342" t="s">
        <v>46</v>
      </c>
      <c r="B342" s="6">
        <f>0.5225/1000</f>
        <v>5.2249999999999996E-4</v>
      </c>
      <c r="C342" t="s">
        <v>1034</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981</v>
      </c>
    </row>
    <row r="351" spans="1:8" x14ac:dyDescent="0.2">
      <c r="A351" t="s">
        <v>979</v>
      </c>
      <c r="B351" s="6">
        <f>27.433/1000000</f>
        <v>2.7433E-5</v>
      </c>
      <c r="D351" t="s">
        <v>8</v>
      </c>
      <c r="E351" t="s">
        <v>37</v>
      </c>
      <c r="F351" t="s">
        <v>36</v>
      </c>
      <c r="G351" t="s">
        <v>982</v>
      </c>
    </row>
    <row r="352" spans="1:8" x14ac:dyDescent="0.2">
      <c r="A352" t="s">
        <v>40</v>
      </c>
      <c r="B352" s="6">
        <f>41.009/1000000</f>
        <v>4.1009E-5</v>
      </c>
      <c r="D352" t="s">
        <v>8</v>
      </c>
      <c r="E352" t="s">
        <v>37</v>
      </c>
      <c r="F352" t="s">
        <v>36</v>
      </c>
      <c r="G352" t="s">
        <v>983</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1029</v>
      </c>
      <c r="B357" s="6">
        <f>0.501*(44/12)*0.85</f>
        <v>1.56145</v>
      </c>
      <c r="D357" t="s">
        <v>8</v>
      </c>
      <c r="E357" t="s">
        <v>1030</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1033</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492</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1033</v>
      </c>
      <c r="D399" t="s">
        <v>8</v>
      </c>
      <c r="F399" t="s">
        <v>17</v>
      </c>
      <c r="G399" t="s">
        <v>18</v>
      </c>
      <c r="H399" s="2" t="s">
        <v>375</v>
      </c>
    </row>
    <row r="400" spans="1:8" ht="16" x14ac:dyDescent="0.2">
      <c r="A400" s="2" t="s">
        <v>64</v>
      </c>
      <c r="B400" s="6">
        <f>(1/((Parameters!C20*Parameters!B4*Parameters!B10)/1000))*Parameters!F32</f>
        <v>3.6117899478066171</v>
      </c>
      <c r="C400" t="s">
        <v>1033</v>
      </c>
      <c r="D400" t="s">
        <v>8</v>
      </c>
      <c r="F400" t="s">
        <v>20</v>
      </c>
      <c r="G400" t="s">
        <v>18</v>
      </c>
      <c r="H400" s="72" t="s">
        <v>59</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410</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386</v>
      </c>
      <c r="B406" s="6">
        <f>((117.72/1000)/(Parameters!$B$4*Parameters!$B$10))*Parameters!$F$32</f>
        <v>3.4014393012463603E-2</v>
      </c>
      <c r="C406" t="s">
        <v>26</v>
      </c>
      <c r="D406" t="s">
        <v>8</v>
      </c>
      <c r="F406" t="s">
        <v>20</v>
      </c>
      <c r="G406" t="s">
        <v>388</v>
      </c>
      <c r="H406" s="2" t="s">
        <v>387</v>
      </c>
    </row>
    <row r="407" spans="1:8" x14ac:dyDescent="0.2">
      <c r="A407" t="s">
        <v>265</v>
      </c>
      <c r="B407" s="6">
        <f>(B357*B400)-Parameters!$B$13</f>
        <v>3.7256294140026425</v>
      </c>
      <c r="D407" t="s">
        <v>8</v>
      </c>
      <c r="E407" t="s">
        <v>37</v>
      </c>
      <c r="F407" t="s">
        <v>36</v>
      </c>
      <c r="G407" t="s">
        <v>423</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376</v>
      </c>
    </row>
    <row r="411" spans="1:8" x14ac:dyDescent="0.2">
      <c r="A411" t="s">
        <v>2</v>
      </c>
      <c r="B411" s="6" t="s">
        <v>1033</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492</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376</v>
      </c>
      <c r="B421" s="6">
        <v>1</v>
      </c>
      <c r="C421" t="s">
        <v>1033</v>
      </c>
      <c r="D421" t="s">
        <v>8</v>
      </c>
      <c r="F421" t="s">
        <v>17</v>
      </c>
      <c r="G421" t="s">
        <v>18</v>
      </c>
      <c r="H421" s="2" t="s">
        <v>375</v>
      </c>
    </row>
    <row r="422" spans="1:8" ht="16" x14ac:dyDescent="0.2">
      <c r="A422" s="2" t="s">
        <v>64</v>
      </c>
      <c r="B422" s="6">
        <f>(1/((Parameters!$C$20*Parameters!$B$4*Parameters!$B$10)/1000))*Parameters!$G$32</f>
        <v>3.902331224292801</v>
      </c>
      <c r="C422" t="s">
        <v>1033</v>
      </c>
      <c r="D422" t="s">
        <v>8</v>
      </c>
      <c r="F422" t="s">
        <v>20</v>
      </c>
      <c r="G422" t="s">
        <v>18</v>
      </c>
      <c r="H422" s="72" t="s">
        <v>59</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410</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386</v>
      </c>
      <c r="B428" s="6">
        <f>((117.72/1000)/(Parameters!$B$4*Parameters!$B$10))*Parameters!$G$32</f>
        <v>3.6750594537899889E-2</v>
      </c>
      <c r="C428" t="s">
        <v>26</v>
      </c>
      <c r="D428" t="s">
        <v>8</v>
      </c>
      <c r="F428" t="s">
        <v>20</v>
      </c>
      <c r="G428" t="s">
        <v>388</v>
      </c>
      <c r="H428" s="2" t="s">
        <v>387</v>
      </c>
    </row>
    <row r="429" spans="1:8" x14ac:dyDescent="0.2">
      <c r="A429" t="s">
        <v>265</v>
      </c>
      <c r="B429" s="6">
        <f>($B$357*$B$422)-Parameters!$B$13</f>
        <v>4.1792950901719941</v>
      </c>
      <c r="D429" t="s">
        <v>8</v>
      </c>
      <c r="E429" t="s">
        <v>37</v>
      </c>
      <c r="F429" t="s">
        <v>36</v>
      </c>
      <c r="G429" t="s">
        <v>423</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1098</v>
      </c>
    </row>
    <row r="434" spans="1:8" x14ac:dyDescent="0.2">
      <c r="A434" t="s">
        <v>2</v>
      </c>
      <c r="B434" s="6" t="s">
        <v>1033</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492</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1098</v>
      </c>
      <c r="B444" s="6">
        <v>1</v>
      </c>
      <c r="C444" t="s">
        <v>1033</v>
      </c>
      <c r="D444" t="s">
        <v>8</v>
      </c>
      <c r="F444" t="s">
        <v>17</v>
      </c>
      <c r="G444" t="s">
        <v>18</v>
      </c>
      <c r="H444" s="2" t="s">
        <v>375</v>
      </c>
    </row>
    <row r="445" spans="1:8" ht="16" x14ac:dyDescent="0.2">
      <c r="A445" s="2" t="s">
        <v>64</v>
      </c>
      <c r="B445" s="6">
        <f>(1/((Parameters!$C$20*Parameters!$B$4*Parameters!$B$10)/1000))*Parameters!$G$32</f>
        <v>3.902331224292801</v>
      </c>
      <c r="C445" t="s">
        <v>1033</v>
      </c>
      <c r="D445" t="s">
        <v>8</v>
      </c>
      <c r="F445" t="s">
        <v>20</v>
      </c>
      <c r="G445" t="s">
        <v>18</v>
      </c>
      <c r="H445" s="72" t="s">
        <v>59</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410</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386</v>
      </c>
      <c r="B451" s="6">
        <f>((117.72/1000)/(Parameters!$B$4*Parameters!$B$10))*Parameters!$G$32</f>
        <v>3.6750594537899889E-2</v>
      </c>
      <c r="C451" t="s">
        <v>26</v>
      </c>
      <c r="D451" t="s">
        <v>8</v>
      </c>
      <c r="F451" t="s">
        <v>20</v>
      </c>
      <c r="G451" t="s">
        <v>388</v>
      </c>
      <c r="H451" s="2" t="s">
        <v>387</v>
      </c>
    </row>
    <row r="452" spans="1:9" x14ac:dyDescent="0.2">
      <c r="A452" t="s">
        <v>265</v>
      </c>
      <c r="B452" s="6">
        <f>(($B$357*$B$445)-Parameters!$B$13)*(1-0.975)</f>
        <v>0.10448237725429994</v>
      </c>
      <c r="D452" t="s">
        <v>8</v>
      </c>
      <c r="E452" t="s">
        <v>37</v>
      </c>
      <c r="F452" t="s">
        <v>36</v>
      </c>
      <c r="G452" t="s">
        <v>423</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1034</v>
      </c>
      <c r="D454" s="35" t="s">
        <v>29</v>
      </c>
      <c r="E454" s="35"/>
      <c r="F454" s="35" t="s">
        <v>20</v>
      </c>
      <c r="G454" s="35" t="s">
        <v>1099</v>
      </c>
      <c r="H454" s="35" t="s">
        <v>30</v>
      </c>
      <c r="I454" s="35"/>
    </row>
    <row r="455" spans="1:9" x14ac:dyDescent="0.2">
      <c r="A455" t="s">
        <v>1065</v>
      </c>
      <c r="B455" s="6">
        <f>(($B$357*$B$445)-Parameters!$B$13)*(0.975)</f>
        <v>4.0748127129176943</v>
      </c>
      <c r="C455" t="s">
        <v>567</v>
      </c>
      <c r="D455" t="s">
        <v>8</v>
      </c>
      <c r="F455" s="35" t="s">
        <v>20</v>
      </c>
      <c r="H455" t="s">
        <v>1065</v>
      </c>
    </row>
    <row r="456" spans="1:9" ht="16" x14ac:dyDescent="0.2">
      <c r="A456" s="2"/>
      <c r="H456" s="2"/>
    </row>
    <row r="457" spans="1:9" ht="16" x14ac:dyDescent="0.2">
      <c r="A457" s="1" t="s">
        <v>1</v>
      </c>
      <c r="B457" s="71" t="s">
        <v>503</v>
      </c>
    </row>
    <row r="458" spans="1:9" x14ac:dyDescent="0.2">
      <c r="A458" t="s">
        <v>2</v>
      </c>
      <c r="B458" s="6" t="s">
        <v>1033</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499</v>
      </c>
    </row>
    <row r="465" spans="1:9" x14ac:dyDescent="0.2">
      <c r="A465" t="s">
        <v>492</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503</v>
      </c>
      <c r="B468" s="6">
        <v>1</v>
      </c>
      <c r="C468" t="s">
        <v>1033</v>
      </c>
      <c r="D468" t="s">
        <v>8</v>
      </c>
      <c r="F468" t="s">
        <v>17</v>
      </c>
      <c r="G468" t="s">
        <v>18</v>
      </c>
      <c r="H468" s="2" t="s">
        <v>375</v>
      </c>
    </row>
    <row r="469" spans="1:9" ht="16" x14ac:dyDescent="0.2">
      <c r="A469" s="2" t="s">
        <v>64</v>
      </c>
      <c r="B469" s="6">
        <f>(1/((Parameters!C20*Parameters!B4*Parameters!B10)/1000))</f>
        <v>4.1856906305826644</v>
      </c>
      <c r="C469" t="s">
        <v>1033</v>
      </c>
      <c r="D469" t="s">
        <v>8</v>
      </c>
      <c r="F469" t="s">
        <v>20</v>
      </c>
      <c r="G469" t="s">
        <v>18</v>
      </c>
      <c r="H469" s="72" t="s">
        <v>59</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410</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382</v>
      </c>
      <c r="B476" s="6">
        <f>((26.58/1000)/(Parameters!$B$4*Parameters!$B$10))</f>
        <v>8.9004525568709778E-3</v>
      </c>
      <c r="C476" t="s">
        <v>26</v>
      </c>
      <c r="D476" t="s">
        <v>8</v>
      </c>
      <c r="F476" t="s">
        <v>20</v>
      </c>
      <c r="G476" t="s">
        <v>384</v>
      </c>
      <c r="H476" s="2" t="s">
        <v>383</v>
      </c>
    </row>
    <row r="477" spans="1:9" ht="16" x14ac:dyDescent="0.2">
      <c r="A477" s="2" t="s">
        <v>386</v>
      </c>
      <c r="B477" s="6">
        <f>((117.72/1000)/(Parameters!$B$4*Parameters!$B$10))</f>
        <v>3.9419160082575302E-2</v>
      </c>
      <c r="C477" t="s">
        <v>26</v>
      </c>
      <c r="D477" t="s">
        <v>8</v>
      </c>
      <c r="F477" t="s">
        <v>20</v>
      </c>
      <c r="G477" t="s">
        <v>388</v>
      </c>
      <c r="H477" s="2" t="s">
        <v>387</v>
      </c>
    </row>
    <row r="478" spans="1:9" x14ac:dyDescent="0.2">
      <c r="A478" t="s">
        <v>265</v>
      </c>
      <c r="B478" s="6">
        <f>(B357*B469)-Parameters!$B$13</f>
        <v>4.6217466351233014</v>
      </c>
      <c r="D478" t="s">
        <v>8</v>
      </c>
      <c r="E478" t="s">
        <v>37</v>
      </c>
      <c r="F478" t="s">
        <v>36</v>
      </c>
      <c r="G478" t="s">
        <v>423</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1034</v>
      </c>
      <c r="D480" s="35" t="s">
        <v>29</v>
      </c>
      <c r="E480" s="35"/>
      <c r="F480" s="35" t="s">
        <v>20</v>
      </c>
      <c r="G480" s="35" t="s">
        <v>500</v>
      </c>
      <c r="H480" s="35" t="s">
        <v>30</v>
      </c>
      <c r="I480" s="35"/>
    </row>
    <row r="481" spans="1:10" ht="16" x14ac:dyDescent="0.2">
      <c r="A481" s="2"/>
      <c r="H481" s="2"/>
    </row>
    <row r="482" spans="1:10" ht="16" x14ac:dyDescent="0.2">
      <c r="A482" s="1" t="s">
        <v>1</v>
      </c>
      <c r="B482" s="71" t="s">
        <v>392</v>
      </c>
    </row>
    <row r="483" spans="1:10" x14ac:dyDescent="0.2">
      <c r="A483" t="s">
        <v>2</v>
      </c>
      <c r="B483" s="6" t="s">
        <v>1033</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391</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392</v>
      </c>
      <c r="B492" s="36">
        <v>1</v>
      </c>
      <c r="C492" t="s">
        <v>1033</v>
      </c>
      <c r="D492" s="35" t="s">
        <v>8</v>
      </c>
      <c r="E492" s="35"/>
      <c r="F492" s="35" t="s">
        <v>17</v>
      </c>
      <c r="G492" s="35"/>
      <c r="H492" s="35"/>
      <c r="I492" s="35" t="s">
        <v>18</v>
      </c>
      <c r="J492" s="35" t="s">
        <v>337</v>
      </c>
    </row>
    <row r="493" spans="1:10" ht="16" x14ac:dyDescent="0.2">
      <c r="A493" s="2" t="s">
        <v>374</v>
      </c>
      <c r="B493" s="6">
        <v>1.00057</v>
      </c>
      <c r="C493" t="s">
        <v>1033</v>
      </c>
      <c r="D493" t="s">
        <v>8</v>
      </c>
      <c r="F493" s="35" t="s">
        <v>20</v>
      </c>
      <c r="G493" t="s">
        <v>18</v>
      </c>
      <c r="I493" s="35"/>
      <c r="J493" s="2" t="s">
        <v>375</v>
      </c>
    </row>
    <row r="494" spans="1:10" x14ac:dyDescent="0.2">
      <c r="A494" s="35" t="s">
        <v>28</v>
      </c>
      <c r="B494" s="36">
        <v>6.7000000000000002E-3</v>
      </c>
      <c r="C494" t="s">
        <v>1034</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567</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393</v>
      </c>
    </row>
    <row r="506" spans="1:10" x14ac:dyDescent="0.2">
      <c r="A506" t="s">
        <v>2</v>
      </c>
      <c r="B506" s="6" t="s">
        <v>1033</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391</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393</v>
      </c>
      <c r="B515" s="36">
        <v>1</v>
      </c>
      <c r="C515" t="s">
        <v>1033</v>
      </c>
      <c r="D515" s="35" t="s">
        <v>8</v>
      </c>
      <c r="E515" s="35"/>
      <c r="F515" s="35" t="s">
        <v>17</v>
      </c>
      <c r="G515" s="35"/>
      <c r="H515" s="35"/>
      <c r="I515" s="35" t="s">
        <v>18</v>
      </c>
      <c r="J515" s="35" t="s">
        <v>337</v>
      </c>
    </row>
    <row r="516" spans="1:10" ht="16" x14ac:dyDescent="0.2">
      <c r="A516" s="2" t="s">
        <v>376</v>
      </c>
      <c r="B516" s="6">
        <v>1.00057</v>
      </c>
      <c r="C516" t="s">
        <v>1033</v>
      </c>
      <c r="D516" t="s">
        <v>8</v>
      </c>
      <c r="F516" s="35" t="s">
        <v>20</v>
      </c>
      <c r="G516" t="s">
        <v>18</v>
      </c>
      <c r="I516" s="35"/>
      <c r="J516" s="2" t="s">
        <v>375</v>
      </c>
    </row>
    <row r="517" spans="1:10" x14ac:dyDescent="0.2">
      <c r="A517" s="35" t="s">
        <v>28</v>
      </c>
      <c r="B517" s="36">
        <v>6.7000000000000002E-3</v>
      </c>
      <c r="C517" t="s">
        <v>1034</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567</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504</v>
      </c>
    </row>
    <row r="529" spans="1:10" x14ac:dyDescent="0.2">
      <c r="A529" t="s">
        <v>2</v>
      </c>
      <c r="B529" s="6" t="s">
        <v>1033</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391</v>
      </c>
    </row>
    <row r="535" spans="1:10" x14ac:dyDescent="0.2">
      <c r="A535" t="s">
        <v>11</v>
      </c>
      <c r="B535" s="6" t="s">
        <v>502</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504</v>
      </c>
      <c r="B538" s="36">
        <v>1</v>
      </c>
      <c r="C538" t="s">
        <v>1033</v>
      </c>
      <c r="D538" s="35" t="s">
        <v>8</v>
      </c>
      <c r="E538" s="35"/>
      <c r="F538" s="35" t="s">
        <v>17</v>
      </c>
      <c r="G538" s="35"/>
      <c r="H538" s="35"/>
      <c r="I538" s="35" t="s">
        <v>18</v>
      </c>
      <c r="J538" s="35" t="s">
        <v>337</v>
      </c>
    </row>
    <row r="539" spans="1:10" ht="16" x14ac:dyDescent="0.2">
      <c r="A539" s="2" t="s">
        <v>503</v>
      </c>
      <c r="B539" s="6">
        <v>1.00057</v>
      </c>
      <c r="C539" t="s">
        <v>1033</v>
      </c>
      <c r="D539" t="s">
        <v>8</v>
      </c>
      <c r="F539" s="35" t="s">
        <v>20</v>
      </c>
      <c r="G539" t="s">
        <v>18</v>
      </c>
      <c r="I539" s="35"/>
      <c r="J539" s="2" t="s">
        <v>375</v>
      </c>
    </row>
    <row r="540" spans="1:10" x14ac:dyDescent="0.2">
      <c r="A540" s="35" t="s">
        <v>28</v>
      </c>
      <c r="B540" s="36">
        <v>6.7000000000000002E-3</v>
      </c>
      <c r="C540" t="s">
        <v>1034</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567</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1033</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836</v>
      </c>
      <c r="B559" s="5">
        <f>Summary!R8</f>
        <v>16.243640636399999</v>
      </c>
    </row>
    <row r="560" spans="1:10" x14ac:dyDescent="0.2">
      <c r="A560" t="s">
        <v>842</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1033</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1034</v>
      </c>
      <c r="D565" t="s">
        <v>29</v>
      </c>
      <c r="F565" t="s">
        <v>20</v>
      </c>
      <c r="H565" t="s">
        <v>30</v>
      </c>
    </row>
    <row r="566" spans="1:8" x14ac:dyDescent="0.2">
      <c r="A566" t="s">
        <v>352</v>
      </c>
      <c r="B566" s="6">
        <f>50*Parameters!$B$7/1000</f>
        <v>8.0500000000000002E-2</v>
      </c>
      <c r="C566" t="s">
        <v>567</v>
      </c>
      <c r="D566" t="s">
        <v>41</v>
      </c>
      <c r="F566" t="s">
        <v>20</v>
      </c>
      <c r="G566" t="s">
        <v>73</v>
      </c>
      <c r="H566" t="s">
        <v>353</v>
      </c>
    </row>
    <row r="567" spans="1:8" x14ac:dyDescent="0.2">
      <c r="A567" t="s">
        <v>42</v>
      </c>
      <c r="B567" s="6">
        <f>1.462/1000</f>
        <v>1.462E-3</v>
      </c>
      <c r="C567" t="s">
        <v>1034</v>
      </c>
      <c r="D567" t="s">
        <v>8</v>
      </c>
      <c r="F567" t="s">
        <v>20</v>
      </c>
      <c r="H567" t="s">
        <v>43</v>
      </c>
    </row>
    <row r="568" spans="1:8" x14ac:dyDescent="0.2">
      <c r="A568" t="s">
        <v>44</v>
      </c>
      <c r="B568" s="6">
        <f>0.65/1000</f>
        <v>6.4999999999999997E-4</v>
      </c>
      <c r="C568" t="s">
        <v>1034</v>
      </c>
      <c r="D568" t="s">
        <v>8</v>
      </c>
      <c r="F568" t="s">
        <v>20</v>
      </c>
      <c r="H568" t="s">
        <v>45</v>
      </c>
    </row>
    <row r="569" spans="1:8" x14ac:dyDescent="0.2">
      <c r="A569" t="s">
        <v>46</v>
      </c>
      <c r="B569" s="6">
        <f>1.002/1000</f>
        <v>1.0020000000000001E-3</v>
      </c>
      <c r="C569" t="s">
        <v>1034</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984</v>
      </c>
    </row>
    <row r="577" spans="1:7" x14ac:dyDescent="0.2">
      <c r="A577" t="s">
        <v>979</v>
      </c>
      <c r="B577" s="6">
        <f>20.36/1000000</f>
        <v>2.0359999999999998E-5</v>
      </c>
      <c r="D577" t="s">
        <v>8</v>
      </c>
      <c r="E577" t="s">
        <v>37</v>
      </c>
      <c r="F577" t="s">
        <v>36</v>
      </c>
      <c r="G577" t="s">
        <v>985</v>
      </c>
    </row>
    <row r="578" spans="1:7" x14ac:dyDescent="0.2">
      <c r="A578" t="s">
        <v>40</v>
      </c>
      <c r="B578" s="6">
        <f>30.436/1000000</f>
        <v>3.0436000000000001E-5</v>
      </c>
      <c r="D578" t="s">
        <v>8</v>
      </c>
      <c r="E578" t="s">
        <v>37</v>
      </c>
      <c r="F578" t="s">
        <v>36</v>
      </c>
      <c r="G578" t="s">
        <v>986</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1029</v>
      </c>
      <c r="B583" s="6">
        <v>1.758866488192</v>
      </c>
      <c r="D583" t="s">
        <v>8</v>
      </c>
      <c r="E583" t="s">
        <v>1030</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1033</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492</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1033</v>
      </c>
      <c r="D625" t="s">
        <v>8</v>
      </c>
      <c r="F625" t="s">
        <v>17</v>
      </c>
      <c r="G625" t="s">
        <v>18</v>
      </c>
      <c r="H625" s="2" t="s">
        <v>219</v>
      </c>
    </row>
    <row r="626" spans="1:8" ht="16" x14ac:dyDescent="0.2">
      <c r="A626" s="2" t="s">
        <v>65</v>
      </c>
      <c r="B626" s="6">
        <f>(1/((Parameters!C20*Parameters!B4*Parameters!B10)/1000))*Parameters!F32</f>
        <v>3.6117899478066171</v>
      </c>
      <c r="C626" t="s">
        <v>1033</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410</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386</v>
      </c>
      <c r="B632" s="6">
        <f>((117.72/1000)/(Parameters!$B$4*Parameters!$B$10))*Parameters!$F$32</f>
        <v>3.4014393012463603E-2</v>
      </c>
      <c r="C632" t="s">
        <v>26</v>
      </c>
      <c r="D632" t="s">
        <v>8</v>
      </c>
      <c r="F632" t="s">
        <v>20</v>
      </c>
      <c r="G632" t="s">
        <v>388</v>
      </c>
      <c r="H632" s="2" t="s">
        <v>387</v>
      </c>
    </row>
    <row r="633" spans="1:8" x14ac:dyDescent="0.2">
      <c r="A633" t="s">
        <v>265</v>
      </c>
      <c r="B633" s="6">
        <f>(B583*B626)-Parameters!$B$13</f>
        <v>4.4386563015857918</v>
      </c>
      <c r="D633" t="s">
        <v>8</v>
      </c>
      <c r="E633" t="s">
        <v>37</v>
      </c>
      <c r="F633" t="s">
        <v>36</v>
      </c>
      <c r="G633" t="s">
        <v>423</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1033</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492</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1033</v>
      </c>
      <c r="D647" t="s">
        <v>8</v>
      </c>
      <c r="F647" t="s">
        <v>17</v>
      </c>
      <c r="G647" t="s">
        <v>18</v>
      </c>
      <c r="H647" s="2" t="s">
        <v>219</v>
      </c>
    </row>
    <row r="648" spans="1:8" ht="16" x14ac:dyDescent="0.2">
      <c r="A648" s="2" t="s">
        <v>65</v>
      </c>
      <c r="B648" s="6">
        <f>(1/((Parameters!$C$20*Parameters!$B$4*Parameters!$B$10)/1000))*Parameters!G32</f>
        <v>3.902331224292801</v>
      </c>
      <c r="C648" t="s">
        <v>1033</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410</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386</v>
      </c>
      <c r="B654" s="6">
        <f>((117.72/1000)/(Parameters!$B$4*Parameters!$B$10))*Parameters!$G$32</f>
        <v>3.6750594537899889E-2</v>
      </c>
      <c r="C654" t="s">
        <v>26</v>
      </c>
      <c r="D654" t="s">
        <v>8</v>
      </c>
      <c r="F654" t="s">
        <v>20</v>
      </c>
      <c r="G654" t="s">
        <v>388</v>
      </c>
      <c r="H654" s="2" t="s">
        <v>387</v>
      </c>
    </row>
    <row r="655" spans="1:8" x14ac:dyDescent="0.2">
      <c r="A655" t="s">
        <v>265</v>
      </c>
      <c r="B655" s="6">
        <f>(B583*B648)-Parameters!$B$13</f>
        <v>4.9496796162338672</v>
      </c>
      <c r="D655" t="s">
        <v>8</v>
      </c>
      <c r="E655" t="s">
        <v>37</v>
      </c>
      <c r="F655" t="s">
        <v>36</v>
      </c>
      <c r="G655" t="s">
        <v>423</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505</v>
      </c>
    </row>
    <row r="659" spans="1:8" x14ac:dyDescent="0.2">
      <c r="A659" t="s">
        <v>2</v>
      </c>
      <c r="B659" s="6" t="s">
        <v>1033</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499</v>
      </c>
    </row>
    <row r="666" spans="1:8" x14ac:dyDescent="0.2">
      <c r="A666" t="s">
        <v>492</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505</v>
      </c>
      <c r="B669" s="6">
        <v>1</v>
      </c>
      <c r="C669" t="s">
        <v>1033</v>
      </c>
      <c r="D669" t="s">
        <v>8</v>
      </c>
      <c r="F669" t="s">
        <v>17</v>
      </c>
      <c r="G669" t="s">
        <v>18</v>
      </c>
      <c r="H669" s="2" t="s">
        <v>219</v>
      </c>
    </row>
    <row r="670" spans="1:8" ht="16" x14ac:dyDescent="0.2">
      <c r="A670" s="2" t="s">
        <v>65</v>
      </c>
      <c r="B670" s="6">
        <f>(1/((Parameters!$C$20*Parameters!$B$4*Parameters!$B$10)/1000))</f>
        <v>4.1856906305826644</v>
      </c>
      <c r="C670" t="s">
        <v>1033</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410</v>
      </c>
    </row>
    <row r="675" spans="1:9" ht="16" x14ac:dyDescent="0.2">
      <c r="A675" s="2" t="s">
        <v>370</v>
      </c>
      <c r="B675" s="6">
        <f>((76.17/1000)/(Parameters!$B$4*Parameters!$B$10))</f>
        <v>2.5505924426518525E-2</v>
      </c>
      <c r="C675" t="s">
        <v>31</v>
      </c>
      <c r="D675" t="s">
        <v>8</v>
      </c>
      <c r="F675" t="s">
        <v>20</v>
      </c>
      <c r="H675" s="2" t="s">
        <v>371</v>
      </c>
    </row>
    <row r="676" spans="1:9" ht="16" x14ac:dyDescent="0.2">
      <c r="A676" s="2" t="s">
        <v>386</v>
      </c>
      <c r="B676" s="6">
        <f>((117.72/1000)/(Parameters!$B$4*Parameters!$B$10))</f>
        <v>3.9419160082575302E-2</v>
      </c>
      <c r="C676" t="s">
        <v>26</v>
      </c>
      <c r="D676" t="s">
        <v>8</v>
      </c>
      <c r="F676" t="s">
        <v>20</v>
      </c>
      <c r="G676" t="s">
        <v>388</v>
      </c>
      <c r="H676" s="2" t="s">
        <v>387</v>
      </c>
    </row>
    <row r="677" spans="1:9" x14ac:dyDescent="0.2">
      <c r="A677" t="s">
        <v>265</v>
      </c>
      <c r="B677" s="6">
        <f>(B583*B670)-Parameters!$B$13</f>
        <v>5.4480709800710896</v>
      </c>
      <c r="D677" t="s">
        <v>8</v>
      </c>
      <c r="E677" t="s">
        <v>37</v>
      </c>
      <c r="F677" t="s">
        <v>36</v>
      </c>
      <c r="G677" t="s">
        <v>423</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1034</v>
      </c>
      <c r="D679" s="35" t="s">
        <v>29</v>
      </c>
      <c r="E679" s="35"/>
      <c r="F679" s="35" t="s">
        <v>20</v>
      </c>
      <c r="G679" s="35" t="s">
        <v>500</v>
      </c>
      <c r="H679" s="35" t="s">
        <v>30</v>
      </c>
      <c r="I679" s="35"/>
    </row>
    <row r="680" spans="1:9" ht="16" x14ac:dyDescent="0.2">
      <c r="A680" s="2"/>
      <c r="H680" s="2"/>
    </row>
    <row r="681" spans="1:9" ht="16" x14ac:dyDescent="0.2">
      <c r="A681" s="1" t="s">
        <v>1</v>
      </c>
      <c r="B681" s="71" t="s">
        <v>394</v>
      </c>
    </row>
    <row r="682" spans="1:9" x14ac:dyDescent="0.2">
      <c r="A682" t="s">
        <v>2</v>
      </c>
      <c r="B682" s="6" t="s">
        <v>1033</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391</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394</v>
      </c>
      <c r="B691" s="36">
        <v>1</v>
      </c>
      <c r="C691" t="s">
        <v>1033</v>
      </c>
      <c r="D691" s="35" t="s">
        <v>8</v>
      </c>
      <c r="E691" s="35"/>
      <c r="F691" s="35" t="s">
        <v>17</v>
      </c>
      <c r="G691" s="35"/>
      <c r="H691" s="35"/>
      <c r="I691" s="35" t="s">
        <v>18</v>
      </c>
      <c r="J691" s="35" t="s">
        <v>337</v>
      </c>
    </row>
    <row r="692" spans="1:10" ht="16" x14ac:dyDescent="0.2">
      <c r="A692" s="2" t="s">
        <v>369</v>
      </c>
      <c r="B692" s="6">
        <v>1.00057</v>
      </c>
      <c r="C692" t="s">
        <v>1033</v>
      </c>
      <c r="D692" t="s">
        <v>8</v>
      </c>
      <c r="F692" s="35" t="s">
        <v>20</v>
      </c>
      <c r="G692" t="s">
        <v>18</v>
      </c>
      <c r="I692" s="35"/>
      <c r="J692" s="2" t="s">
        <v>219</v>
      </c>
    </row>
    <row r="693" spans="1:10" x14ac:dyDescent="0.2">
      <c r="A693" s="35" t="s">
        <v>28</v>
      </c>
      <c r="B693" s="36">
        <v>6.7000000000000002E-3</v>
      </c>
      <c r="C693" t="s">
        <v>1034</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567</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395</v>
      </c>
    </row>
    <row r="705" spans="1:10" x14ac:dyDescent="0.2">
      <c r="A705" t="s">
        <v>2</v>
      </c>
      <c r="B705" s="6" t="s">
        <v>1033</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391</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395</v>
      </c>
      <c r="B714" s="36">
        <v>1</v>
      </c>
      <c r="C714" t="s">
        <v>1033</v>
      </c>
      <c r="D714" s="35" t="s">
        <v>8</v>
      </c>
      <c r="E714" s="35"/>
      <c r="F714" s="35" t="s">
        <v>17</v>
      </c>
      <c r="G714" s="35"/>
      <c r="H714" s="35"/>
      <c r="I714" s="35" t="s">
        <v>18</v>
      </c>
      <c r="J714" s="35" t="s">
        <v>337</v>
      </c>
    </row>
    <row r="715" spans="1:10" ht="16" x14ac:dyDescent="0.2">
      <c r="A715" s="2" t="s">
        <v>372</v>
      </c>
      <c r="B715" s="6">
        <v>1.00057</v>
      </c>
      <c r="C715" t="s">
        <v>1033</v>
      </c>
      <c r="D715" t="s">
        <v>8</v>
      </c>
      <c r="F715" s="35" t="s">
        <v>20</v>
      </c>
      <c r="G715" t="s">
        <v>18</v>
      </c>
      <c r="I715" s="35"/>
      <c r="J715" s="2" t="s">
        <v>219</v>
      </c>
    </row>
    <row r="716" spans="1:10" x14ac:dyDescent="0.2">
      <c r="A716" s="35" t="s">
        <v>28</v>
      </c>
      <c r="B716" s="36">
        <v>6.7000000000000002E-3</v>
      </c>
      <c r="C716" t="s">
        <v>1034</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567</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506</v>
      </c>
    </row>
    <row r="728" spans="1:10" x14ac:dyDescent="0.2">
      <c r="A728" t="s">
        <v>2</v>
      </c>
      <c r="B728" s="6" t="s">
        <v>1033</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391</v>
      </c>
    </row>
    <row r="734" spans="1:10" x14ac:dyDescent="0.2">
      <c r="A734" t="s">
        <v>11</v>
      </c>
      <c r="B734" s="6" t="s">
        <v>502</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506</v>
      </c>
      <c r="B737" s="36">
        <v>1</v>
      </c>
      <c r="C737" t="s">
        <v>1033</v>
      </c>
      <c r="D737" s="35" t="s">
        <v>8</v>
      </c>
      <c r="E737" s="35"/>
      <c r="F737" s="35" t="s">
        <v>17</v>
      </c>
      <c r="G737" s="35"/>
      <c r="H737" s="35"/>
      <c r="I737" s="35" t="s">
        <v>18</v>
      </c>
      <c r="J737" s="35" t="s">
        <v>337</v>
      </c>
    </row>
    <row r="738" spans="1:10" ht="16" x14ac:dyDescent="0.2">
      <c r="A738" s="2" t="s">
        <v>505</v>
      </c>
      <c r="B738" s="6">
        <v>1.00057</v>
      </c>
      <c r="C738" t="s">
        <v>1033</v>
      </c>
      <c r="D738" t="s">
        <v>8</v>
      </c>
      <c r="F738" s="35" t="s">
        <v>20</v>
      </c>
      <c r="G738" t="s">
        <v>18</v>
      </c>
      <c r="I738" s="35"/>
      <c r="J738" s="2" t="s">
        <v>219</v>
      </c>
    </row>
    <row r="739" spans="1:10" x14ac:dyDescent="0.2">
      <c r="A739" s="35" t="s">
        <v>28</v>
      </c>
      <c r="B739" s="36">
        <v>6.7000000000000002E-3</v>
      </c>
      <c r="C739" t="s">
        <v>1034</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567</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1033</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1033</v>
      </c>
      <c r="D760" t="s">
        <v>8</v>
      </c>
      <c r="F760" t="s">
        <v>17</v>
      </c>
      <c r="G760" t="s">
        <v>18</v>
      </c>
      <c r="H760" s="2" t="s">
        <v>70</v>
      </c>
    </row>
    <row r="761" spans="1:8" ht="16" x14ac:dyDescent="0.2">
      <c r="A761" s="2" t="s">
        <v>69</v>
      </c>
      <c r="B761" s="6">
        <v>0.14000000000000001</v>
      </c>
      <c r="C761" t="s">
        <v>1033</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567</v>
      </c>
      <c r="D763" t="s">
        <v>41</v>
      </c>
      <c r="F763" t="s">
        <v>20</v>
      </c>
      <c r="G763" t="s">
        <v>75</v>
      </c>
      <c r="H763" t="s">
        <v>353</v>
      </c>
    </row>
    <row r="764" spans="1:8" x14ac:dyDescent="0.2">
      <c r="A764" t="s">
        <v>1029</v>
      </c>
      <c r="B764" s="6">
        <v>1.81</v>
      </c>
      <c r="D764" t="s">
        <v>8</v>
      </c>
      <c r="E764" t="s">
        <v>1030</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396</v>
      </c>
    </row>
    <row r="769" spans="1:8" x14ac:dyDescent="0.2">
      <c r="A769" t="s">
        <v>2</v>
      </c>
      <c r="B769" s="6" t="s">
        <v>1033</v>
      </c>
    </row>
    <row r="770" spans="1:8" x14ac:dyDescent="0.2">
      <c r="A770" t="s">
        <v>3</v>
      </c>
      <c r="B770" s="6">
        <v>1</v>
      </c>
    </row>
    <row r="771" spans="1:8" ht="16" x14ac:dyDescent="0.2">
      <c r="A771" t="s">
        <v>4</v>
      </c>
      <c r="B771" s="72" t="s">
        <v>397</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492</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396</v>
      </c>
      <c r="B779" s="6">
        <v>1</v>
      </c>
      <c r="C779" t="s">
        <v>1033</v>
      </c>
      <c r="D779" t="s">
        <v>8</v>
      </c>
      <c r="F779" t="s">
        <v>17</v>
      </c>
      <c r="G779" t="s">
        <v>18</v>
      </c>
      <c r="H779" s="2" t="s">
        <v>397</v>
      </c>
    </row>
    <row r="780" spans="1:8" ht="16" x14ac:dyDescent="0.2">
      <c r="A780" s="2" t="s">
        <v>69</v>
      </c>
      <c r="B780" s="6">
        <f>(1/((Parameters!C20*Parameters!B4*Parameters!B10)/1000))*Parameters!F32</f>
        <v>3.6117899478066171</v>
      </c>
      <c r="C780" t="s">
        <v>1033</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386</v>
      </c>
      <c r="B782" s="6">
        <f>((102.06/1000)/(Parameters!$B$4*Parameters!$B$10))*Parameters!$F$32</f>
        <v>2.948954256585147E-2</v>
      </c>
      <c r="C782" t="s">
        <v>26</v>
      </c>
      <c r="D782" t="s">
        <v>8</v>
      </c>
      <c r="F782" t="s">
        <v>20</v>
      </c>
      <c r="G782" t="s">
        <v>388</v>
      </c>
      <c r="H782" s="2" t="s">
        <v>387</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410</v>
      </c>
    </row>
    <row r="786" spans="1:8" ht="16" x14ac:dyDescent="0.2">
      <c r="A786" s="2" t="s">
        <v>370</v>
      </c>
      <c r="B786" s="6">
        <f>((64.82/1000)/(Parameters!$B$4*Parameters!$B$10))*Parameters!$F$32</f>
        <v>1.8729297953345995E-2</v>
      </c>
      <c r="C786" t="s">
        <v>31</v>
      </c>
      <c r="D786" t="s">
        <v>8</v>
      </c>
      <c r="F786" t="s">
        <v>20</v>
      </c>
      <c r="G786" t="s">
        <v>385</v>
      </c>
      <c r="H786" s="2" t="s">
        <v>371</v>
      </c>
    </row>
    <row r="787" spans="1:8" x14ac:dyDescent="0.2">
      <c r="A787" t="s">
        <v>265</v>
      </c>
      <c r="B787" s="6">
        <f>(B764*B780)-Parameters!$B$13</f>
        <v>4.6233398055299775</v>
      </c>
      <c r="D787" t="s">
        <v>8</v>
      </c>
      <c r="E787" t="s">
        <v>37</v>
      </c>
      <c r="F787" t="s">
        <v>36</v>
      </c>
      <c r="G787" t="s">
        <v>423</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398</v>
      </c>
    </row>
    <row r="791" spans="1:8" x14ac:dyDescent="0.2">
      <c r="A791" t="s">
        <v>2</v>
      </c>
      <c r="B791" s="6" t="s">
        <v>1033</v>
      </c>
    </row>
    <row r="792" spans="1:8" x14ac:dyDescent="0.2">
      <c r="A792" t="s">
        <v>3</v>
      </c>
      <c r="B792" s="6">
        <v>1</v>
      </c>
    </row>
    <row r="793" spans="1:8" ht="16" x14ac:dyDescent="0.2">
      <c r="A793" t="s">
        <v>4</v>
      </c>
      <c r="B793" s="72" t="s">
        <v>397</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492</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398</v>
      </c>
      <c r="B801" s="6">
        <v>1</v>
      </c>
      <c r="C801" t="s">
        <v>1033</v>
      </c>
      <c r="D801" t="s">
        <v>8</v>
      </c>
      <c r="F801" t="s">
        <v>17</v>
      </c>
      <c r="G801" t="s">
        <v>18</v>
      </c>
      <c r="H801" s="2" t="s">
        <v>397</v>
      </c>
    </row>
    <row r="802" spans="1:8" ht="16" x14ac:dyDescent="0.2">
      <c r="A802" s="2" t="s">
        <v>69</v>
      </c>
      <c r="B802" s="6">
        <f>(1/((Parameters!$C$20*Parameters!$B$4*Parameters!$B$10)/1000))*Parameters!$G$32</f>
        <v>3.902331224292801</v>
      </c>
      <c r="C802" t="s">
        <v>1033</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386</v>
      </c>
      <c r="B804" s="6">
        <f>((102.06/1000)/(Parameters!$B$4*Parameters!$B$10))*Parameters!$G$32</f>
        <v>3.1861753980105864E-2</v>
      </c>
      <c r="C804" t="s">
        <v>26</v>
      </c>
      <c r="D804" t="s">
        <v>8</v>
      </c>
      <c r="F804" t="s">
        <v>20</v>
      </c>
      <c r="G804" t="s">
        <v>388</v>
      </c>
      <c r="H804" s="2" t="s">
        <v>387</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410</v>
      </c>
    </row>
    <row r="808" spans="1:8" ht="16" x14ac:dyDescent="0.2">
      <c r="A808" s="2" t="s">
        <v>370</v>
      </c>
      <c r="B808" s="6">
        <f>((64.82/1000)/(Parameters!$B$4*Parameters!$B$10))*Parameters!$G$32</f>
        <v>2.023592879669275E-2</v>
      </c>
      <c r="C808" t="s">
        <v>31</v>
      </c>
      <c r="D808" t="s">
        <v>8</v>
      </c>
      <c r="F808" t="s">
        <v>20</v>
      </c>
      <c r="G808" t="s">
        <v>385</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423</v>
      </c>
    </row>
    <row r="811" spans="1:8" ht="16" x14ac:dyDescent="0.2">
      <c r="A811" s="2"/>
      <c r="H811" s="2"/>
    </row>
    <row r="812" spans="1:8" ht="16" x14ac:dyDescent="0.2">
      <c r="A812" s="1" t="s">
        <v>1</v>
      </c>
      <c r="B812" s="71" t="s">
        <v>1095</v>
      </c>
    </row>
    <row r="813" spans="1:8" x14ac:dyDescent="0.2">
      <c r="A813" t="s">
        <v>2</v>
      </c>
      <c r="B813" s="6" t="s">
        <v>1033</v>
      </c>
    </row>
    <row r="814" spans="1:8" x14ac:dyDescent="0.2">
      <c r="A814" t="s">
        <v>3</v>
      </c>
      <c r="B814" s="6">
        <v>1</v>
      </c>
    </row>
    <row r="815" spans="1:8" ht="16" x14ac:dyDescent="0.2">
      <c r="A815" t="s">
        <v>4</v>
      </c>
      <c r="B815" s="72" t="s">
        <v>397</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1096</v>
      </c>
    </row>
    <row r="820" spans="1:8" x14ac:dyDescent="0.2">
      <c r="A820" t="s">
        <v>492</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1095</v>
      </c>
      <c r="B823" s="6">
        <v>1</v>
      </c>
      <c r="C823" t="s">
        <v>1033</v>
      </c>
      <c r="D823" t="s">
        <v>8</v>
      </c>
      <c r="F823" t="s">
        <v>17</v>
      </c>
      <c r="G823" t="s">
        <v>18</v>
      </c>
      <c r="H823" s="2" t="s">
        <v>397</v>
      </c>
    </row>
    <row r="824" spans="1:8" ht="16" x14ac:dyDescent="0.2">
      <c r="A824" s="2" t="s">
        <v>69</v>
      </c>
      <c r="B824" s="6">
        <f>(1/((Parameters!$C$20*Parameters!$B$4*Parameters!$B$10)/1000))*Parameters!$G$32</f>
        <v>3.902331224292801</v>
      </c>
      <c r="C824" t="s">
        <v>1033</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386</v>
      </c>
      <c r="B826" s="6">
        <f>((102.06/1000)/(Parameters!$B$4*Parameters!$B$10))*Parameters!$G$32</f>
        <v>3.1861753980105864E-2</v>
      </c>
      <c r="C826" t="s">
        <v>26</v>
      </c>
      <c r="D826" t="s">
        <v>8</v>
      </c>
      <c r="F826" t="s">
        <v>20</v>
      </c>
      <c r="G826" t="s">
        <v>388</v>
      </c>
      <c r="H826" s="2" t="s">
        <v>387</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410</v>
      </c>
    </row>
    <row r="830" spans="1:8" ht="16" x14ac:dyDescent="0.2">
      <c r="A830" s="2" t="s">
        <v>370</v>
      </c>
      <c r="B830" s="6">
        <f>((64.82/1000)/(Parameters!$B$4*Parameters!$B$10))*Parameters!$G$32</f>
        <v>2.023592879669275E-2</v>
      </c>
      <c r="C830" t="s">
        <v>31</v>
      </c>
      <c r="D830" t="s">
        <v>8</v>
      </c>
      <c r="F830" t="s">
        <v>20</v>
      </c>
      <c r="G830" t="s">
        <v>385</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423</v>
      </c>
    </row>
    <row r="833" spans="1:9" x14ac:dyDescent="0.2">
      <c r="A833" s="35" t="s">
        <v>28</v>
      </c>
      <c r="B833" s="36">
        <f>(($B$764*$B$802)-Parameters!$B$13)*(0.975)*(180/1000)</f>
        <v>0.90368802505272983</v>
      </c>
      <c r="C833" t="s">
        <v>1034</v>
      </c>
      <c r="D833" s="35" t="s">
        <v>29</v>
      </c>
      <c r="E833" s="35"/>
      <c r="F833" s="35" t="s">
        <v>20</v>
      </c>
      <c r="G833" s="35" t="s">
        <v>500</v>
      </c>
      <c r="H833" s="35" t="s">
        <v>30</v>
      </c>
      <c r="I833" s="35"/>
    </row>
    <row r="834" spans="1:9" x14ac:dyDescent="0.2">
      <c r="A834" t="s">
        <v>1065</v>
      </c>
      <c r="B834" s="6">
        <f>(($B$764*$B$802)-Parameters!$B$13)*(0.975)</f>
        <v>5.0204890280707213</v>
      </c>
      <c r="C834" t="s">
        <v>567</v>
      </c>
      <c r="D834" t="s">
        <v>8</v>
      </c>
      <c r="F834" s="35" t="s">
        <v>20</v>
      </c>
      <c r="H834" t="s">
        <v>1065</v>
      </c>
    </row>
    <row r="835" spans="1:9" ht="16" x14ac:dyDescent="0.2">
      <c r="A835" s="2"/>
      <c r="H835" s="2"/>
    </row>
    <row r="836" spans="1:9" ht="16" x14ac:dyDescent="0.2">
      <c r="A836" s="1" t="s">
        <v>1</v>
      </c>
      <c r="B836" s="71" t="s">
        <v>507</v>
      </c>
    </row>
    <row r="837" spans="1:9" x14ac:dyDescent="0.2">
      <c r="A837" t="s">
        <v>2</v>
      </c>
      <c r="B837" s="6" t="s">
        <v>1033</v>
      </c>
    </row>
    <row r="838" spans="1:9" x14ac:dyDescent="0.2">
      <c r="A838" t="s">
        <v>3</v>
      </c>
      <c r="B838" s="6">
        <v>1</v>
      </c>
    </row>
    <row r="839" spans="1:9" ht="16" x14ac:dyDescent="0.2">
      <c r="A839" t="s">
        <v>4</v>
      </c>
      <c r="B839" s="72" t="s">
        <v>397</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499</v>
      </c>
    </row>
    <row r="844" spans="1:9" x14ac:dyDescent="0.2">
      <c r="A844" t="s">
        <v>492</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507</v>
      </c>
      <c r="B847" s="6">
        <v>1</v>
      </c>
      <c r="C847" t="s">
        <v>1033</v>
      </c>
      <c r="D847" t="s">
        <v>8</v>
      </c>
      <c r="F847" t="s">
        <v>17</v>
      </c>
      <c r="G847" t="s">
        <v>18</v>
      </c>
      <c r="H847" s="2" t="s">
        <v>397</v>
      </c>
    </row>
    <row r="848" spans="1:9" ht="16" x14ac:dyDescent="0.2">
      <c r="A848" s="2" t="s">
        <v>69</v>
      </c>
      <c r="B848" s="6">
        <f>(1/((Parameters!$C$20*Parameters!$B$4*Parameters!$B$10)/1000))</f>
        <v>4.1856906305826644</v>
      </c>
      <c r="C848" t="s">
        <v>1033</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386</v>
      </c>
      <c r="B850" s="6">
        <f>((102.06/1000)/(Parameters!$B$4*Parameters!$B$10))</f>
        <v>3.4175326860581341E-2</v>
      </c>
      <c r="C850" t="s">
        <v>26</v>
      </c>
      <c r="D850" t="s">
        <v>8</v>
      </c>
      <c r="F850" t="s">
        <v>20</v>
      </c>
      <c r="G850" t="s">
        <v>388</v>
      </c>
      <c r="H850" s="2" t="s">
        <v>387</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410</v>
      </c>
    </row>
    <row r="854" spans="1:9" ht="16" x14ac:dyDescent="0.2">
      <c r="A854" s="2" t="s">
        <v>370</v>
      </c>
      <c r="B854" s="6">
        <f>((64.82/1000)/(Parameters!$B$4*Parameters!$B$10))</f>
        <v>2.1705317333949464E-2</v>
      </c>
      <c r="C854" t="s">
        <v>31</v>
      </c>
      <c r="D854" t="s">
        <v>8</v>
      </c>
      <c r="F854" t="s">
        <v>20</v>
      </c>
      <c r="G854" t="s">
        <v>385</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423</v>
      </c>
    </row>
    <row r="857" spans="1:9" x14ac:dyDescent="0.2">
      <c r="A857" s="35" t="s">
        <v>28</v>
      </c>
      <c r="B857" s="36">
        <f>Parameters!H19/Parameters!B4*Parameters!B10*-1</f>
        <v>-0.37292496697490091</v>
      </c>
      <c r="C857" t="s">
        <v>1034</v>
      </c>
      <c r="D857" s="35" t="s">
        <v>29</v>
      </c>
      <c r="E857" s="35"/>
      <c r="F857" s="35" t="s">
        <v>20</v>
      </c>
      <c r="G857" s="35" t="s">
        <v>500</v>
      </c>
      <c r="H857" s="35" t="s">
        <v>30</v>
      </c>
      <c r="I857" s="35"/>
    </row>
    <row r="858" spans="1:9" ht="16" x14ac:dyDescent="0.2">
      <c r="A858" s="2"/>
      <c r="H858" s="2"/>
    </row>
    <row r="859" spans="1:9" ht="16" x14ac:dyDescent="0.2">
      <c r="A859" s="1" t="s">
        <v>1</v>
      </c>
      <c r="B859" s="71" t="s">
        <v>399</v>
      </c>
    </row>
    <row r="860" spans="1:9" x14ac:dyDescent="0.2">
      <c r="A860" t="s">
        <v>2</v>
      </c>
      <c r="B860" s="6" t="s">
        <v>1033</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391</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399</v>
      </c>
      <c r="B869" s="36">
        <v>1</v>
      </c>
      <c r="C869" t="s">
        <v>1033</v>
      </c>
      <c r="D869" s="35" t="s">
        <v>8</v>
      </c>
      <c r="E869" s="35"/>
      <c r="F869" s="35" t="s">
        <v>17</v>
      </c>
      <c r="G869" s="35"/>
      <c r="H869" s="35"/>
      <c r="I869" s="35" t="s">
        <v>18</v>
      </c>
      <c r="J869" s="35" t="s">
        <v>337</v>
      </c>
    </row>
    <row r="870" spans="1:10" ht="16" x14ac:dyDescent="0.2">
      <c r="A870" s="2" t="s">
        <v>396</v>
      </c>
      <c r="B870" s="6">
        <v>1.00057</v>
      </c>
      <c r="C870" t="s">
        <v>1033</v>
      </c>
      <c r="D870" t="s">
        <v>8</v>
      </c>
      <c r="F870" s="35" t="s">
        <v>20</v>
      </c>
      <c r="G870" t="s">
        <v>18</v>
      </c>
      <c r="I870" s="35"/>
      <c r="J870" s="2" t="s">
        <v>397</v>
      </c>
    </row>
    <row r="871" spans="1:10" x14ac:dyDescent="0.2">
      <c r="A871" s="35" t="s">
        <v>28</v>
      </c>
      <c r="B871" s="36">
        <v>6.7000000000000002E-3</v>
      </c>
      <c r="C871" t="s">
        <v>1034</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567</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400</v>
      </c>
    </row>
    <row r="883" spans="1:10" x14ac:dyDescent="0.2">
      <c r="A883" t="s">
        <v>2</v>
      </c>
      <c r="B883" s="6" t="s">
        <v>1033</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391</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400</v>
      </c>
      <c r="B892" s="36">
        <v>1</v>
      </c>
      <c r="C892" t="s">
        <v>1033</v>
      </c>
      <c r="D892" s="35" t="s">
        <v>8</v>
      </c>
      <c r="E892" s="35"/>
      <c r="F892" s="35" t="s">
        <v>17</v>
      </c>
      <c r="G892" s="35"/>
      <c r="H892" s="35"/>
      <c r="I892" s="35" t="s">
        <v>18</v>
      </c>
      <c r="J892" s="35" t="s">
        <v>337</v>
      </c>
    </row>
    <row r="893" spans="1:10" ht="16" x14ac:dyDescent="0.2">
      <c r="A893" s="2" t="s">
        <v>398</v>
      </c>
      <c r="B893" s="6">
        <v>1.00057</v>
      </c>
      <c r="C893" t="s">
        <v>1033</v>
      </c>
      <c r="D893" t="s">
        <v>8</v>
      </c>
      <c r="F893" s="35" t="s">
        <v>20</v>
      </c>
      <c r="G893" t="s">
        <v>18</v>
      </c>
      <c r="I893" s="35"/>
      <c r="J893" s="2" t="s">
        <v>397</v>
      </c>
    </row>
    <row r="894" spans="1:10" x14ac:dyDescent="0.2">
      <c r="A894" s="35" t="s">
        <v>28</v>
      </c>
      <c r="B894" s="36">
        <v>6.7000000000000002E-3</v>
      </c>
      <c r="C894" t="s">
        <v>1034</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567</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508</v>
      </c>
    </row>
    <row r="906" spans="1:10" x14ac:dyDescent="0.2">
      <c r="A906" t="s">
        <v>2</v>
      </c>
      <c r="B906" s="6" t="s">
        <v>1033</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391</v>
      </c>
    </row>
    <row r="912" spans="1:10" x14ac:dyDescent="0.2">
      <c r="A912" t="s">
        <v>11</v>
      </c>
      <c r="B912" s="6" t="s">
        <v>502</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508</v>
      </c>
      <c r="B915" s="36">
        <v>1</v>
      </c>
      <c r="C915" t="s">
        <v>1033</v>
      </c>
      <c r="D915" s="35" t="s">
        <v>8</v>
      </c>
      <c r="E915" s="35"/>
      <c r="F915" s="35" t="s">
        <v>17</v>
      </c>
      <c r="G915" s="35"/>
      <c r="H915" s="35"/>
      <c r="I915" s="35" t="s">
        <v>18</v>
      </c>
      <c r="J915" s="35" t="s">
        <v>337</v>
      </c>
    </row>
    <row r="916" spans="1:10" ht="16" x14ac:dyDescent="0.2">
      <c r="A916" s="2" t="s">
        <v>507</v>
      </c>
      <c r="B916" s="6">
        <v>1.00057</v>
      </c>
      <c r="C916" t="s">
        <v>1033</v>
      </c>
      <c r="D916" t="s">
        <v>8</v>
      </c>
      <c r="F916" s="35" t="s">
        <v>20</v>
      </c>
      <c r="G916" t="s">
        <v>18</v>
      </c>
      <c r="I916" s="35"/>
      <c r="J916" s="2" t="s">
        <v>397</v>
      </c>
    </row>
    <row r="917" spans="1:10" x14ac:dyDescent="0.2">
      <c r="A917" s="35" t="s">
        <v>28</v>
      </c>
      <c r="B917" s="36">
        <v>6.7000000000000002E-3</v>
      </c>
      <c r="C917" t="s">
        <v>1034</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567</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1033</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836</v>
      </c>
      <c r="B936" s="5">
        <f>Summary!R10</f>
        <v>16.186667617799998</v>
      </c>
    </row>
    <row r="937" spans="1:8" x14ac:dyDescent="0.2">
      <c r="A937" t="s">
        <v>842</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1033</v>
      </c>
      <c r="D940" t="s">
        <v>8</v>
      </c>
      <c r="F940" t="s">
        <v>17</v>
      </c>
      <c r="G940" t="s">
        <v>18</v>
      </c>
      <c r="H940" s="72" t="s">
        <v>62</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1034</v>
      </c>
      <c r="D942" t="s">
        <v>29</v>
      </c>
      <c r="F942" t="s">
        <v>20</v>
      </c>
      <c r="H942" t="s">
        <v>30</v>
      </c>
    </row>
    <row r="943" spans="1:8" x14ac:dyDescent="0.2">
      <c r="A943" t="s">
        <v>352</v>
      </c>
      <c r="B943" s="6">
        <f>37*Parameters!$B$7/1000</f>
        <v>5.9569999999999998E-2</v>
      </c>
      <c r="C943" t="s">
        <v>567</v>
      </c>
      <c r="D943" t="s">
        <v>41</v>
      </c>
      <c r="F943" t="s">
        <v>20</v>
      </c>
      <c r="G943" t="s">
        <v>74</v>
      </c>
      <c r="H943" t="s">
        <v>353</v>
      </c>
    </row>
    <row r="944" spans="1:8" x14ac:dyDescent="0.2">
      <c r="A944" t="s">
        <v>42</v>
      </c>
      <c r="B944" s="6">
        <f>4.641/1000</f>
        <v>4.6410000000000002E-3</v>
      </c>
      <c r="C944" t="s">
        <v>1034</v>
      </c>
      <c r="D944" t="s">
        <v>8</v>
      </c>
      <c r="F944" t="s">
        <v>20</v>
      </c>
      <c r="H944" t="s">
        <v>43</v>
      </c>
    </row>
    <row r="945" spans="1:8" x14ac:dyDescent="0.2">
      <c r="A945" t="s">
        <v>44</v>
      </c>
      <c r="B945" s="6">
        <f>1.047/1000</f>
        <v>1.047E-3</v>
      </c>
      <c r="C945" t="s">
        <v>1034</v>
      </c>
      <c r="D945" t="s">
        <v>8</v>
      </c>
      <c r="F945" t="s">
        <v>20</v>
      </c>
      <c r="H945" t="s">
        <v>45</v>
      </c>
    </row>
    <row r="946" spans="1:8" x14ac:dyDescent="0.2">
      <c r="A946" t="s">
        <v>46</v>
      </c>
      <c r="B946" s="6">
        <f>2.868/1000</f>
        <v>2.8679999999999999E-3</v>
      </c>
      <c r="C946" t="s">
        <v>1034</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1040</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987</v>
      </c>
    </row>
    <row r="955" spans="1:8" x14ac:dyDescent="0.2">
      <c r="A955" t="s">
        <v>979</v>
      </c>
      <c r="B955" s="6">
        <f>73.885/1000000</f>
        <v>7.3885000000000002E-5</v>
      </c>
      <c r="D955" t="s">
        <v>8</v>
      </c>
      <c r="E955" t="s">
        <v>37</v>
      </c>
      <c r="F955" t="s">
        <v>36</v>
      </c>
      <c r="G955" t="s">
        <v>988</v>
      </c>
    </row>
    <row r="956" spans="1:8" x14ac:dyDescent="0.2">
      <c r="A956" t="s">
        <v>40</v>
      </c>
      <c r="B956" s="6">
        <f>109.405/1000000</f>
        <v>1.09405E-4</v>
      </c>
      <c r="D956" t="s">
        <v>8</v>
      </c>
      <c r="E956" t="s">
        <v>37</v>
      </c>
      <c r="F956" t="s">
        <v>36</v>
      </c>
      <c r="G956" t="s">
        <v>989</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1029</v>
      </c>
      <c r="B961" s="6">
        <v>1.7590123356145999</v>
      </c>
      <c r="D961" t="s">
        <v>8</v>
      </c>
      <c r="E961" t="s">
        <v>1030</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401</v>
      </c>
    </row>
    <row r="991" spans="1:7" x14ac:dyDescent="0.2">
      <c r="A991" t="s">
        <v>2</v>
      </c>
      <c r="B991" s="6" t="s">
        <v>1033</v>
      </c>
    </row>
    <row r="992" spans="1:7" x14ac:dyDescent="0.2">
      <c r="A992" t="s">
        <v>3</v>
      </c>
      <c r="B992" s="6">
        <v>1</v>
      </c>
    </row>
    <row r="993" spans="1:8" ht="16" x14ac:dyDescent="0.2">
      <c r="A993" t="s">
        <v>4</v>
      </c>
      <c r="B993" s="72" t="s">
        <v>402</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492</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401</v>
      </c>
      <c r="B1001" s="6">
        <v>1</v>
      </c>
      <c r="C1001" t="s">
        <v>1033</v>
      </c>
      <c r="D1001" t="s">
        <v>8</v>
      </c>
      <c r="F1001" t="s">
        <v>17</v>
      </c>
      <c r="G1001" t="s">
        <v>18</v>
      </c>
      <c r="H1001" s="2" t="s">
        <v>402</v>
      </c>
    </row>
    <row r="1002" spans="1:8" ht="16" x14ac:dyDescent="0.2">
      <c r="A1002" s="2" t="s">
        <v>66</v>
      </c>
      <c r="B1002" s="6">
        <f>(1/((Parameters!$C$20*Parameters!$B$4*Parameters!$B$10)/1000))*Parameters!F32</f>
        <v>3.6117899478066171</v>
      </c>
      <c r="C1002" t="s">
        <v>1033</v>
      </c>
      <c r="D1002" t="s">
        <v>8</v>
      </c>
      <c r="F1002" t="s">
        <v>20</v>
      </c>
      <c r="G1002" t="s">
        <v>18</v>
      </c>
      <c r="H1002" s="72" t="s">
        <v>62</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410</v>
      </c>
    </row>
    <row r="1007" spans="1:8" ht="16" x14ac:dyDescent="0.2">
      <c r="A1007" s="2" t="s">
        <v>370</v>
      </c>
      <c r="B1007" s="6">
        <f>((76.17/1000)/(Parameters!$B$4*Parameters!$B$10))*Parameters!$F$32</f>
        <v>2.2008803225954405E-2</v>
      </c>
      <c r="C1007" t="s">
        <v>31</v>
      </c>
      <c r="D1007" t="s">
        <v>8</v>
      </c>
      <c r="F1007" t="s">
        <v>20</v>
      </c>
      <c r="G1007" t="s">
        <v>385</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382</v>
      </c>
      <c r="B1009" s="6">
        <f>((26.58/1000)/(Parameters!$B$4*Parameters!$B$10))*Parameters!$F$32</f>
        <v>7.6801101450159909E-3</v>
      </c>
      <c r="C1009" t="s">
        <v>26</v>
      </c>
      <c r="D1009" t="s">
        <v>8</v>
      </c>
      <c r="F1009" t="s">
        <v>20</v>
      </c>
      <c r="G1009" t="s">
        <v>384</v>
      </c>
      <c r="H1009" s="2" t="s">
        <v>383</v>
      </c>
    </row>
    <row r="1010" spans="1:8" ht="16" x14ac:dyDescent="0.2">
      <c r="A1010" s="2" t="s">
        <v>386</v>
      </c>
      <c r="B1010" s="6">
        <f>((117.72/1000)/(Parameters!$B$4*Parameters!$B$10))*Parameters!$F$32</f>
        <v>3.4014393012463603E-2</v>
      </c>
      <c r="C1010" t="s">
        <v>26</v>
      </c>
      <c r="D1010" t="s">
        <v>8</v>
      </c>
      <c r="F1010" t="s">
        <v>20</v>
      </c>
      <c r="G1010" t="s">
        <v>388</v>
      </c>
      <c r="H1010" s="2" t="s">
        <v>387</v>
      </c>
    </row>
    <row r="1011" spans="1:8" x14ac:dyDescent="0.2">
      <c r="A1011" t="s">
        <v>265</v>
      </c>
      <c r="B1011" s="6">
        <f>(B961*B1002)-Parameters!$B$13</f>
        <v>4.4391830718406515</v>
      </c>
      <c r="D1011" t="s">
        <v>8</v>
      </c>
      <c r="E1011" t="s">
        <v>37</v>
      </c>
      <c r="F1011" t="s">
        <v>36</v>
      </c>
      <c r="G1011" t="s">
        <v>423</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403</v>
      </c>
    </row>
    <row r="1015" spans="1:8" x14ac:dyDescent="0.2">
      <c r="A1015" t="s">
        <v>2</v>
      </c>
      <c r="B1015" s="6" t="s">
        <v>1033</v>
      </c>
    </row>
    <row r="1016" spans="1:8" x14ac:dyDescent="0.2">
      <c r="A1016" t="s">
        <v>3</v>
      </c>
      <c r="B1016" s="6">
        <v>1</v>
      </c>
    </row>
    <row r="1017" spans="1:8" ht="16" x14ac:dyDescent="0.2">
      <c r="A1017" t="s">
        <v>4</v>
      </c>
      <c r="B1017" s="72" t="s">
        <v>402</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492</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403</v>
      </c>
      <c r="B1025" s="6">
        <v>1</v>
      </c>
      <c r="C1025" t="s">
        <v>1033</v>
      </c>
      <c r="D1025" t="s">
        <v>8</v>
      </c>
      <c r="F1025" t="s">
        <v>17</v>
      </c>
      <c r="G1025" t="s">
        <v>18</v>
      </c>
      <c r="H1025" s="2" t="s">
        <v>402</v>
      </c>
    </row>
    <row r="1026" spans="1:8" ht="16" x14ac:dyDescent="0.2">
      <c r="A1026" s="2" t="s">
        <v>66</v>
      </c>
      <c r="B1026" s="6">
        <f>(1/((Parameters!C20*Parameters!B4*Parameters!B10)/1000))*Parameters!G32</f>
        <v>3.902331224292801</v>
      </c>
      <c r="C1026" t="s">
        <v>1033</v>
      </c>
      <c r="D1026" t="s">
        <v>8</v>
      </c>
      <c r="F1026" t="s">
        <v>20</v>
      </c>
      <c r="G1026" t="s">
        <v>18</v>
      </c>
      <c r="H1026" s="72" t="s">
        <v>62</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410</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382</v>
      </c>
      <c r="B1033" s="6">
        <f>((26.58/1000)/(Parameters!$B$4*Parameters!$B$10))*Parameters!$G$32</f>
        <v>8.2979171153362129E-3</v>
      </c>
      <c r="C1033" t="s">
        <v>26</v>
      </c>
      <c r="D1033" t="s">
        <v>8</v>
      </c>
      <c r="F1033" t="s">
        <v>20</v>
      </c>
      <c r="G1033" t="s">
        <v>384</v>
      </c>
      <c r="H1033" s="2" t="s">
        <v>383</v>
      </c>
    </row>
    <row r="1034" spans="1:8" ht="16" x14ac:dyDescent="0.2">
      <c r="A1034" s="2" t="s">
        <v>386</v>
      </c>
      <c r="B1034" s="6">
        <f>((117.72/1000)/(Parameters!$B$4*Parameters!$B$10))*Parameters!G$32</f>
        <v>3.6750594537899889E-2</v>
      </c>
      <c r="C1034" t="s">
        <v>26</v>
      </c>
      <c r="D1034" t="s">
        <v>8</v>
      </c>
      <c r="F1034" t="s">
        <v>20</v>
      </c>
      <c r="G1034" t="s">
        <v>388</v>
      </c>
      <c r="H1034" s="2" t="s">
        <v>387</v>
      </c>
    </row>
    <row r="1035" spans="1:8" x14ac:dyDescent="0.2">
      <c r="A1035" t="s">
        <v>265</v>
      </c>
      <c r="B1035" s="6">
        <f>(B961*B1026)-Parameters!$B$13</f>
        <v>4.950248761185061</v>
      </c>
      <c r="D1035" t="s">
        <v>8</v>
      </c>
      <c r="E1035" t="s">
        <v>37</v>
      </c>
      <c r="F1035" t="s">
        <v>36</v>
      </c>
      <c r="G1035" t="s">
        <v>423</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509</v>
      </c>
    </row>
    <row r="1039" spans="1:8" x14ac:dyDescent="0.2">
      <c r="A1039" t="s">
        <v>2</v>
      </c>
      <c r="B1039" s="6" t="s">
        <v>1033</v>
      </c>
    </row>
    <row r="1040" spans="1:8" x14ac:dyDescent="0.2">
      <c r="A1040" t="s">
        <v>3</v>
      </c>
      <c r="B1040" s="6">
        <v>1</v>
      </c>
    </row>
    <row r="1041" spans="1:8" ht="16" x14ac:dyDescent="0.2">
      <c r="A1041" t="s">
        <v>4</v>
      </c>
      <c r="B1041" s="72" t="s">
        <v>402</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499</v>
      </c>
    </row>
    <row r="1046" spans="1:8" x14ac:dyDescent="0.2">
      <c r="A1046" t="s">
        <v>492</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509</v>
      </c>
      <c r="B1049" s="6">
        <v>1</v>
      </c>
      <c r="C1049" t="s">
        <v>1033</v>
      </c>
      <c r="D1049" t="s">
        <v>8</v>
      </c>
      <c r="F1049" t="s">
        <v>17</v>
      </c>
      <c r="G1049" t="s">
        <v>18</v>
      </c>
      <c r="H1049" s="2" t="s">
        <v>402</v>
      </c>
    </row>
    <row r="1050" spans="1:8" ht="16" x14ac:dyDescent="0.2">
      <c r="A1050" s="2" t="s">
        <v>66</v>
      </c>
      <c r="B1050" s="6">
        <f>(1/((Parameters!C20*Parameters!B4*Parameters!B10)/1000))</f>
        <v>4.1856906305826644</v>
      </c>
      <c r="C1050" t="s">
        <v>1033</v>
      </c>
      <c r="D1050" t="s">
        <v>8</v>
      </c>
      <c r="F1050" t="s">
        <v>20</v>
      </c>
      <c r="G1050" t="s">
        <v>18</v>
      </c>
      <c r="H1050" s="72" t="s">
        <v>62</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410</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382</v>
      </c>
      <c r="B1057" s="6">
        <f>((26.58/1000)/(Parameters!$B$4*Parameters!$B$10))</f>
        <v>8.9004525568709778E-3</v>
      </c>
      <c r="C1057" t="s">
        <v>26</v>
      </c>
      <c r="D1057" t="s">
        <v>8</v>
      </c>
      <c r="F1057" t="s">
        <v>20</v>
      </c>
      <c r="G1057" t="s">
        <v>384</v>
      </c>
      <c r="H1057" s="2" t="s">
        <v>383</v>
      </c>
    </row>
    <row r="1058" spans="1:9" ht="16" x14ac:dyDescent="0.2">
      <c r="A1058" s="2" t="s">
        <v>386</v>
      </c>
      <c r="B1058" s="6">
        <f>((117.72/1000)/(Parameters!$B$4*Parameters!$B$10))</f>
        <v>3.9419160082575302E-2</v>
      </c>
      <c r="C1058" t="s">
        <v>26</v>
      </c>
      <c r="D1058" t="s">
        <v>8</v>
      </c>
      <c r="F1058" t="s">
        <v>20</v>
      </c>
      <c r="G1058" t="s">
        <v>388</v>
      </c>
      <c r="H1058" s="2" t="s">
        <v>387</v>
      </c>
    </row>
    <row r="1059" spans="1:9" x14ac:dyDescent="0.2">
      <c r="A1059" t="s">
        <v>265</v>
      </c>
      <c r="B1059" s="6">
        <f>(B961*B1050)-Parameters!$B$13</f>
        <v>5.4486814522613605</v>
      </c>
      <c r="D1059" t="s">
        <v>8</v>
      </c>
      <c r="E1059" t="s">
        <v>37</v>
      </c>
      <c r="F1059" t="s">
        <v>36</v>
      </c>
      <c r="G1059" t="s">
        <v>423</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1034</v>
      </c>
      <c r="D1061" s="35" t="s">
        <v>29</v>
      </c>
      <c r="E1061" s="35"/>
      <c r="F1061" s="35" t="s">
        <v>20</v>
      </c>
      <c r="G1061" s="35" t="s">
        <v>500</v>
      </c>
      <c r="H1061" s="35" t="s">
        <v>30</v>
      </c>
      <c r="I1061" s="35"/>
    </row>
    <row r="1062" spans="1:9" ht="16" x14ac:dyDescent="0.2">
      <c r="A1062" s="2"/>
      <c r="H1062" s="2"/>
    </row>
    <row r="1064" spans="1:9" ht="16" x14ac:dyDescent="0.2">
      <c r="A1064" s="1" t="s">
        <v>1</v>
      </c>
      <c r="B1064" s="71" t="s">
        <v>1078</v>
      </c>
    </row>
    <row r="1065" spans="1:9" x14ac:dyDescent="0.2">
      <c r="A1065" t="s">
        <v>2</v>
      </c>
      <c r="B1065" s="6" t="s">
        <v>1033</v>
      </c>
    </row>
    <row r="1066" spans="1:9" x14ac:dyDescent="0.2">
      <c r="A1066" t="s">
        <v>3</v>
      </c>
      <c r="B1066" s="6">
        <v>1</v>
      </c>
    </row>
    <row r="1067" spans="1:9" ht="16" x14ac:dyDescent="0.2">
      <c r="A1067" t="s">
        <v>4</v>
      </c>
      <c r="B1067" s="72" t="s">
        <v>402</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492</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1078</v>
      </c>
      <c r="B1075" s="6">
        <v>1</v>
      </c>
      <c r="C1075" t="s">
        <v>1033</v>
      </c>
      <c r="D1075" t="s">
        <v>8</v>
      </c>
      <c r="F1075" t="s">
        <v>17</v>
      </c>
      <c r="G1075" t="s">
        <v>18</v>
      </c>
      <c r="H1075" s="2" t="s">
        <v>402</v>
      </c>
    </row>
    <row r="1076" spans="1:9" ht="16" x14ac:dyDescent="0.2">
      <c r="A1076" s="2" t="s">
        <v>66</v>
      </c>
      <c r="B1076" s="6">
        <f>(1/((Parameters!$C$20*Parameters!$B$4*Parameters!$B$10)/1000))*Parameters!F32</f>
        <v>3.6117899478066171</v>
      </c>
      <c r="C1076" t="s">
        <v>1033</v>
      </c>
      <c r="D1076" t="s">
        <v>8</v>
      </c>
      <c r="F1076" t="s">
        <v>20</v>
      </c>
      <c r="G1076" t="s">
        <v>18</v>
      </c>
      <c r="H1076" s="72" t="s">
        <v>62</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410</v>
      </c>
    </row>
    <row r="1081" spans="1:9" ht="16" x14ac:dyDescent="0.2">
      <c r="A1081" s="2" t="s">
        <v>370</v>
      </c>
      <c r="B1081" s="6">
        <f>((76.17/1000)/(Parameters!$B$4*Parameters!$B$10))*Parameters!$F$32</f>
        <v>2.2008803225954405E-2</v>
      </c>
      <c r="C1081" t="s">
        <v>31</v>
      </c>
      <c r="D1081" t="s">
        <v>8</v>
      </c>
      <c r="F1081" t="s">
        <v>20</v>
      </c>
      <c r="G1081" t="s">
        <v>385</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382</v>
      </c>
      <c r="B1083" s="6">
        <f>((26.58/1000)/(Parameters!$B$4*Parameters!$B$10))*Parameters!$F$32</f>
        <v>7.6801101450159909E-3</v>
      </c>
      <c r="C1083" t="s">
        <v>26</v>
      </c>
      <c r="D1083" t="s">
        <v>8</v>
      </c>
      <c r="F1083" t="s">
        <v>20</v>
      </c>
      <c r="G1083" t="s">
        <v>384</v>
      </c>
      <c r="H1083" s="2" t="s">
        <v>383</v>
      </c>
    </row>
    <row r="1084" spans="1:9" ht="16" x14ac:dyDescent="0.2">
      <c r="A1084" s="2" t="s">
        <v>386</v>
      </c>
      <c r="B1084" s="6">
        <f>((117.72/1000)/(Parameters!$B$4*Parameters!$B$10))*Parameters!$F$32</f>
        <v>3.4014393012463603E-2</v>
      </c>
      <c r="C1084" t="s">
        <v>26</v>
      </c>
      <c r="D1084" t="s">
        <v>8</v>
      </c>
      <c r="F1084" t="s">
        <v>20</v>
      </c>
      <c r="G1084" t="s">
        <v>388</v>
      </c>
      <c r="H1084" s="2" t="s">
        <v>387</v>
      </c>
    </row>
    <row r="1085" spans="1:9" x14ac:dyDescent="0.2">
      <c r="A1085" t="s">
        <v>265</v>
      </c>
      <c r="B1085" s="6">
        <f>((B961*B1076)-Parameters!$B$13)*(1-0.975)</f>
        <v>0.11097957679601639</v>
      </c>
      <c r="D1085" t="s">
        <v>8</v>
      </c>
      <c r="E1085" t="s">
        <v>37</v>
      </c>
      <c r="F1085" t="s">
        <v>36</v>
      </c>
      <c r="G1085" t="s">
        <v>423</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1034</v>
      </c>
      <c r="D1087" s="35" t="s">
        <v>29</v>
      </c>
      <c r="E1087" s="35"/>
      <c r="F1087" s="35" t="s">
        <v>20</v>
      </c>
      <c r="G1087" s="35" t="s">
        <v>500</v>
      </c>
      <c r="H1087" s="35" t="s">
        <v>30</v>
      </c>
      <c r="I1087" s="35"/>
    </row>
    <row r="1088" spans="1:9" x14ac:dyDescent="0.2">
      <c r="A1088" s="35" t="s">
        <v>1065</v>
      </c>
      <c r="B1088" s="36">
        <f>((B961*B1076)-Parameters!$B$13)*0.975</f>
        <v>4.3282034950446349</v>
      </c>
      <c r="C1088" t="s">
        <v>567</v>
      </c>
      <c r="D1088" t="s">
        <v>8</v>
      </c>
      <c r="E1088" s="35"/>
      <c r="F1088" s="35" t="s">
        <v>20</v>
      </c>
      <c r="H1088" t="s">
        <v>1065</v>
      </c>
      <c r="I1088" s="35"/>
    </row>
    <row r="1089" spans="1:8" ht="16" x14ac:dyDescent="0.2">
      <c r="A1089" s="2"/>
      <c r="H1089" s="2"/>
    </row>
    <row r="1090" spans="1:8" ht="16" x14ac:dyDescent="0.2">
      <c r="A1090" s="1" t="s">
        <v>1</v>
      </c>
      <c r="B1090" s="71" t="s">
        <v>1079</v>
      </c>
    </row>
    <row r="1091" spans="1:8" x14ac:dyDescent="0.2">
      <c r="A1091" t="s">
        <v>2</v>
      </c>
      <c r="B1091" s="6" t="s">
        <v>1033</v>
      </c>
    </row>
    <row r="1092" spans="1:8" x14ac:dyDescent="0.2">
      <c r="A1092" t="s">
        <v>3</v>
      </c>
      <c r="B1092" s="6">
        <v>1</v>
      </c>
    </row>
    <row r="1093" spans="1:8" ht="16" x14ac:dyDescent="0.2">
      <c r="A1093" t="s">
        <v>4</v>
      </c>
      <c r="B1093" s="72" t="s">
        <v>402</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492</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1079</v>
      </c>
      <c r="B1101" s="6">
        <v>1</v>
      </c>
      <c r="C1101" t="s">
        <v>1033</v>
      </c>
      <c r="D1101" t="s">
        <v>8</v>
      </c>
      <c r="F1101" t="s">
        <v>17</v>
      </c>
      <c r="G1101" t="s">
        <v>18</v>
      </c>
      <c r="H1101" s="2" t="s">
        <v>402</v>
      </c>
    </row>
    <row r="1102" spans="1:8" ht="16" x14ac:dyDescent="0.2">
      <c r="A1102" s="2" t="s">
        <v>66</v>
      </c>
      <c r="B1102" s="6">
        <f>(1/((Parameters!C20*Parameters!B4*Parameters!B10)/1000))*Parameters!G32</f>
        <v>3.902331224292801</v>
      </c>
      <c r="C1102" t="s">
        <v>1033</v>
      </c>
      <c r="D1102" t="s">
        <v>8</v>
      </c>
      <c r="F1102" t="s">
        <v>20</v>
      </c>
      <c r="G1102" t="s">
        <v>18</v>
      </c>
      <c r="H1102" s="72" t="s">
        <v>62</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410</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382</v>
      </c>
      <c r="B1109" s="6">
        <f>((26.58/1000)/(Parameters!$B$4*Parameters!$B$10))*Parameters!$G$32</f>
        <v>8.2979171153362129E-3</v>
      </c>
      <c r="C1109" t="s">
        <v>26</v>
      </c>
      <c r="D1109" t="s">
        <v>8</v>
      </c>
      <c r="F1109" t="s">
        <v>20</v>
      </c>
      <c r="G1109" t="s">
        <v>384</v>
      </c>
      <c r="H1109" s="2" t="s">
        <v>383</v>
      </c>
    </row>
    <row r="1110" spans="1:9" ht="16" x14ac:dyDescent="0.2">
      <c r="A1110" s="2" t="s">
        <v>386</v>
      </c>
      <c r="B1110" s="6">
        <f>((117.72/1000)/(Parameters!$B$4*Parameters!$B$10))*Parameters!G$32</f>
        <v>3.6750594537899889E-2</v>
      </c>
      <c r="C1110" t="s">
        <v>26</v>
      </c>
      <c r="D1110" t="s">
        <v>8</v>
      </c>
      <c r="F1110" t="s">
        <v>20</v>
      </c>
      <c r="G1110" t="s">
        <v>388</v>
      </c>
      <c r="H1110" s="2" t="s">
        <v>387</v>
      </c>
    </row>
    <row r="1111" spans="1:9" x14ac:dyDescent="0.2">
      <c r="A1111" t="s">
        <v>265</v>
      </c>
      <c r="B1111" s="6">
        <f>((B961*B1102)-Parameters!$B$13)*(1-0.975)</f>
        <v>0.12375621902962664</v>
      </c>
      <c r="D1111" t="s">
        <v>8</v>
      </c>
      <c r="E1111" t="s">
        <v>37</v>
      </c>
      <c r="F1111" t="s">
        <v>36</v>
      </c>
      <c r="G1111" t="s">
        <v>423</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1034</v>
      </c>
      <c r="D1113" s="35" t="s">
        <v>29</v>
      </c>
      <c r="E1113" s="35"/>
      <c r="F1113" s="35" t="s">
        <v>20</v>
      </c>
      <c r="G1113" s="35" t="s">
        <v>500</v>
      </c>
      <c r="H1113" s="35" t="s">
        <v>30</v>
      </c>
      <c r="I1113" s="35"/>
    </row>
    <row r="1114" spans="1:9" x14ac:dyDescent="0.2">
      <c r="A1114" s="35" t="s">
        <v>1065</v>
      </c>
      <c r="B1114" s="36">
        <f>((B961*B1102)-Parameters!$B$13)*0.975</f>
        <v>4.8264925421554343</v>
      </c>
      <c r="C1114" t="s">
        <v>567</v>
      </c>
      <c r="D1114" t="s">
        <v>8</v>
      </c>
      <c r="E1114" s="35"/>
      <c r="F1114" s="35" t="s">
        <v>20</v>
      </c>
      <c r="H1114" t="s">
        <v>1065</v>
      </c>
      <c r="I1114" s="35"/>
    </row>
    <row r="1115" spans="1:9" ht="16" x14ac:dyDescent="0.2">
      <c r="A1115" s="2"/>
      <c r="H1115" s="2"/>
    </row>
    <row r="1116" spans="1:9" ht="16" x14ac:dyDescent="0.2">
      <c r="A1116" s="1" t="s">
        <v>1</v>
      </c>
      <c r="B1116" s="71" t="s">
        <v>1080</v>
      </c>
    </row>
    <row r="1117" spans="1:9" x14ac:dyDescent="0.2">
      <c r="A1117" t="s">
        <v>2</v>
      </c>
      <c r="B1117" s="6" t="s">
        <v>1033</v>
      </c>
    </row>
    <row r="1118" spans="1:9" x14ac:dyDescent="0.2">
      <c r="A1118" t="s">
        <v>3</v>
      </c>
      <c r="B1118" s="6">
        <v>1</v>
      </c>
    </row>
    <row r="1119" spans="1:9" ht="16" x14ac:dyDescent="0.2">
      <c r="A1119" t="s">
        <v>4</v>
      </c>
      <c r="B1119" s="72" t="s">
        <v>402</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499</v>
      </c>
    </row>
    <row r="1124" spans="1:8" x14ac:dyDescent="0.2">
      <c r="A1124" t="s">
        <v>492</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1080</v>
      </c>
      <c r="B1127" s="6">
        <v>1</v>
      </c>
      <c r="C1127" t="s">
        <v>1033</v>
      </c>
      <c r="D1127" t="s">
        <v>8</v>
      </c>
      <c r="F1127" t="s">
        <v>17</v>
      </c>
      <c r="G1127" t="s">
        <v>18</v>
      </c>
      <c r="H1127" s="2" t="s">
        <v>402</v>
      </c>
    </row>
    <row r="1128" spans="1:8" ht="16" x14ac:dyDescent="0.2">
      <c r="A1128" s="2" t="s">
        <v>66</v>
      </c>
      <c r="B1128" s="6">
        <f>(1/((Parameters!C20*Parameters!B4*Parameters!B10)/1000))</f>
        <v>4.1856906305826644</v>
      </c>
      <c r="C1128" t="s">
        <v>1033</v>
      </c>
      <c r="D1128" t="s">
        <v>8</v>
      </c>
      <c r="F1128" t="s">
        <v>20</v>
      </c>
      <c r="G1128" t="s">
        <v>18</v>
      </c>
      <c r="H1128" s="72" t="s">
        <v>62</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410</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382</v>
      </c>
      <c r="B1135" s="6">
        <f>((26.58/1000)/(Parameters!$B$4*Parameters!$B$10))</f>
        <v>8.9004525568709778E-3</v>
      </c>
      <c r="C1135" t="s">
        <v>26</v>
      </c>
      <c r="D1135" t="s">
        <v>8</v>
      </c>
      <c r="F1135" t="s">
        <v>20</v>
      </c>
      <c r="G1135" t="s">
        <v>384</v>
      </c>
      <c r="H1135" s="2" t="s">
        <v>383</v>
      </c>
    </row>
    <row r="1136" spans="1:8" ht="16" x14ac:dyDescent="0.2">
      <c r="A1136" s="2" t="s">
        <v>386</v>
      </c>
      <c r="B1136" s="6">
        <f>((117.72/1000)/(Parameters!$B$4*Parameters!$B$10))</f>
        <v>3.9419160082575302E-2</v>
      </c>
      <c r="C1136" t="s">
        <v>26</v>
      </c>
      <c r="D1136" t="s">
        <v>8</v>
      </c>
      <c r="F1136" t="s">
        <v>20</v>
      </c>
      <c r="G1136" t="s">
        <v>388</v>
      </c>
      <c r="H1136" s="2" t="s">
        <v>387</v>
      </c>
    </row>
    <row r="1137" spans="1:10" x14ac:dyDescent="0.2">
      <c r="A1137" t="s">
        <v>265</v>
      </c>
      <c r="B1137" s="6">
        <f>((B961*B1128)-Parameters!$B$13)*(1-0.975)</f>
        <v>0.13621703630653414</v>
      </c>
      <c r="D1137" t="s">
        <v>8</v>
      </c>
      <c r="E1137" t="s">
        <v>37</v>
      </c>
      <c r="F1137" t="s">
        <v>36</v>
      </c>
      <c r="G1137" t="s">
        <v>423</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1034</v>
      </c>
      <c r="D1139" s="35" t="s">
        <v>29</v>
      </c>
      <c r="E1139" s="35"/>
      <c r="F1139" s="35" t="s">
        <v>20</v>
      </c>
      <c r="G1139" s="35" t="s">
        <v>500</v>
      </c>
      <c r="H1139" s="35" t="s">
        <v>30</v>
      </c>
      <c r="I1139" s="35"/>
    </row>
    <row r="1140" spans="1:10" x14ac:dyDescent="0.2">
      <c r="A1140" s="35" t="s">
        <v>1065</v>
      </c>
      <c r="B1140" s="36">
        <f>((B961*B1128)-Parameters!$B$13)*0.975</f>
        <v>5.3124644159548264</v>
      </c>
      <c r="C1140" t="s">
        <v>567</v>
      </c>
      <c r="D1140" t="s">
        <v>8</v>
      </c>
      <c r="E1140" s="35"/>
      <c r="F1140" s="35" t="s">
        <v>20</v>
      </c>
      <c r="H1140" t="s">
        <v>1065</v>
      </c>
      <c r="I1140" s="35"/>
    </row>
    <row r="1141" spans="1:10" ht="16" x14ac:dyDescent="0.2">
      <c r="A1141" s="2"/>
      <c r="H1141" s="2"/>
    </row>
    <row r="1142" spans="1:10" ht="16" x14ac:dyDescent="0.2">
      <c r="A1142" s="1" t="s">
        <v>1</v>
      </c>
      <c r="B1142" s="71" t="s">
        <v>404</v>
      </c>
    </row>
    <row r="1143" spans="1:10" x14ac:dyDescent="0.2">
      <c r="A1143" t="s">
        <v>2</v>
      </c>
      <c r="B1143" s="6" t="s">
        <v>1033</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391</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404</v>
      </c>
      <c r="B1152" s="36">
        <v>1</v>
      </c>
      <c r="C1152" t="s">
        <v>1033</v>
      </c>
      <c r="D1152" s="35" t="s">
        <v>8</v>
      </c>
      <c r="E1152" s="35"/>
      <c r="F1152" s="35" t="s">
        <v>17</v>
      </c>
      <c r="G1152" s="35"/>
      <c r="H1152" s="35"/>
      <c r="I1152" s="35" t="s">
        <v>18</v>
      </c>
      <c r="J1152" s="35" t="s">
        <v>337</v>
      </c>
    </row>
    <row r="1153" spans="1:10" ht="16" x14ac:dyDescent="0.2">
      <c r="A1153" s="2" t="s">
        <v>401</v>
      </c>
      <c r="B1153" s="6">
        <v>1.00057</v>
      </c>
      <c r="C1153" t="s">
        <v>1033</v>
      </c>
      <c r="D1153" t="s">
        <v>8</v>
      </c>
      <c r="F1153" s="35" t="s">
        <v>20</v>
      </c>
      <c r="G1153" t="s">
        <v>18</v>
      </c>
      <c r="I1153" s="35"/>
      <c r="J1153" s="2" t="s">
        <v>402</v>
      </c>
    </row>
    <row r="1154" spans="1:10" x14ac:dyDescent="0.2">
      <c r="A1154" s="35" t="s">
        <v>28</v>
      </c>
      <c r="B1154" s="36">
        <v>6.7000000000000002E-3</v>
      </c>
      <c r="C1154" t="s">
        <v>1034</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567</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405</v>
      </c>
    </row>
    <row r="1166" spans="1:10" x14ac:dyDescent="0.2">
      <c r="A1166" t="s">
        <v>2</v>
      </c>
      <c r="B1166" s="6" t="s">
        <v>1033</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391</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405</v>
      </c>
      <c r="B1175" s="36">
        <v>1</v>
      </c>
      <c r="C1175" t="s">
        <v>1033</v>
      </c>
      <c r="D1175" s="35" t="s">
        <v>8</v>
      </c>
      <c r="E1175" s="35"/>
      <c r="F1175" s="35" t="s">
        <v>17</v>
      </c>
      <c r="G1175" s="35"/>
      <c r="H1175" s="35"/>
      <c r="I1175" s="35" t="s">
        <v>18</v>
      </c>
      <c r="J1175" s="35" t="s">
        <v>337</v>
      </c>
    </row>
    <row r="1176" spans="1:10" ht="16" x14ac:dyDescent="0.2">
      <c r="A1176" s="2" t="s">
        <v>403</v>
      </c>
      <c r="B1176" s="6">
        <v>1.00057</v>
      </c>
      <c r="C1176" t="s">
        <v>1033</v>
      </c>
      <c r="D1176" t="s">
        <v>8</v>
      </c>
      <c r="F1176" s="35" t="s">
        <v>20</v>
      </c>
      <c r="G1176" t="s">
        <v>18</v>
      </c>
      <c r="I1176" s="35"/>
      <c r="J1176" s="2" t="s">
        <v>402</v>
      </c>
    </row>
    <row r="1177" spans="1:10" x14ac:dyDescent="0.2">
      <c r="A1177" s="35" t="s">
        <v>28</v>
      </c>
      <c r="B1177" s="36">
        <v>6.7000000000000002E-3</v>
      </c>
      <c r="C1177" t="s">
        <v>1034</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567</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510</v>
      </c>
    </row>
    <row r="1189" spans="1:10" x14ac:dyDescent="0.2">
      <c r="A1189" t="s">
        <v>2</v>
      </c>
      <c r="B1189" s="6" t="s">
        <v>1033</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391</v>
      </c>
    </row>
    <row r="1195" spans="1:10" x14ac:dyDescent="0.2">
      <c r="A1195" t="s">
        <v>11</v>
      </c>
      <c r="B1195" s="6" t="s">
        <v>502</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510</v>
      </c>
      <c r="B1198" s="36">
        <v>1</v>
      </c>
      <c r="C1198" t="s">
        <v>1033</v>
      </c>
      <c r="D1198" s="35" t="s">
        <v>8</v>
      </c>
      <c r="E1198" s="35"/>
      <c r="F1198" s="35" t="s">
        <v>17</v>
      </c>
      <c r="G1198" s="35"/>
      <c r="H1198" s="35"/>
      <c r="I1198" s="35" t="s">
        <v>18</v>
      </c>
      <c r="J1198" s="35" t="s">
        <v>337</v>
      </c>
    </row>
    <row r="1199" spans="1:10" ht="16" x14ac:dyDescent="0.2">
      <c r="A1199" s="2" t="s">
        <v>509</v>
      </c>
      <c r="B1199" s="6">
        <v>1.00057</v>
      </c>
      <c r="C1199" t="s">
        <v>1033</v>
      </c>
      <c r="D1199" t="s">
        <v>8</v>
      </c>
      <c r="F1199" s="35" t="s">
        <v>20</v>
      </c>
      <c r="G1199" t="s">
        <v>18</v>
      </c>
      <c r="I1199" s="35"/>
      <c r="J1199" s="2" t="s">
        <v>402</v>
      </c>
    </row>
    <row r="1200" spans="1:10" x14ac:dyDescent="0.2">
      <c r="A1200" s="35" t="s">
        <v>28</v>
      </c>
      <c r="B1200" s="36">
        <v>6.7000000000000002E-3</v>
      </c>
      <c r="C1200" t="s">
        <v>1034</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567</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1081</v>
      </c>
    </row>
    <row r="1212" spans="1:10" x14ac:dyDescent="0.2">
      <c r="A1212" t="s">
        <v>2</v>
      </c>
      <c r="B1212" s="6" t="s">
        <v>1033</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391</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1081</v>
      </c>
      <c r="B1221" s="36">
        <v>1</v>
      </c>
      <c r="C1221" t="s">
        <v>1033</v>
      </c>
      <c r="D1221" s="35" t="s">
        <v>8</v>
      </c>
      <c r="E1221" s="35"/>
      <c r="F1221" s="35" t="s">
        <v>17</v>
      </c>
      <c r="G1221" s="35"/>
      <c r="H1221" s="35"/>
      <c r="I1221" s="35" t="s">
        <v>18</v>
      </c>
      <c r="J1221" s="35" t="s">
        <v>337</v>
      </c>
    </row>
    <row r="1222" spans="1:10" ht="16" x14ac:dyDescent="0.2">
      <c r="A1222" s="2" t="s">
        <v>1078</v>
      </c>
      <c r="B1222" s="6">
        <v>1.00057</v>
      </c>
      <c r="C1222" t="s">
        <v>1033</v>
      </c>
      <c r="D1222" t="s">
        <v>8</v>
      </c>
      <c r="F1222" s="35" t="s">
        <v>20</v>
      </c>
      <c r="G1222" t="s">
        <v>18</v>
      </c>
      <c r="I1222" s="35"/>
      <c r="J1222" s="2" t="s">
        <v>402</v>
      </c>
    </row>
    <row r="1223" spans="1:10" x14ac:dyDescent="0.2">
      <c r="A1223" s="35" t="s">
        <v>28</v>
      </c>
      <c r="B1223" s="36">
        <v>6.7000000000000002E-3</v>
      </c>
      <c r="C1223" t="s">
        <v>1034</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567</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1082</v>
      </c>
    </row>
    <row r="1235" spans="1:10" x14ac:dyDescent="0.2">
      <c r="A1235" t="s">
        <v>2</v>
      </c>
      <c r="B1235" s="6" t="s">
        <v>1033</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391</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1082</v>
      </c>
      <c r="B1244" s="36">
        <v>1</v>
      </c>
      <c r="C1244" t="s">
        <v>1033</v>
      </c>
      <c r="D1244" s="35" t="s">
        <v>8</v>
      </c>
      <c r="E1244" s="35"/>
      <c r="F1244" s="35" t="s">
        <v>17</v>
      </c>
      <c r="G1244" s="35"/>
      <c r="H1244" s="35"/>
      <c r="I1244" s="35" t="s">
        <v>18</v>
      </c>
      <c r="J1244" s="35" t="s">
        <v>337</v>
      </c>
    </row>
    <row r="1245" spans="1:10" ht="16" x14ac:dyDescent="0.2">
      <c r="A1245" s="2" t="s">
        <v>1079</v>
      </c>
      <c r="B1245" s="6">
        <v>1.00057</v>
      </c>
      <c r="C1245" t="s">
        <v>1033</v>
      </c>
      <c r="D1245" t="s">
        <v>8</v>
      </c>
      <c r="F1245" s="35" t="s">
        <v>20</v>
      </c>
      <c r="G1245" t="s">
        <v>18</v>
      </c>
      <c r="I1245" s="35"/>
      <c r="J1245" s="2" t="s">
        <v>402</v>
      </c>
    </row>
    <row r="1246" spans="1:10" x14ac:dyDescent="0.2">
      <c r="A1246" s="35" t="s">
        <v>28</v>
      </c>
      <c r="B1246" s="36">
        <v>6.7000000000000002E-3</v>
      </c>
      <c r="C1246" t="s">
        <v>1034</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567</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1083</v>
      </c>
    </row>
    <row r="1258" spans="1:10" x14ac:dyDescent="0.2">
      <c r="A1258" t="s">
        <v>2</v>
      </c>
      <c r="B1258" s="6" t="s">
        <v>1033</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391</v>
      </c>
    </row>
    <row r="1264" spans="1:10" x14ac:dyDescent="0.2">
      <c r="A1264" t="s">
        <v>11</v>
      </c>
      <c r="B1264" s="6" t="s">
        <v>502</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1083</v>
      </c>
      <c r="B1267" s="36">
        <v>1</v>
      </c>
      <c r="C1267" t="s">
        <v>1033</v>
      </c>
      <c r="D1267" s="35" t="s">
        <v>8</v>
      </c>
      <c r="E1267" s="35"/>
      <c r="F1267" s="35" t="s">
        <v>17</v>
      </c>
      <c r="G1267" s="35"/>
      <c r="H1267" s="35"/>
      <c r="I1267" s="35" t="s">
        <v>18</v>
      </c>
      <c r="J1267" s="35" t="s">
        <v>337</v>
      </c>
    </row>
    <row r="1268" spans="1:10" ht="16" x14ac:dyDescent="0.2">
      <c r="A1268" s="2" t="s">
        <v>1080</v>
      </c>
      <c r="B1268" s="6">
        <v>1.00057</v>
      </c>
      <c r="C1268" t="s">
        <v>1033</v>
      </c>
      <c r="D1268" t="s">
        <v>8</v>
      </c>
      <c r="F1268" s="35" t="s">
        <v>20</v>
      </c>
      <c r="G1268" t="s">
        <v>18</v>
      </c>
      <c r="I1268" s="35"/>
      <c r="J1268" s="2" t="s">
        <v>402</v>
      </c>
    </row>
    <row r="1269" spans="1:10" x14ac:dyDescent="0.2">
      <c r="A1269" s="35" t="s">
        <v>28</v>
      </c>
      <c r="B1269" s="36">
        <v>6.7000000000000002E-3</v>
      </c>
      <c r="C1269" t="s">
        <v>1034</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567</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1033</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836</v>
      </c>
      <c r="B1288" s="5">
        <f>Summary!R11</f>
        <v>15.5262026244</v>
      </c>
    </row>
    <row r="1289" spans="1:8" x14ac:dyDescent="0.2">
      <c r="A1289" t="s">
        <v>842</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1033</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567</v>
      </c>
      <c r="D1294" t="s">
        <v>41</v>
      </c>
      <c r="F1294" t="s">
        <v>20</v>
      </c>
      <c r="G1294" t="s">
        <v>72</v>
      </c>
      <c r="H1294" t="s">
        <v>353</v>
      </c>
    </row>
    <row r="1295" spans="1:8" x14ac:dyDescent="0.2">
      <c r="A1295" t="s">
        <v>42</v>
      </c>
      <c r="B1295" s="6">
        <f>3.183/1000</f>
        <v>3.1829999999999996E-3</v>
      </c>
      <c r="C1295" t="s">
        <v>1034</v>
      </c>
      <c r="D1295" t="s">
        <v>8</v>
      </c>
      <c r="F1295" t="s">
        <v>20</v>
      </c>
      <c r="H1295" t="s">
        <v>43</v>
      </c>
    </row>
    <row r="1296" spans="1:8" x14ac:dyDescent="0.2">
      <c r="A1296" t="s">
        <v>44</v>
      </c>
      <c r="B1296" s="6">
        <f>2.273/1000</f>
        <v>2.2730000000000003E-3</v>
      </c>
      <c r="C1296" t="s">
        <v>1034</v>
      </c>
      <c r="D1296" t="s">
        <v>8</v>
      </c>
      <c r="F1296" t="s">
        <v>20</v>
      </c>
      <c r="H1296" t="s">
        <v>45</v>
      </c>
    </row>
    <row r="1297" spans="1:8" x14ac:dyDescent="0.2">
      <c r="A1297" t="s">
        <v>46</v>
      </c>
      <c r="B1297" s="6">
        <f>13.641/1000</f>
        <v>1.3641E-2</v>
      </c>
      <c r="C1297" t="s">
        <v>1034</v>
      </c>
      <c r="D1297" t="s">
        <v>8</v>
      </c>
      <c r="F1297" t="s">
        <v>20</v>
      </c>
      <c r="H1297" t="s">
        <v>47</v>
      </c>
    </row>
    <row r="1298" spans="1:8" x14ac:dyDescent="0.2">
      <c r="A1298" t="s">
        <v>54</v>
      </c>
      <c r="B1298" s="6">
        <f>1.86/1000</f>
        <v>1.8600000000000001E-3</v>
      </c>
      <c r="C1298" t="s">
        <v>26</v>
      </c>
      <c r="D1298" t="s">
        <v>8</v>
      </c>
      <c r="F1298" t="s">
        <v>20</v>
      </c>
      <c r="G1298" t="s">
        <v>1040</v>
      </c>
      <c r="H1298" t="s">
        <v>55</v>
      </c>
    </row>
    <row r="1299" spans="1:8" x14ac:dyDescent="0.2">
      <c r="A1299" t="s">
        <v>1029</v>
      </c>
      <c r="B1299" s="6">
        <f>0.4682*(44/12)*1</f>
        <v>1.7167333333333332</v>
      </c>
      <c r="D1299" t="s">
        <v>8</v>
      </c>
      <c r="E1299" t="s">
        <v>1030</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411</v>
      </c>
    </row>
    <row r="1303" spans="1:8" x14ac:dyDescent="0.2">
      <c r="A1303" t="s">
        <v>2</v>
      </c>
      <c r="B1303" s="6" t="s">
        <v>1033</v>
      </c>
    </row>
    <row r="1304" spans="1:8" x14ac:dyDescent="0.2">
      <c r="A1304" t="s">
        <v>3</v>
      </c>
      <c r="B1304" s="6">
        <v>1</v>
      </c>
    </row>
    <row r="1305" spans="1:8" ht="16" x14ac:dyDescent="0.2">
      <c r="A1305" t="s">
        <v>4</v>
      </c>
      <c r="B1305" s="72" t="s">
        <v>412</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492</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411</v>
      </c>
      <c r="B1313" s="6">
        <v>1</v>
      </c>
      <c r="C1313" t="s">
        <v>1033</v>
      </c>
      <c r="D1313" t="s">
        <v>8</v>
      </c>
      <c r="F1313" t="s">
        <v>17</v>
      </c>
      <c r="G1313" t="s">
        <v>18</v>
      </c>
      <c r="H1313" s="2" t="s">
        <v>412</v>
      </c>
    </row>
    <row r="1314" spans="1:8" ht="16" x14ac:dyDescent="0.2">
      <c r="A1314" s="2" t="s">
        <v>67</v>
      </c>
      <c r="B1314" s="6">
        <f>(1/((Parameters!$C$20*Parameters!$B$4*Parameters!$B$10)/1000))*Parameters!F32</f>
        <v>3.6117899478066171</v>
      </c>
      <c r="C1314" t="s">
        <v>1033</v>
      </c>
      <c r="D1314" t="s">
        <v>8</v>
      </c>
      <c r="F1314" t="s">
        <v>20</v>
      </c>
      <c r="G1314" t="s">
        <v>18</v>
      </c>
      <c r="H1314" s="72" t="s">
        <v>68</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410</v>
      </c>
    </row>
    <row r="1319" spans="1:8" ht="16" x14ac:dyDescent="0.2">
      <c r="A1319" s="2" t="s">
        <v>370</v>
      </c>
      <c r="B1319" s="6">
        <f>((64.82/1000)/(Parameters!$B$4*Parameters!$B$10))*Parameters!$F$32</f>
        <v>1.8729297953345995E-2</v>
      </c>
      <c r="C1319" t="s">
        <v>31</v>
      </c>
      <c r="D1319" t="s">
        <v>8</v>
      </c>
      <c r="F1319" t="s">
        <v>20</v>
      </c>
      <c r="G1319" t="s">
        <v>385</v>
      </c>
      <c r="H1319" s="2" t="s">
        <v>371</v>
      </c>
    </row>
    <row r="1320" spans="1:8" ht="16" x14ac:dyDescent="0.2">
      <c r="A1320" s="2" t="s">
        <v>315</v>
      </c>
      <c r="B1320" s="6">
        <v>0</v>
      </c>
      <c r="C1320" t="s">
        <v>31</v>
      </c>
      <c r="D1320" t="s">
        <v>8</v>
      </c>
      <c r="F1320" t="s">
        <v>20</v>
      </c>
      <c r="G1320" t="s">
        <v>314</v>
      </c>
      <c r="H1320" s="2" t="s">
        <v>316</v>
      </c>
    </row>
    <row r="1321" spans="1:8" ht="16" x14ac:dyDescent="0.2">
      <c r="A1321" s="2" t="s">
        <v>382</v>
      </c>
      <c r="B1321" s="6">
        <v>0</v>
      </c>
      <c r="C1321" t="s">
        <v>26</v>
      </c>
      <c r="D1321" t="s">
        <v>8</v>
      </c>
      <c r="F1321" t="s">
        <v>20</v>
      </c>
      <c r="G1321" t="s">
        <v>384</v>
      </c>
      <c r="H1321" s="2" t="s">
        <v>383</v>
      </c>
    </row>
    <row r="1322" spans="1:8" ht="16" x14ac:dyDescent="0.2">
      <c r="A1322" s="2" t="s">
        <v>386</v>
      </c>
      <c r="B1322" s="6">
        <f>((102.06/1000)/(Parameters!$B$4*Parameters!$B$10))*Parameters!$F$32</f>
        <v>2.948954256585147E-2</v>
      </c>
      <c r="C1322" t="s">
        <v>26</v>
      </c>
      <c r="D1322" t="s">
        <v>8</v>
      </c>
      <c r="F1322" t="s">
        <v>20</v>
      </c>
      <c r="G1322" t="s">
        <v>388</v>
      </c>
      <c r="H1322" s="2" t="s">
        <v>387</v>
      </c>
    </row>
    <row r="1323" spans="1:8" x14ac:dyDescent="0.2">
      <c r="A1323" t="s">
        <v>265</v>
      </c>
      <c r="B1323" s="6">
        <f>(B1299*B1314)-Parameters!$B$13</f>
        <v>4.2864801963978794</v>
      </c>
      <c r="D1323" t="s">
        <v>8</v>
      </c>
      <c r="E1323" t="s">
        <v>37</v>
      </c>
      <c r="F1323" t="s">
        <v>36</v>
      </c>
      <c r="G1323" t="s">
        <v>423</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413</v>
      </c>
    </row>
    <row r="1327" spans="1:8" x14ac:dyDescent="0.2">
      <c r="A1327" t="s">
        <v>2</v>
      </c>
      <c r="B1327" s="6" t="s">
        <v>1033</v>
      </c>
    </row>
    <row r="1328" spans="1:8" x14ac:dyDescent="0.2">
      <c r="A1328" t="s">
        <v>3</v>
      </c>
      <c r="B1328" s="6">
        <v>1</v>
      </c>
    </row>
    <row r="1329" spans="1:8" ht="16" x14ac:dyDescent="0.2">
      <c r="A1329" t="s">
        <v>4</v>
      </c>
      <c r="B1329" s="72" t="s">
        <v>412</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492</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413</v>
      </c>
      <c r="B1337" s="6">
        <v>1</v>
      </c>
      <c r="C1337" t="s">
        <v>1033</v>
      </c>
      <c r="D1337" t="s">
        <v>8</v>
      </c>
      <c r="F1337" t="s">
        <v>17</v>
      </c>
      <c r="G1337" t="s">
        <v>18</v>
      </c>
      <c r="H1337" s="2" t="s">
        <v>412</v>
      </c>
    </row>
    <row r="1338" spans="1:8" ht="16" x14ac:dyDescent="0.2">
      <c r="A1338" s="2" t="s">
        <v>67</v>
      </c>
      <c r="B1338" s="6">
        <f>(1/((Parameters!$C$20*Parameters!$B$4*Parameters!$B$10)/1000))*Parameters!G32</f>
        <v>3.902331224292801</v>
      </c>
      <c r="C1338" t="s">
        <v>1033</v>
      </c>
      <c r="D1338" t="s">
        <v>8</v>
      </c>
      <c r="F1338" t="s">
        <v>20</v>
      </c>
      <c r="G1338" t="s">
        <v>18</v>
      </c>
      <c r="H1338" s="72" t="s">
        <v>68</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410</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382</v>
      </c>
      <c r="B1345" s="6">
        <v>0</v>
      </c>
      <c r="C1345" t="s">
        <v>26</v>
      </c>
      <c r="D1345" t="s">
        <v>8</v>
      </c>
      <c r="F1345" t="s">
        <v>20</v>
      </c>
      <c r="G1345" t="s">
        <v>384</v>
      </c>
      <c r="H1345" s="2" t="s">
        <v>383</v>
      </c>
    </row>
    <row r="1346" spans="1:8" ht="16" x14ac:dyDescent="0.2">
      <c r="A1346" s="2" t="s">
        <v>386</v>
      </c>
      <c r="B1346" s="6">
        <f>((102.06/1000)/(Parameters!$B$4*Parameters!$B$10))*Parameters!G$32</f>
        <v>3.1861753980105864E-2</v>
      </c>
      <c r="C1346" t="s">
        <v>26</v>
      </c>
      <c r="D1346" t="s">
        <v>8</v>
      </c>
      <c r="F1346" t="s">
        <v>20</v>
      </c>
      <c r="G1346" t="s">
        <v>388</v>
      </c>
      <c r="H1346" s="2" t="s">
        <v>387</v>
      </c>
    </row>
    <row r="1347" spans="1:8" x14ac:dyDescent="0.2">
      <c r="A1347" t="s">
        <v>265</v>
      </c>
      <c r="B1347" s="6">
        <f>(B1299*B1338)-Parameters!$B$13</f>
        <v>4.785262090450928</v>
      </c>
      <c r="D1347" t="s">
        <v>8</v>
      </c>
      <c r="E1347" t="s">
        <v>37</v>
      </c>
      <c r="F1347" t="s">
        <v>36</v>
      </c>
      <c r="G1347" t="s">
        <v>423</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511</v>
      </c>
    </row>
    <row r="1351" spans="1:8" x14ac:dyDescent="0.2">
      <c r="A1351" t="s">
        <v>2</v>
      </c>
      <c r="B1351" s="6" t="s">
        <v>1033</v>
      </c>
    </row>
    <row r="1352" spans="1:8" x14ac:dyDescent="0.2">
      <c r="A1352" t="s">
        <v>3</v>
      </c>
      <c r="B1352" s="6">
        <v>1</v>
      </c>
    </row>
    <row r="1353" spans="1:8" ht="16" x14ac:dyDescent="0.2">
      <c r="A1353" t="s">
        <v>4</v>
      </c>
      <c r="B1353" s="72" t="s">
        <v>412</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499</v>
      </c>
    </row>
    <row r="1358" spans="1:8" x14ac:dyDescent="0.2">
      <c r="A1358" t="s">
        <v>492</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511</v>
      </c>
      <c r="B1361" s="6">
        <v>1</v>
      </c>
      <c r="C1361" t="s">
        <v>1033</v>
      </c>
      <c r="D1361" t="s">
        <v>8</v>
      </c>
      <c r="F1361" t="s">
        <v>17</v>
      </c>
      <c r="G1361" t="s">
        <v>18</v>
      </c>
      <c r="H1361" s="2" t="s">
        <v>412</v>
      </c>
    </row>
    <row r="1362" spans="1:9" ht="16" x14ac:dyDescent="0.2">
      <c r="A1362" s="2" t="s">
        <v>67</v>
      </c>
      <c r="B1362" s="6">
        <f>(1/((Parameters!$C$20*Parameters!$B$4*Parameters!$B$10)/1000))</f>
        <v>4.1856906305826644</v>
      </c>
      <c r="C1362" t="s">
        <v>1033</v>
      </c>
      <c r="D1362" t="s">
        <v>8</v>
      </c>
      <c r="F1362" t="s">
        <v>20</v>
      </c>
      <c r="G1362" t="s">
        <v>18</v>
      </c>
      <c r="H1362" s="72" t="s">
        <v>68</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410</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382</v>
      </c>
      <c r="B1369" s="6">
        <v>0</v>
      </c>
      <c r="C1369" t="s">
        <v>26</v>
      </c>
      <c r="D1369" t="s">
        <v>8</v>
      </c>
      <c r="F1369" t="s">
        <v>20</v>
      </c>
      <c r="G1369" t="s">
        <v>384</v>
      </c>
      <c r="H1369" s="2" t="s">
        <v>383</v>
      </c>
    </row>
    <row r="1370" spans="1:9" ht="16" x14ac:dyDescent="0.2">
      <c r="A1370" s="2" t="s">
        <v>386</v>
      </c>
      <c r="B1370" s="6">
        <f>((102.06/1000)/(Parameters!$B$4*Parameters!$B$10))</f>
        <v>3.4175326860581341E-2</v>
      </c>
      <c r="C1370" t="s">
        <v>26</v>
      </c>
      <c r="D1370" t="s">
        <v>8</v>
      </c>
      <c r="F1370" t="s">
        <v>20</v>
      </c>
      <c r="G1370" t="s">
        <v>388</v>
      </c>
      <c r="H1370" s="2" t="s">
        <v>387</v>
      </c>
    </row>
    <row r="1371" spans="1:9" x14ac:dyDescent="0.2">
      <c r="A1371" t="s">
        <v>265</v>
      </c>
      <c r="B1371" s="6">
        <f>(B1299*B1362)-Parameters!$B$13</f>
        <v>5.2717146285422789</v>
      </c>
      <c r="D1371" t="s">
        <v>8</v>
      </c>
      <c r="E1371" t="s">
        <v>37</v>
      </c>
      <c r="F1371" t="s">
        <v>36</v>
      </c>
      <c r="G1371" t="s">
        <v>423</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1034</v>
      </c>
      <c r="D1373" s="35" t="s">
        <v>29</v>
      </c>
      <c r="E1373" s="35"/>
      <c r="F1373" s="35" t="s">
        <v>20</v>
      </c>
      <c r="G1373" s="35" t="s">
        <v>500</v>
      </c>
      <c r="H1373" s="35" t="s">
        <v>30</v>
      </c>
      <c r="I1373" s="35"/>
    </row>
    <row r="1374" spans="1:9" ht="16" x14ac:dyDescent="0.2">
      <c r="A1374" s="2"/>
      <c r="H1374" s="2"/>
    </row>
    <row r="1375" spans="1:9" ht="16" x14ac:dyDescent="0.2">
      <c r="A1375" s="1" t="s">
        <v>1</v>
      </c>
      <c r="B1375" s="71" t="s">
        <v>414</v>
      </c>
    </row>
    <row r="1376" spans="1:9" x14ac:dyDescent="0.2">
      <c r="A1376" t="s">
        <v>2</v>
      </c>
      <c r="B1376" s="6" t="s">
        <v>1033</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391</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414</v>
      </c>
      <c r="B1385" s="36">
        <v>1</v>
      </c>
      <c r="C1385" t="s">
        <v>1033</v>
      </c>
      <c r="D1385" s="35" t="s">
        <v>8</v>
      </c>
      <c r="E1385" s="35"/>
      <c r="F1385" s="35" t="s">
        <v>17</v>
      </c>
      <c r="G1385" s="35"/>
      <c r="H1385" s="35"/>
      <c r="I1385" s="35" t="s">
        <v>18</v>
      </c>
      <c r="J1385" s="35" t="s">
        <v>337</v>
      </c>
    </row>
    <row r="1386" spans="1:10" ht="16" x14ac:dyDescent="0.2">
      <c r="A1386" s="2" t="s">
        <v>411</v>
      </c>
      <c r="B1386" s="6">
        <v>1.00057</v>
      </c>
      <c r="C1386" t="s">
        <v>1033</v>
      </c>
      <c r="D1386" t="s">
        <v>8</v>
      </c>
      <c r="F1386" s="35" t="s">
        <v>20</v>
      </c>
      <c r="G1386" t="s">
        <v>18</v>
      </c>
      <c r="I1386" s="35"/>
      <c r="J1386" s="2" t="s">
        <v>412</v>
      </c>
    </row>
    <row r="1387" spans="1:10" x14ac:dyDescent="0.2">
      <c r="A1387" s="35" t="s">
        <v>28</v>
      </c>
      <c r="B1387" s="36">
        <v>6.7000000000000002E-3</v>
      </c>
      <c r="C1387" t="s">
        <v>1034</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567</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415</v>
      </c>
    </row>
    <row r="1399" spans="1:10" x14ac:dyDescent="0.2">
      <c r="A1399" t="s">
        <v>2</v>
      </c>
      <c r="B1399" s="6" t="s">
        <v>1033</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391</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415</v>
      </c>
      <c r="B1408" s="36">
        <v>1</v>
      </c>
      <c r="C1408" t="s">
        <v>1033</v>
      </c>
      <c r="D1408" s="35" t="s">
        <v>8</v>
      </c>
      <c r="E1408" s="35"/>
      <c r="F1408" s="35" t="s">
        <v>17</v>
      </c>
      <c r="G1408" s="35"/>
      <c r="H1408" s="35"/>
      <c r="I1408" s="35" t="s">
        <v>18</v>
      </c>
      <c r="J1408" s="35" t="s">
        <v>337</v>
      </c>
    </row>
    <row r="1409" spans="1:10" ht="16" x14ac:dyDescent="0.2">
      <c r="A1409" s="2" t="s">
        <v>413</v>
      </c>
      <c r="B1409" s="6">
        <v>1.00057</v>
      </c>
      <c r="C1409" t="s">
        <v>1033</v>
      </c>
      <c r="D1409" t="s">
        <v>8</v>
      </c>
      <c r="F1409" s="35" t="s">
        <v>20</v>
      </c>
      <c r="G1409" t="s">
        <v>18</v>
      </c>
      <c r="I1409" s="35"/>
      <c r="J1409" s="2" t="s">
        <v>412</v>
      </c>
    </row>
    <row r="1410" spans="1:10" x14ac:dyDescent="0.2">
      <c r="A1410" s="35" t="s">
        <v>28</v>
      </c>
      <c r="B1410" s="36">
        <v>6.7000000000000002E-3</v>
      </c>
      <c r="C1410" t="s">
        <v>1034</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567</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512</v>
      </c>
    </row>
    <row r="1422" spans="1:10" x14ac:dyDescent="0.2">
      <c r="A1422" t="s">
        <v>2</v>
      </c>
      <c r="B1422" s="6" t="s">
        <v>1033</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391</v>
      </c>
    </row>
    <row r="1428" spans="1:10" x14ac:dyDescent="0.2">
      <c r="A1428" t="s">
        <v>11</v>
      </c>
      <c r="B1428" s="6" t="s">
        <v>502</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512</v>
      </c>
      <c r="B1431" s="36">
        <v>1</v>
      </c>
      <c r="C1431" t="s">
        <v>1033</v>
      </c>
      <c r="D1431" s="35" t="s">
        <v>8</v>
      </c>
      <c r="E1431" s="35"/>
      <c r="F1431" s="35" t="s">
        <v>17</v>
      </c>
      <c r="G1431" s="35"/>
      <c r="H1431" s="35"/>
      <c r="I1431" s="35" t="s">
        <v>18</v>
      </c>
      <c r="J1431" s="35" t="s">
        <v>337</v>
      </c>
    </row>
    <row r="1432" spans="1:10" ht="16" x14ac:dyDescent="0.2">
      <c r="A1432" s="2" t="s">
        <v>511</v>
      </c>
      <c r="B1432" s="6">
        <v>1.00057</v>
      </c>
      <c r="C1432" t="s">
        <v>1033</v>
      </c>
      <c r="D1432" t="s">
        <v>8</v>
      </c>
      <c r="F1432" s="35" t="s">
        <v>20</v>
      </c>
      <c r="G1432" t="s">
        <v>18</v>
      </c>
      <c r="I1432" s="35"/>
      <c r="J1432" s="2" t="s">
        <v>412</v>
      </c>
    </row>
    <row r="1433" spans="1:10" x14ac:dyDescent="0.2">
      <c r="A1433" s="35" t="s">
        <v>28</v>
      </c>
      <c r="B1433" s="36">
        <v>6.7000000000000002E-3</v>
      </c>
      <c r="C1433" t="s">
        <v>1034</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567</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1033</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836</v>
      </c>
      <c r="B1452" s="5">
        <f>Summary!R12</f>
        <v>13.063460875088559</v>
      </c>
    </row>
    <row r="1453" spans="1:10" x14ac:dyDescent="0.2">
      <c r="A1453" t="s">
        <v>842</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1033</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1034</v>
      </c>
      <c r="D1460" t="s">
        <v>29</v>
      </c>
      <c r="F1460" t="s">
        <v>20</v>
      </c>
      <c r="H1460" t="s">
        <v>30</v>
      </c>
    </row>
    <row r="1461" spans="1:8" x14ac:dyDescent="0.2">
      <c r="A1461" t="s">
        <v>352</v>
      </c>
      <c r="B1461" s="6">
        <f>12*Parameters!$B$7/1000</f>
        <v>1.932E-2</v>
      </c>
      <c r="C1461" t="s">
        <v>567</v>
      </c>
      <c r="D1461" t="s">
        <v>41</v>
      </c>
      <c r="F1461" t="s">
        <v>20</v>
      </c>
      <c r="G1461" t="s">
        <v>84</v>
      </c>
      <c r="H1461" t="s">
        <v>353</v>
      </c>
    </row>
    <row r="1462" spans="1:8" x14ac:dyDescent="0.2">
      <c r="A1462" t="s">
        <v>42</v>
      </c>
      <c r="B1462" s="6">
        <f>1.0493/1000</f>
        <v>1.0493E-3</v>
      </c>
      <c r="C1462" t="s">
        <v>1034</v>
      </c>
      <c r="D1462" t="s">
        <v>8</v>
      </c>
      <c r="F1462" t="s">
        <v>20</v>
      </c>
      <c r="H1462" t="s">
        <v>43</v>
      </c>
    </row>
    <row r="1463" spans="1:8" x14ac:dyDescent="0.2">
      <c r="A1463" t="s">
        <v>44</v>
      </c>
      <c r="B1463" s="6">
        <f>0.3329/1000</f>
        <v>3.3289999999999996E-4</v>
      </c>
      <c r="C1463" t="s">
        <v>1034</v>
      </c>
      <c r="D1463" t="s">
        <v>8</v>
      </c>
      <c r="F1463" t="s">
        <v>20</v>
      </c>
      <c r="H1463" t="s">
        <v>45</v>
      </c>
    </row>
    <row r="1464" spans="1:8" x14ac:dyDescent="0.2">
      <c r="A1464" t="s">
        <v>46</v>
      </c>
      <c r="B1464" s="6">
        <f>1.7056/1000</f>
        <v>1.7056E-3</v>
      </c>
      <c r="C1464" t="s">
        <v>1034</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1034</v>
      </c>
      <c r="D1469" t="s">
        <v>121</v>
      </c>
      <c r="F1469" t="s">
        <v>20</v>
      </c>
      <c r="G1469" t="s">
        <v>125</v>
      </c>
      <c r="H1469" t="s">
        <v>122</v>
      </c>
    </row>
    <row r="1470" spans="1:8" x14ac:dyDescent="0.2">
      <c r="A1470" t="s">
        <v>325</v>
      </c>
      <c r="B1470" s="6">
        <f>(0.808+1.126)/1000</f>
        <v>1.934E-3</v>
      </c>
      <c r="D1470" t="s">
        <v>8</v>
      </c>
      <c r="E1470" t="s">
        <v>37</v>
      </c>
      <c r="F1470" t="s">
        <v>36</v>
      </c>
      <c r="G1470" t="s">
        <v>990</v>
      </c>
    </row>
    <row r="1471" spans="1:8" x14ac:dyDescent="0.2">
      <c r="A1471" t="s">
        <v>979</v>
      </c>
      <c r="B1471" s="6">
        <f>29.38/1000000</f>
        <v>2.938E-5</v>
      </c>
      <c r="D1471" t="s">
        <v>8</v>
      </c>
      <c r="E1471" t="s">
        <v>37</v>
      </c>
      <c r="F1471" t="s">
        <v>36</v>
      </c>
      <c r="G1471" t="s">
        <v>991</v>
      </c>
    </row>
    <row r="1472" spans="1:8" x14ac:dyDescent="0.2">
      <c r="A1472" t="s">
        <v>40</v>
      </c>
      <c r="B1472" s="6">
        <f>33.748/1000000</f>
        <v>3.3747999999999996E-5</v>
      </c>
      <c r="D1472" t="s">
        <v>8</v>
      </c>
      <c r="E1472" t="s">
        <v>37</v>
      </c>
      <c r="F1472" t="s">
        <v>36</v>
      </c>
      <c r="G1472" t="s">
        <v>992</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1029</v>
      </c>
      <c r="B1480" s="6">
        <v>0.44</v>
      </c>
      <c r="D1480" t="s">
        <v>8</v>
      </c>
      <c r="E1480" t="s">
        <v>1030</v>
      </c>
      <c r="F1480" t="s">
        <v>36</v>
      </c>
      <c r="G1480" t="s">
        <v>472</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1033</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492</v>
      </c>
      <c r="B1511" s="70">
        <f>Summary!O97</f>
        <v>0.82240629567186829</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1033</v>
      </c>
      <c r="D1514" t="s">
        <v>8</v>
      </c>
      <c r="F1514" t="s">
        <v>17</v>
      </c>
      <c r="G1514" t="s">
        <v>18</v>
      </c>
      <c r="H1514" s="2" t="s">
        <v>286</v>
      </c>
    </row>
    <row r="1515" spans="1:8" ht="16" x14ac:dyDescent="0.2">
      <c r="A1515" s="2" t="s">
        <v>76</v>
      </c>
      <c r="B1515" s="6">
        <f>(1/((Parameters!$C$39*Parameters!$B$4*Parameters!$B$10)/1000))*Parameters!$F$47</f>
        <v>11.057877270651369</v>
      </c>
      <c r="C1515" t="s">
        <v>1033</v>
      </c>
      <c r="D1515" t="s">
        <v>8</v>
      </c>
      <c r="F1515" t="s">
        <v>20</v>
      </c>
      <c r="G1515" t="s">
        <v>18</v>
      </c>
      <c r="H1515" s="72" t="s">
        <v>77</v>
      </c>
    </row>
    <row r="1516" spans="1:8" ht="16" x14ac:dyDescent="0.2">
      <c r="A1516" s="2" t="s">
        <v>221</v>
      </c>
      <c r="B1516" s="6">
        <f>(300*Parameters!$B$3)/(Parameters!$B$4*Parameters!$B$10)*Parameters!$F$47</f>
        <v>7.4900076970727938E-2</v>
      </c>
      <c r="C1516" t="s">
        <v>26</v>
      </c>
      <c r="D1516" t="s">
        <v>19</v>
      </c>
      <c r="F1516" t="s">
        <v>20</v>
      </c>
      <c r="G1516" t="s">
        <v>408</v>
      </c>
      <c r="H1516" s="2" t="s">
        <v>222</v>
      </c>
    </row>
    <row r="1517" spans="1:8" x14ac:dyDescent="0.2">
      <c r="A1517" t="s">
        <v>214</v>
      </c>
      <c r="B1517" s="6">
        <f>((41.1/1000)/(Parameters!$B$4*Parameters!$B$10))*Parameters!$F$47</f>
        <v>9.7258453746287086E-3</v>
      </c>
      <c r="C1517" t="s">
        <v>31</v>
      </c>
      <c r="D1517" t="s">
        <v>8</v>
      </c>
      <c r="F1517" t="s">
        <v>20</v>
      </c>
      <c r="G1517" t="s">
        <v>409</v>
      </c>
      <c r="H1517" t="s">
        <v>215</v>
      </c>
    </row>
    <row r="1518" spans="1:8" x14ac:dyDescent="0.2">
      <c r="A1518" t="s">
        <v>265</v>
      </c>
      <c r="B1518" s="6">
        <f>(B1480*B1515)-Parameters!$B$13</f>
        <v>2.9514659990866026</v>
      </c>
      <c r="D1518" t="s">
        <v>8</v>
      </c>
      <c r="E1518" t="s">
        <v>37</v>
      </c>
      <c r="F1518" t="s">
        <v>36</v>
      </c>
      <c r="G1518" t="s">
        <v>423</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1033</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492</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1033</v>
      </c>
      <c r="D1532" t="s">
        <v>8</v>
      </c>
      <c r="F1532" t="s">
        <v>17</v>
      </c>
      <c r="G1532" t="s">
        <v>18</v>
      </c>
      <c r="H1532" s="2" t="s">
        <v>286</v>
      </c>
    </row>
    <row r="1533" spans="1:8" ht="16" x14ac:dyDescent="0.2">
      <c r="A1533" s="2" t="s">
        <v>76</v>
      </c>
      <c r="B1533" s="6">
        <f>(1/((Parameters!$C$39*Parameters!$B$4*Parameters!$B$10)/1000))*Parameters!$G$47</f>
        <v>13.152756545370348</v>
      </c>
      <c r="C1533" t="s">
        <v>1033</v>
      </c>
      <c r="D1533" t="s">
        <v>8</v>
      </c>
      <c r="F1533" t="s">
        <v>20</v>
      </c>
      <c r="G1533" t="s">
        <v>18</v>
      </c>
      <c r="H1533" s="72" t="s">
        <v>77</v>
      </c>
    </row>
    <row r="1534" spans="1:8" ht="16" x14ac:dyDescent="0.2">
      <c r="A1534" s="2" t="s">
        <v>221</v>
      </c>
      <c r="B1534" s="6">
        <f>(300*Parameters!$B$3)/(Parameters!$B$4*Parameters!$B$10)*Parameters!$G$47</f>
        <v>8.9089655592411415E-2</v>
      </c>
      <c r="C1534" t="s">
        <v>26</v>
      </c>
      <c r="D1534" t="s">
        <v>19</v>
      </c>
      <c r="F1534" t="s">
        <v>20</v>
      </c>
      <c r="G1534" t="s">
        <v>408</v>
      </c>
      <c r="H1534" s="2" t="s">
        <v>222</v>
      </c>
    </row>
    <row r="1535" spans="1:8" x14ac:dyDescent="0.2">
      <c r="A1535" t="s">
        <v>214</v>
      </c>
      <c r="B1535" s="6">
        <f>((41.1/1000)/(Parameters!$B$4*Parameters!$B$10))*Parameters!$G$47</f>
        <v>1.1568375491915039E-2</v>
      </c>
      <c r="C1535" t="s">
        <v>31</v>
      </c>
      <c r="D1535" t="s">
        <v>8</v>
      </c>
      <c r="F1535" t="s">
        <v>20</v>
      </c>
      <c r="G1535" t="s">
        <v>409</v>
      </c>
      <c r="H1535" t="s">
        <v>215</v>
      </c>
    </row>
    <row r="1536" spans="1:8" x14ac:dyDescent="0.2">
      <c r="A1536" t="s">
        <v>265</v>
      </c>
      <c r="B1536" s="6">
        <f>(B1480*B1533)-Parameters!$B$13</f>
        <v>3.8732128799629537</v>
      </c>
      <c r="D1536" t="s">
        <v>8</v>
      </c>
      <c r="E1536" t="s">
        <v>37</v>
      </c>
      <c r="F1536" t="s">
        <v>36</v>
      </c>
      <c r="G1536" t="s">
        <v>423</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513</v>
      </c>
    </row>
    <row r="1540" spans="1:8" x14ac:dyDescent="0.2">
      <c r="A1540" t="s">
        <v>2</v>
      </c>
      <c r="B1540" s="6" t="s">
        <v>1033</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499</v>
      </c>
    </row>
    <row r="1547" spans="1:8" x14ac:dyDescent="0.2">
      <c r="A1547" t="s">
        <v>492</v>
      </c>
      <c r="B1547" s="70">
        <f>Summary!O135</f>
        <v>0.5811856091886165</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513</v>
      </c>
      <c r="B1550" s="6">
        <v>1</v>
      </c>
      <c r="C1550" t="s">
        <v>1033</v>
      </c>
      <c r="D1550" t="s">
        <v>8</v>
      </c>
      <c r="F1550" t="s">
        <v>17</v>
      </c>
      <c r="G1550" t="s">
        <v>18</v>
      </c>
      <c r="H1550" s="2" t="s">
        <v>286</v>
      </c>
    </row>
    <row r="1551" spans="1:8" ht="16" x14ac:dyDescent="0.2">
      <c r="A1551" s="2" t="s">
        <v>76</v>
      </c>
      <c r="B1551" s="6">
        <f>(1/((Parameters!$C$39*Parameters!$B$4*Parameters!$B$10)/1000))</f>
        <v>15.64744160965482</v>
      </c>
      <c r="C1551" t="s">
        <v>1033</v>
      </c>
      <c r="D1551" t="s">
        <v>8</v>
      </c>
      <c r="F1551" t="s">
        <v>20</v>
      </c>
      <c r="G1551" t="s">
        <v>18</v>
      </c>
      <c r="H1551" s="72" t="s">
        <v>77</v>
      </c>
    </row>
    <row r="1552" spans="1:8" ht="16" x14ac:dyDescent="0.2">
      <c r="A1552" s="2" t="s">
        <v>221</v>
      </c>
      <c r="B1552" s="6">
        <f>(300*Parameters!$B$3)/(Parameters!$B$4*Parameters!$B$10)</f>
        <v>0.10598730228890306</v>
      </c>
      <c r="C1552" t="s">
        <v>26</v>
      </c>
      <c r="D1552" t="s">
        <v>19</v>
      </c>
      <c r="F1552" t="s">
        <v>20</v>
      </c>
      <c r="G1552" t="s">
        <v>408</v>
      </c>
      <c r="H1552" s="2" t="s">
        <v>222</v>
      </c>
    </row>
    <row r="1553" spans="1:9" x14ac:dyDescent="0.2">
      <c r="A1553" t="s">
        <v>214</v>
      </c>
      <c r="B1553" s="6">
        <f>((41.1/1000)/(Parameters!$B$4*Parameters!$B$10))</f>
        <v>1.3762550793355803E-2</v>
      </c>
      <c r="C1553" t="s">
        <v>31</v>
      </c>
      <c r="D1553" t="s">
        <v>8</v>
      </c>
      <c r="F1553" t="s">
        <v>20</v>
      </c>
      <c r="G1553" t="s">
        <v>409</v>
      </c>
      <c r="H1553" t="s">
        <v>215</v>
      </c>
    </row>
    <row r="1554" spans="1:9" x14ac:dyDescent="0.2">
      <c r="A1554" t="s">
        <v>265</v>
      </c>
      <c r="B1554" s="6">
        <f>(B1480*B1551)-Parameters!$B$13</f>
        <v>4.9708743082481206</v>
      </c>
      <c r="D1554" t="s">
        <v>8</v>
      </c>
      <c r="E1554" t="s">
        <v>37</v>
      </c>
      <c r="F1554" t="s">
        <v>36</v>
      </c>
      <c r="G1554" t="s">
        <v>423</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1034</v>
      </c>
      <c r="D1556" s="35" t="s">
        <v>29</v>
      </c>
      <c r="E1556" s="35"/>
      <c r="F1556" s="35" t="s">
        <v>20</v>
      </c>
      <c r="G1556" s="35" t="s">
        <v>500</v>
      </c>
      <c r="H1556" s="35" t="s">
        <v>30</v>
      </c>
      <c r="I1556" s="35"/>
    </row>
    <row r="1557" spans="1:9" ht="16" x14ac:dyDescent="0.2">
      <c r="A1557" s="2"/>
      <c r="H1557" s="2"/>
    </row>
    <row r="1559" spans="1:9" ht="16" x14ac:dyDescent="0.2">
      <c r="A1559" s="1" t="s">
        <v>1</v>
      </c>
      <c r="B1559" s="71" t="s">
        <v>1084</v>
      </c>
    </row>
    <row r="1560" spans="1:9" x14ac:dyDescent="0.2">
      <c r="A1560" t="s">
        <v>2</v>
      </c>
      <c r="B1560" s="6" t="s">
        <v>1033</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1088</v>
      </c>
    </row>
    <row r="1567" spans="1:9" x14ac:dyDescent="0.2">
      <c r="A1567" t="s">
        <v>492</v>
      </c>
      <c r="B1567" s="70">
        <f>Summary!O153</f>
        <v>0.5811856091886165</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1084</v>
      </c>
      <c r="B1570" s="6">
        <v>1</v>
      </c>
      <c r="C1570" t="s">
        <v>1033</v>
      </c>
      <c r="D1570" t="s">
        <v>8</v>
      </c>
      <c r="F1570" t="s">
        <v>17</v>
      </c>
      <c r="G1570" t="s">
        <v>18</v>
      </c>
      <c r="H1570" s="2" t="s">
        <v>286</v>
      </c>
    </row>
    <row r="1571" spans="1:9" ht="16" x14ac:dyDescent="0.2">
      <c r="A1571" s="2" t="s">
        <v>76</v>
      </c>
      <c r="B1571" s="6">
        <f>(1/((Parameters!$C$39*Parameters!$B$4*Parameters!$B$10)/1000))*Parameters!$F$47</f>
        <v>11.057877270651369</v>
      </c>
      <c r="C1571" t="s">
        <v>1033</v>
      </c>
      <c r="D1571" t="s">
        <v>8</v>
      </c>
      <c r="F1571" t="s">
        <v>20</v>
      </c>
      <c r="G1571" t="s">
        <v>18</v>
      </c>
      <c r="H1571" s="72" t="s">
        <v>77</v>
      </c>
    </row>
    <row r="1572" spans="1:9" ht="16" x14ac:dyDescent="0.2">
      <c r="A1572" s="2" t="s">
        <v>221</v>
      </c>
      <c r="B1572" s="6">
        <f>(300*Parameters!$B$3)/(Parameters!$B$4*Parameters!$B$10)*Parameters!$F$47</f>
        <v>7.4900076970727938E-2</v>
      </c>
      <c r="C1572" t="s">
        <v>26</v>
      </c>
      <c r="D1572" t="s">
        <v>19</v>
      </c>
      <c r="F1572" t="s">
        <v>20</v>
      </c>
      <c r="G1572" t="s">
        <v>408</v>
      </c>
      <c r="H1572" s="2" t="s">
        <v>222</v>
      </c>
    </row>
    <row r="1573" spans="1:9" x14ac:dyDescent="0.2">
      <c r="A1573" t="s">
        <v>214</v>
      </c>
      <c r="B1573" s="6">
        <f>((41.1/1000)/(Parameters!$B$4*Parameters!$B$10))*Parameters!$F$47</f>
        <v>9.7258453746287086E-3</v>
      </c>
      <c r="C1573" t="s">
        <v>31</v>
      </c>
      <c r="D1573" t="s">
        <v>8</v>
      </c>
      <c r="F1573" t="s">
        <v>20</v>
      </c>
      <c r="G1573" t="s">
        <v>409</v>
      </c>
      <c r="H1573" t="s">
        <v>215</v>
      </c>
    </row>
    <row r="1574" spans="1:9" x14ac:dyDescent="0.2">
      <c r="A1574" t="s">
        <v>265</v>
      </c>
      <c r="B1574" s="6">
        <f>((B1480*B1571)-Parameters!$B$13)*(1-0.975)</f>
        <v>7.3786649977165136E-2</v>
      </c>
      <c r="D1574" t="s">
        <v>8</v>
      </c>
      <c r="E1574" t="s">
        <v>37</v>
      </c>
      <c r="F1574" t="s">
        <v>36</v>
      </c>
      <c r="G1574" t="s">
        <v>423</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0.51798228283969872</v>
      </c>
      <c r="C1576" t="s">
        <v>1034</v>
      </c>
      <c r="D1576" s="35" t="s">
        <v>29</v>
      </c>
      <c r="E1576" s="35"/>
      <c r="F1576" s="35" t="s">
        <v>20</v>
      </c>
      <c r="G1576" s="35" t="s">
        <v>1087</v>
      </c>
      <c r="H1576" s="35" t="s">
        <v>30</v>
      </c>
      <c r="I1576" s="35"/>
    </row>
    <row r="1577" spans="1:9" x14ac:dyDescent="0.2">
      <c r="A1577" t="s">
        <v>1065</v>
      </c>
      <c r="B1577" s="6">
        <f>((B1480*B1571)-Parameters!$B$13)*0.975</f>
        <v>2.8776793491094375</v>
      </c>
      <c r="C1577" t="s">
        <v>567</v>
      </c>
      <c r="D1577" t="s">
        <v>8</v>
      </c>
      <c r="F1577" s="35" t="s">
        <v>20</v>
      </c>
      <c r="H1577" t="s">
        <v>1065</v>
      </c>
    </row>
    <row r="1578" spans="1:9" ht="16" x14ac:dyDescent="0.2">
      <c r="A1578" s="2"/>
      <c r="H1578" s="2"/>
    </row>
    <row r="1579" spans="1:9" ht="16" x14ac:dyDescent="0.2">
      <c r="A1579" s="1" t="s">
        <v>1</v>
      </c>
      <c r="B1579" s="71" t="s">
        <v>1085</v>
      </c>
    </row>
    <row r="1580" spans="1:9" x14ac:dyDescent="0.2">
      <c r="A1580" t="s">
        <v>2</v>
      </c>
      <c r="B1580" s="6" t="s">
        <v>1033</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492</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1085</v>
      </c>
      <c r="B1590" s="6">
        <v>1</v>
      </c>
      <c r="C1590" t="s">
        <v>1033</v>
      </c>
      <c r="D1590" t="s">
        <v>8</v>
      </c>
      <c r="F1590" t="s">
        <v>17</v>
      </c>
      <c r="G1590" t="s">
        <v>18</v>
      </c>
      <c r="H1590" s="2" t="s">
        <v>286</v>
      </c>
    </row>
    <row r="1591" spans="1:9" ht="16" x14ac:dyDescent="0.2">
      <c r="A1591" s="2" t="s">
        <v>76</v>
      </c>
      <c r="B1591" s="6">
        <f>(1/((Parameters!$C$39*Parameters!$B$4*Parameters!$B$10)/1000))*Parameters!$G$47</f>
        <v>13.152756545370348</v>
      </c>
      <c r="C1591" t="s">
        <v>1033</v>
      </c>
      <c r="D1591" t="s">
        <v>8</v>
      </c>
      <c r="F1591" t="s">
        <v>20</v>
      </c>
      <c r="G1591" t="s">
        <v>18</v>
      </c>
      <c r="H1591" s="72" t="s">
        <v>77</v>
      </c>
    </row>
    <row r="1592" spans="1:9" ht="16" x14ac:dyDescent="0.2">
      <c r="A1592" s="2" t="s">
        <v>221</v>
      </c>
      <c r="B1592" s="6">
        <f>(300*Parameters!$B$3)/(Parameters!$B$4*Parameters!$B$10)*Parameters!$G$47</f>
        <v>8.9089655592411415E-2</v>
      </c>
      <c r="C1592" t="s">
        <v>26</v>
      </c>
      <c r="D1592" t="s">
        <v>19</v>
      </c>
      <c r="F1592" t="s">
        <v>20</v>
      </c>
      <c r="G1592" t="s">
        <v>408</v>
      </c>
      <c r="H1592" s="2" t="s">
        <v>222</v>
      </c>
    </row>
    <row r="1593" spans="1:9" x14ac:dyDescent="0.2">
      <c r="A1593" t="s">
        <v>214</v>
      </c>
      <c r="B1593" s="6">
        <f>((41.1/1000)/(Parameters!$B$4*Parameters!$B$10))*Parameters!$G$47</f>
        <v>1.1568375491915039E-2</v>
      </c>
      <c r="C1593" t="s">
        <v>31</v>
      </c>
      <c r="D1593" t="s">
        <v>8</v>
      </c>
      <c r="F1593" t="s">
        <v>20</v>
      </c>
      <c r="G1593" t="s">
        <v>409</v>
      </c>
      <c r="H1593" t="s">
        <v>215</v>
      </c>
    </row>
    <row r="1594" spans="1:9" x14ac:dyDescent="0.2">
      <c r="A1594" t="s">
        <v>265</v>
      </c>
      <c r="B1594" s="6">
        <f>((B1480*B1591)-Parameters!$B$13)*(1-0.975)</f>
        <v>9.6830321999073932E-2</v>
      </c>
      <c r="D1594" t="s">
        <v>8</v>
      </c>
      <c r="E1594" t="s">
        <v>37</v>
      </c>
      <c r="F1594" t="s">
        <v>36</v>
      </c>
      <c r="G1594" t="s">
        <v>423</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0.67974886043349836</v>
      </c>
      <c r="C1596" t="s">
        <v>1034</v>
      </c>
      <c r="D1596" s="35" t="s">
        <v>29</v>
      </c>
      <c r="E1596" s="35"/>
      <c r="F1596" s="35" t="s">
        <v>20</v>
      </c>
      <c r="G1596" s="35" t="s">
        <v>1087</v>
      </c>
      <c r="H1596" s="35" t="s">
        <v>30</v>
      </c>
      <c r="I1596" s="35"/>
    </row>
    <row r="1597" spans="1:9" x14ac:dyDescent="0.2">
      <c r="A1597" t="s">
        <v>1065</v>
      </c>
      <c r="B1597" s="6">
        <f>((B1480*B1591)-Parameters!$B$13)*0.975</f>
        <v>3.7763825579638799</v>
      </c>
      <c r="C1597" t="s">
        <v>567</v>
      </c>
      <c r="D1597" t="s">
        <v>8</v>
      </c>
      <c r="F1597" s="35" t="s">
        <v>20</v>
      </c>
      <c r="H1597" t="s">
        <v>1065</v>
      </c>
    </row>
    <row r="1598" spans="1:9" ht="16" x14ac:dyDescent="0.2">
      <c r="A1598" s="2"/>
      <c r="H1598" s="2"/>
    </row>
    <row r="1599" spans="1:9" ht="16" x14ac:dyDescent="0.2">
      <c r="A1599" s="1" t="s">
        <v>1</v>
      </c>
      <c r="B1599" s="71" t="s">
        <v>1086</v>
      </c>
    </row>
    <row r="1600" spans="1:9" x14ac:dyDescent="0.2">
      <c r="A1600" t="s">
        <v>2</v>
      </c>
      <c r="B1600" s="6" t="s">
        <v>1033</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499</v>
      </c>
    </row>
    <row r="1607" spans="1:9" x14ac:dyDescent="0.2">
      <c r="A1607" t="s">
        <v>492</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1086</v>
      </c>
      <c r="B1610" s="6">
        <v>1</v>
      </c>
      <c r="C1610" t="s">
        <v>1033</v>
      </c>
      <c r="D1610" t="s">
        <v>8</v>
      </c>
      <c r="F1610" t="s">
        <v>17</v>
      </c>
      <c r="G1610" t="s">
        <v>18</v>
      </c>
      <c r="H1610" s="2" t="s">
        <v>286</v>
      </c>
    </row>
    <row r="1611" spans="1:9" ht="16" x14ac:dyDescent="0.2">
      <c r="A1611" s="2" t="s">
        <v>76</v>
      </c>
      <c r="B1611" s="6">
        <f>(1/((Parameters!$C$39*Parameters!$B$4*Parameters!$B$10)/1000))</f>
        <v>15.64744160965482</v>
      </c>
      <c r="C1611" t="s">
        <v>1033</v>
      </c>
      <c r="D1611" t="s">
        <v>8</v>
      </c>
      <c r="F1611" t="s">
        <v>20</v>
      </c>
      <c r="G1611" t="s">
        <v>18</v>
      </c>
      <c r="H1611" s="72" t="s">
        <v>77</v>
      </c>
    </row>
    <row r="1612" spans="1:9" ht="16" x14ac:dyDescent="0.2">
      <c r="A1612" s="2" t="s">
        <v>221</v>
      </c>
      <c r="B1612" s="6">
        <f>(300*Parameters!$B$3)/(Parameters!$B$4*Parameters!$B$10)</f>
        <v>0.10598730228890306</v>
      </c>
      <c r="C1612" t="s">
        <v>26</v>
      </c>
      <c r="D1612" t="s">
        <v>19</v>
      </c>
      <c r="F1612" t="s">
        <v>20</v>
      </c>
      <c r="G1612" t="s">
        <v>408</v>
      </c>
      <c r="H1612" s="2" t="s">
        <v>222</v>
      </c>
    </row>
    <row r="1613" spans="1:9" x14ac:dyDescent="0.2">
      <c r="A1613" t="s">
        <v>214</v>
      </c>
      <c r="B1613" s="6">
        <f>((41.1/1000)/(Parameters!$B$4*Parameters!$B$10))</f>
        <v>1.3762550793355803E-2</v>
      </c>
      <c r="C1613" t="s">
        <v>31</v>
      </c>
      <c r="D1613" t="s">
        <v>8</v>
      </c>
      <c r="F1613" t="s">
        <v>20</v>
      </c>
      <c r="G1613" t="s">
        <v>409</v>
      </c>
      <c r="H1613" t="s">
        <v>215</v>
      </c>
    </row>
    <row r="1614" spans="1:9" x14ac:dyDescent="0.2">
      <c r="A1614" t="s">
        <v>265</v>
      </c>
      <c r="B1614" s="6">
        <f>((B1480*B1611)-Parameters!$B$13)*(1-0.975)</f>
        <v>0.12427185770620312</v>
      </c>
      <c r="D1614" t="s">
        <v>8</v>
      </c>
      <c r="E1614" t="s">
        <v>37</v>
      </c>
      <c r="F1614" t="s">
        <v>36</v>
      </c>
      <c r="G1614" t="s">
        <v>423</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-0.10171908862504397</v>
      </c>
      <c r="C1616" t="s">
        <v>1034</v>
      </c>
      <c r="D1616" s="35" t="s">
        <v>29</v>
      </c>
      <c r="E1616" s="35"/>
      <c r="F1616" s="35" t="s">
        <v>20</v>
      </c>
      <c r="G1616" s="35" t="s">
        <v>500</v>
      </c>
      <c r="H1616" s="35" t="s">
        <v>30</v>
      </c>
      <c r="I1616" s="35"/>
    </row>
    <row r="1617" spans="1:10" x14ac:dyDescent="0.2">
      <c r="A1617" t="s">
        <v>1065</v>
      </c>
      <c r="B1617" s="6">
        <f>((B1480*B1611)-Parameters!$B$13)*0.975</f>
        <v>4.8466024505419174</v>
      </c>
      <c r="C1617" t="s">
        <v>567</v>
      </c>
      <c r="D1617" t="s">
        <v>8</v>
      </c>
      <c r="F1617" s="35" t="s">
        <v>20</v>
      </c>
      <c r="H1617" t="s">
        <v>1065</v>
      </c>
    </row>
    <row r="1618" spans="1:10" ht="16" x14ac:dyDescent="0.2">
      <c r="A1618" s="2"/>
      <c r="H1618" s="2"/>
    </row>
    <row r="1619" spans="1:10" ht="16" x14ac:dyDescent="0.2">
      <c r="A1619" s="1" t="s">
        <v>1</v>
      </c>
      <c r="B1619" s="71" t="s">
        <v>356</v>
      </c>
    </row>
    <row r="1620" spans="1:10" x14ac:dyDescent="0.2">
      <c r="A1620" t="s">
        <v>2</v>
      </c>
      <c r="B1620" s="6" t="s">
        <v>1033</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391</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1033</v>
      </c>
      <c r="D1629" s="35" t="s">
        <v>8</v>
      </c>
      <c r="E1629" s="35"/>
      <c r="F1629" s="35" t="s">
        <v>17</v>
      </c>
      <c r="G1629" s="35"/>
      <c r="H1629" s="35"/>
      <c r="I1629" s="35" t="s">
        <v>18</v>
      </c>
      <c r="J1629" s="35" t="s">
        <v>337</v>
      </c>
    </row>
    <row r="1630" spans="1:10" ht="16" x14ac:dyDescent="0.2">
      <c r="A1630" s="2" t="s">
        <v>287</v>
      </c>
      <c r="B1630" s="6">
        <v>1.00057</v>
      </c>
      <c r="C1630" t="s">
        <v>1033</v>
      </c>
      <c r="D1630" t="s">
        <v>8</v>
      </c>
      <c r="F1630" s="35" t="s">
        <v>20</v>
      </c>
      <c r="G1630" t="s">
        <v>18</v>
      </c>
      <c r="I1630" s="35"/>
      <c r="J1630" s="2" t="s">
        <v>286</v>
      </c>
    </row>
    <row r="1631" spans="1:10" x14ac:dyDescent="0.2">
      <c r="A1631" s="35" t="s">
        <v>28</v>
      </c>
      <c r="B1631" s="36">
        <v>6.7000000000000002E-3</v>
      </c>
      <c r="C1631" t="s">
        <v>1034</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567</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1033</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391</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1033</v>
      </c>
      <c r="D1652" s="35" t="s">
        <v>8</v>
      </c>
      <c r="E1652" s="35"/>
      <c r="F1652" s="35" t="s">
        <v>17</v>
      </c>
      <c r="G1652" s="35"/>
      <c r="H1652" s="35"/>
      <c r="I1652" s="35" t="s">
        <v>18</v>
      </c>
      <c r="J1652" s="35" t="s">
        <v>337</v>
      </c>
    </row>
    <row r="1653" spans="1:10" ht="16" x14ac:dyDescent="0.2">
      <c r="A1653" s="2" t="s">
        <v>301</v>
      </c>
      <c r="B1653" s="6">
        <v>1.00057</v>
      </c>
      <c r="C1653" t="s">
        <v>1033</v>
      </c>
      <c r="D1653" t="s">
        <v>8</v>
      </c>
      <c r="F1653" s="35" t="s">
        <v>20</v>
      </c>
      <c r="G1653" t="s">
        <v>18</v>
      </c>
      <c r="I1653" s="35"/>
      <c r="J1653" s="2" t="s">
        <v>286</v>
      </c>
    </row>
    <row r="1654" spans="1:10" x14ac:dyDescent="0.2">
      <c r="A1654" s="35" t="s">
        <v>28</v>
      </c>
      <c r="B1654" s="36">
        <v>6.7000000000000002E-3</v>
      </c>
      <c r="C1654" t="s">
        <v>1034</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567</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514</v>
      </c>
    </row>
    <row r="1666" spans="1:10" x14ac:dyDescent="0.2">
      <c r="A1666" t="s">
        <v>2</v>
      </c>
      <c r="B1666" s="6" t="s">
        <v>1033</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391</v>
      </c>
    </row>
    <row r="1672" spans="1:10" x14ac:dyDescent="0.2">
      <c r="A1672" t="s">
        <v>11</v>
      </c>
      <c r="B1672" s="6" t="s">
        <v>502</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514</v>
      </c>
      <c r="B1675" s="36">
        <v>1</v>
      </c>
      <c r="C1675" t="s">
        <v>1033</v>
      </c>
      <c r="D1675" s="35" t="s">
        <v>8</v>
      </c>
      <c r="E1675" s="35"/>
      <c r="F1675" s="35" t="s">
        <v>17</v>
      </c>
      <c r="G1675" s="35"/>
      <c r="H1675" s="35"/>
      <c r="I1675" s="35" t="s">
        <v>18</v>
      </c>
      <c r="J1675" s="35" t="s">
        <v>337</v>
      </c>
    </row>
    <row r="1676" spans="1:10" ht="16" x14ac:dyDescent="0.2">
      <c r="A1676" s="2" t="s">
        <v>513</v>
      </c>
      <c r="B1676" s="6">
        <v>1.00057</v>
      </c>
      <c r="C1676" t="s">
        <v>1033</v>
      </c>
      <c r="D1676" t="s">
        <v>8</v>
      </c>
      <c r="F1676" s="35" t="s">
        <v>20</v>
      </c>
      <c r="G1676" t="s">
        <v>18</v>
      </c>
      <c r="I1676" s="35"/>
      <c r="J1676" s="2" t="s">
        <v>286</v>
      </c>
    </row>
    <row r="1677" spans="1:10" x14ac:dyDescent="0.2">
      <c r="A1677" s="35" t="s">
        <v>28</v>
      </c>
      <c r="B1677" s="36">
        <v>6.7000000000000002E-3</v>
      </c>
      <c r="C1677" t="s">
        <v>1034</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567</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1089</v>
      </c>
    </row>
    <row r="1690" spans="1:10" x14ac:dyDescent="0.2">
      <c r="A1690" t="s">
        <v>2</v>
      </c>
      <c r="B1690" s="6" t="s">
        <v>1033</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391</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1089</v>
      </c>
      <c r="B1699" s="36">
        <v>1</v>
      </c>
      <c r="C1699" t="s">
        <v>1033</v>
      </c>
      <c r="D1699" s="35" t="s">
        <v>8</v>
      </c>
      <c r="E1699" s="35"/>
      <c r="F1699" s="35" t="s">
        <v>17</v>
      </c>
      <c r="G1699" s="35"/>
      <c r="H1699" s="35"/>
      <c r="I1699" s="35" t="s">
        <v>18</v>
      </c>
      <c r="J1699" s="35" t="s">
        <v>337</v>
      </c>
    </row>
    <row r="1700" spans="1:10" ht="16" x14ac:dyDescent="0.2">
      <c r="A1700" s="2" t="s">
        <v>1084</v>
      </c>
      <c r="B1700" s="6">
        <v>1.00057</v>
      </c>
      <c r="C1700" t="s">
        <v>1033</v>
      </c>
      <c r="D1700" t="s">
        <v>8</v>
      </c>
      <c r="F1700" s="35" t="s">
        <v>20</v>
      </c>
      <c r="G1700" t="s">
        <v>18</v>
      </c>
      <c r="I1700" s="35"/>
      <c r="J1700" s="2" t="s">
        <v>286</v>
      </c>
    </row>
    <row r="1701" spans="1:10" x14ac:dyDescent="0.2">
      <c r="A1701" s="35" t="s">
        <v>28</v>
      </c>
      <c r="B1701" s="36">
        <v>6.7000000000000002E-3</v>
      </c>
      <c r="C1701" t="s">
        <v>1034</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567</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1090</v>
      </c>
    </row>
    <row r="1713" spans="1:10" x14ac:dyDescent="0.2">
      <c r="A1713" t="s">
        <v>2</v>
      </c>
      <c r="B1713" s="6" t="s">
        <v>1033</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391</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1090</v>
      </c>
      <c r="B1722" s="36">
        <v>1</v>
      </c>
      <c r="C1722" t="s">
        <v>1033</v>
      </c>
      <c r="D1722" s="35" t="s">
        <v>8</v>
      </c>
      <c r="E1722" s="35"/>
      <c r="F1722" s="35" t="s">
        <v>17</v>
      </c>
      <c r="G1722" s="35"/>
      <c r="H1722" s="35"/>
      <c r="I1722" s="35" t="s">
        <v>18</v>
      </c>
      <c r="J1722" s="35" t="s">
        <v>337</v>
      </c>
    </row>
    <row r="1723" spans="1:10" ht="16" x14ac:dyDescent="0.2">
      <c r="A1723" s="2" t="s">
        <v>1085</v>
      </c>
      <c r="B1723" s="6">
        <v>1.00057</v>
      </c>
      <c r="C1723" t="s">
        <v>1033</v>
      </c>
      <c r="D1723" t="s">
        <v>8</v>
      </c>
      <c r="F1723" s="35" t="s">
        <v>20</v>
      </c>
      <c r="G1723" t="s">
        <v>18</v>
      </c>
      <c r="I1723" s="35"/>
      <c r="J1723" s="2" t="s">
        <v>286</v>
      </c>
    </row>
    <row r="1724" spans="1:10" x14ac:dyDescent="0.2">
      <c r="A1724" s="35" t="s">
        <v>28</v>
      </c>
      <c r="B1724" s="36">
        <v>6.7000000000000002E-3</v>
      </c>
      <c r="C1724" t="s">
        <v>1034</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567</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1091</v>
      </c>
    </row>
    <row r="1736" spans="1:10" x14ac:dyDescent="0.2">
      <c r="A1736" t="s">
        <v>2</v>
      </c>
      <c r="B1736" s="6" t="s">
        <v>1033</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391</v>
      </c>
    </row>
    <row r="1742" spans="1:10" x14ac:dyDescent="0.2">
      <c r="A1742" t="s">
        <v>11</v>
      </c>
      <c r="B1742" s="6" t="s">
        <v>502</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1091</v>
      </c>
      <c r="B1745" s="36">
        <v>1</v>
      </c>
      <c r="C1745" t="s">
        <v>1033</v>
      </c>
      <c r="D1745" s="35" t="s">
        <v>8</v>
      </c>
      <c r="E1745" s="35"/>
      <c r="F1745" s="35" t="s">
        <v>17</v>
      </c>
      <c r="G1745" s="35"/>
      <c r="H1745" s="35"/>
      <c r="I1745" s="35" t="s">
        <v>18</v>
      </c>
      <c r="J1745" s="35" t="s">
        <v>337</v>
      </c>
    </row>
    <row r="1746" spans="1:10" ht="16" x14ac:dyDescent="0.2">
      <c r="A1746" s="2" t="s">
        <v>1086</v>
      </c>
      <c r="B1746" s="6">
        <v>1.00057</v>
      </c>
      <c r="C1746" t="s">
        <v>1033</v>
      </c>
      <c r="D1746" t="s">
        <v>8</v>
      </c>
      <c r="F1746" s="35" t="s">
        <v>20</v>
      </c>
      <c r="G1746" t="s">
        <v>18</v>
      </c>
      <c r="I1746" s="35"/>
      <c r="J1746" s="2" t="s">
        <v>286</v>
      </c>
    </row>
    <row r="1747" spans="1:10" x14ac:dyDescent="0.2">
      <c r="A1747" s="35" t="s">
        <v>28</v>
      </c>
      <c r="B1747" s="36">
        <v>6.7000000000000002E-3</v>
      </c>
      <c r="C1747" t="s">
        <v>1034</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567</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1033</v>
      </c>
    </row>
    <row r="1760" spans="1:10" x14ac:dyDescent="0.2">
      <c r="A1760" t="s">
        <v>3</v>
      </c>
      <c r="B1760" s="6">
        <v>1</v>
      </c>
    </row>
    <row r="1761" spans="1:8" ht="16" x14ac:dyDescent="0.2">
      <c r="A1761" t="s">
        <v>4</v>
      </c>
      <c r="B1761" s="72" t="s">
        <v>437</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1047</v>
      </c>
    </row>
    <row r="1766" spans="1:8" x14ac:dyDescent="0.2">
      <c r="A1766" t="s">
        <v>836</v>
      </c>
      <c r="B1766" s="5">
        <f>Summary!R13</f>
        <v>13.485301799179947</v>
      </c>
    </row>
    <row r="1767" spans="1:8" x14ac:dyDescent="0.2">
      <c r="A1767" t="s">
        <v>842</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1033</v>
      </c>
      <c r="D1770" t="s">
        <v>8</v>
      </c>
      <c r="F1770" t="s">
        <v>17</v>
      </c>
      <c r="G1770" t="s">
        <v>18</v>
      </c>
      <c r="H1770" s="72" t="s">
        <v>437</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1034</v>
      </c>
      <c r="D1774" t="s">
        <v>29</v>
      </c>
      <c r="F1774" t="s">
        <v>20</v>
      </c>
      <c r="H1774" t="s">
        <v>30</v>
      </c>
    </row>
    <row r="1775" spans="1:8" x14ac:dyDescent="0.2">
      <c r="A1775" t="s">
        <v>352</v>
      </c>
      <c r="B1775" s="6">
        <f>20*Parameters!$B$7/1000</f>
        <v>3.2199999999999999E-2</v>
      </c>
      <c r="C1775" t="s">
        <v>567</v>
      </c>
      <c r="D1775" t="s">
        <v>41</v>
      </c>
      <c r="F1775" t="s">
        <v>20</v>
      </c>
      <c r="G1775" t="s">
        <v>86</v>
      </c>
      <c r="H1775" t="s">
        <v>353</v>
      </c>
    </row>
    <row r="1776" spans="1:8" x14ac:dyDescent="0.2">
      <c r="A1776" t="s">
        <v>42</v>
      </c>
      <c r="B1776" s="6">
        <f>0.4751/Parameters!B8/1000</f>
        <v>1.8704687000000001E-2</v>
      </c>
      <c r="C1776" t="s">
        <v>1034</v>
      </c>
      <c r="D1776" t="s">
        <v>8</v>
      </c>
      <c r="F1776" t="s">
        <v>20</v>
      </c>
      <c r="H1776" t="s">
        <v>43</v>
      </c>
    </row>
    <row r="1777" spans="1:8" x14ac:dyDescent="0.2">
      <c r="A1777" t="s">
        <v>44</v>
      </c>
      <c r="B1777" s="6">
        <f>0.1046/Parameters!B8/1000</f>
        <v>4.1181019999999994E-3</v>
      </c>
      <c r="C1777" t="s">
        <v>1034</v>
      </c>
      <c r="D1777" t="s">
        <v>8</v>
      </c>
      <c r="F1777" t="s">
        <v>20</v>
      </c>
      <c r="H1777" t="s">
        <v>45</v>
      </c>
    </row>
    <row r="1778" spans="1:8" x14ac:dyDescent="0.2">
      <c r="A1778" t="s">
        <v>46</v>
      </c>
      <c r="B1778" s="6">
        <f>0.0269/Parameters!B8/1000</f>
        <v>1.0590529999999999E-3</v>
      </c>
      <c r="C1778" t="s">
        <v>1034</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1034</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993</v>
      </c>
    </row>
    <row r="1786" spans="1:8" x14ac:dyDescent="0.2">
      <c r="A1786" t="s">
        <v>979</v>
      </c>
      <c r="B1786" s="6">
        <f>10.56/1000000</f>
        <v>1.0560000000000001E-5</v>
      </c>
      <c r="D1786" t="s">
        <v>8</v>
      </c>
      <c r="E1786" t="s">
        <v>37</v>
      </c>
      <c r="F1786" t="s">
        <v>36</v>
      </c>
      <c r="G1786" t="s">
        <v>994</v>
      </c>
    </row>
    <row r="1787" spans="1:8" x14ac:dyDescent="0.2">
      <c r="A1787" t="s">
        <v>40</v>
      </c>
      <c r="B1787" s="6">
        <f>13.218/1000000</f>
        <v>1.3217999999999999E-5</v>
      </c>
      <c r="D1787" t="s">
        <v>8</v>
      </c>
      <c r="E1787" t="s">
        <v>37</v>
      </c>
      <c r="F1787" t="s">
        <v>36</v>
      </c>
      <c r="G1787" t="s">
        <v>995</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1029</v>
      </c>
      <c r="B1808" s="6">
        <f>0.393*(44/12)</f>
        <v>1.4410000000000001</v>
      </c>
      <c r="D1808" t="s">
        <v>8</v>
      </c>
      <c r="E1808" t="s">
        <v>1030</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435</v>
      </c>
    </row>
    <row r="1818" spans="1:7" x14ac:dyDescent="0.2">
      <c r="A1818" t="s">
        <v>2</v>
      </c>
      <c r="B1818" s="6" t="s">
        <v>1033</v>
      </c>
    </row>
    <row r="1819" spans="1:7" x14ac:dyDescent="0.2">
      <c r="A1819" t="s">
        <v>3</v>
      </c>
      <c r="B1819" s="6">
        <v>1</v>
      </c>
    </row>
    <row r="1820" spans="1:7" ht="16" x14ac:dyDescent="0.2">
      <c r="A1820" t="s">
        <v>4</v>
      </c>
      <c r="B1820" s="72" t="s">
        <v>436</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492</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435</v>
      </c>
      <c r="B1828" s="6">
        <v>1</v>
      </c>
      <c r="C1828" t="s">
        <v>1033</v>
      </c>
      <c r="D1828" t="s">
        <v>8</v>
      </c>
      <c r="F1828" t="s">
        <v>17</v>
      </c>
      <c r="G1828" t="s">
        <v>18</v>
      </c>
      <c r="H1828" s="2" t="s">
        <v>436</v>
      </c>
    </row>
    <row r="1829" spans="1:8" ht="16" x14ac:dyDescent="0.2">
      <c r="A1829" s="2" t="s">
        <v>85</v>
      </c>
      <c r="B1829" s="6">
        <f>(1/((Parameters!$D$55*Parameters!$B$4*Parameters!$B$10)/1000))*Parameters!D60</f>
        <v>2.4244760277550892</v>
      </c>
      <c r="C1829" t="s">
        <v>1033</v>
      </c>
      <c r="D1829" t="s">
        <v>8</v>
      </c>
      <c r="F1829" t="s">
        <v>20</v>
      </c>
      <c r="G1829" t="s">
        <v>18</v>
      </c>
      <c r="H1829" s="72" t="s">
        <v>437</v>
      </c>
    </row>
    <row r="1830" spans="1:8" ht="16" x14ac:dyDescent="0.2">
      <c r="A1830" s="2" t="s">
        <v>433</v>
      </c>
      <c r="B1830" s="6">
        <f>((15827*Parameters!$B$3)/(Parameters!$B$4*Parameters!$B$10))*Parameters!D60</f>
        <v>4.4788209589816708</v>
      </c>
      <c r="C1830" t="s">
        <v>31</v>
      </c>
      <c r="D1830" t="s">
        <v>19</v>
      </c>
      <c r="F1830" t="s">
        <v>20</v>
      </c>
      <c r="G1830" t="s">
        <v>495</v>
      </c>
      <c r="H1830" s="2" t="s">
        <v>434</v>
      </c>
    </row>
    <row r="1831" spans="1:8" ht="16" x14ac:dyDescent="0.2">
      <c r="A1831" s="2" t="s">
        <v>28</v>
      </c>
      <c r="B1831" s="6">
        <f>((2501*Parameters!$B$3/3.6)/(Parameters!$B$4*Parameters!$B$10))*Parameters!D60</f>
        <v>0.19659673024320534</v>
      </c>
      <c r="C1831" t="s">
        <v>1034</v>
      </c>
      <c r="D1831" t="s">
        <v>29</v>
      </c>
      <c r="F1831" t="s">
        <v>20</v>
      </c>
      <c r="H1831" s="2" t="s">
        <v>30</v>
      </c>
    </row>
    <row r="1832" spans="1:8" ht="16" x14ac:dyDescent="0.2">
      <c r="A1832" s="2" t="s">
        <v>382</v>
      </c>
      <c r="B1832" s="6">
        <f>((2.79/1000)/(Parameters!$B$4*Parameters!$B$10))*Parameters!D60</f>
        <v>7.4833116514558674E-4</v>
      </c>
      <c r="C1832" t="s">
        <v>26</v>
      </c>
      <c r="D1832" t="s">
        <v>8</v>
      </c>
      <c r="F1832" t="s">
        <v>20</v>
      </c>
      <c r="G1832" t="s">
        <v>384</v>
      </c>
      <c r="H1832" s="2" t="s">
        <v>383</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385</v>
      </c>
      <c r="H1835" s="2" t="s">
        <v>371</v>
      </c>
    </row>
    <row r="1836" spans="1:8" ht="16" x14ac:dyDescent="0.2">
      <c r="A1836" s="2" t="s">
        <v>386</v>
      </c>
      <c r="B1836" s="6">
        <f>((22.71/1000)/(Parameters!$B$4*Parameters!$B$10))*Parameters!D60</f>
        <v>6.0912547528517115E-3</v>
      </c>
      <c r="C1836" t="s">
        <v>26</v>
      </c>
      <c r="D1836" t="s">
        <v>8</v>
      </c>
      <c r="F1836" t="s">
        <v>20</v>
      </c>
      <c r="G1836" t="s">
        <v>388</v>
      </c>
      <c r="H1836" s="2" t="s">
        <v>387</v>
      </c>
    </row>
    <row r="1837" spans="1:8" x14ac:dyDescent="0.2">
      <c r="A1837" t="s">
        <v>265</v>
      </c>
      <c r="B1837" s="6">
        <f>(B1808*B1829)-Parameters!$B$13</f>
        <v>1.5796699559950838</v>
      </c>
      <c r="D1837" t="s">
        <v>8</v>
      </c>
      <c r="E1837" t="s">
        <v>37</v>
      </c>
      <c r="F1837" t="s">
        <v>36</v>
      </c>
      <c r="G1837" t="s">
        <v>423</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438</v>
      </c>
    </row>
    <row r="1841" spans="1:8" x14ac:dyDescent="0.2">
      <c r="A1841" t="s">
        <v>2</v>
      </c>
      <c r="B1841" s="6" t="s">
        <v>1033</v>
      </c>
    </row>
    <row r="1842" spans="1:8" x14ac:dyDescent="0.2">
      <c r="A1842" t="s">
        <v>3</v>
      </c>
      <c r="B1842" s="6">
        <v>1</v>
      </c>
    </row>
    <row r="1843" spans="1:8" ht="16" x14ac:dyDescent="0.2">
      <c r="A1843" t="s">
        <v>4</v>
      </c>
      <c r="B1843" s="72" t="s">
        <v>436</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492</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438</v>
      </c>
      <c r="B1851" s="6">
        <v>1</v>
      </c>
      <c r="C1851" t="s">
        <v>1033</v>
      </c>
      <c r="D1851" t="s">
        <v>8</v>
      </c>
      <c r="F1851" t="s">
        <v>17</v>
      </c>
      <c r="G1851" t="s">
        <v>18</v>
      </c>
      <c r="H1851" s="2" t="s">
        <v>436</v>
      </c>
    </row>
    <row r="1852" spans="1:8" ht="16" x14ac:dyDescent="0.2">
      <c r="A1852" s="2" t="s">
        <v>85</v>
      </c>
      <c r="B1852" s="6">
        <f>(1/((Parameters!$D$55*Parameters!$B$4*Parameters!$B$10)/1000))*Parameters!D61</f>
        <v>1.8433282158587381</v>
      </c>
      <c r="C1852" t="s">
        <v>1033</v>
      </c>
      <c r="D1852" t="s">
        <v>8</v>
      </c>
      <c r="F1852" t="s">
        <v>20</v>
      </c>
      <c r="G1852" t="s">
        <v>18</v>
      </c>
      <c r="H1852" s="72" t="s">
        <v>437</v>
      </c>
    </row>
    <row r="1853" spans="1:8" ht="16" x14ac:dyDescent="0.2">
      <c r="A1853" s="2" t="s">
        <v>433</v>
      </c>
      <c r="B1853" s="6">
        <f>(15827*Parameters!$B$3)/(Parameters!$B$4*Parameters!$B$10)*Parameters!D61</f>
        <v>3.4052458976527307</v>
      </c>
      <c r="C1853" t="s">
        <v>31</v>
      </c>
      <c r="D1853" t="s">
        <v>19</v>
      </c>
      <c r="F1853" t="s">
        <v>20</v>
      </c>
      <c r="G1853" t="s">
        <v>432</v>
      </c>
      <c r="H1853" s="2" t="s">
        <v>434</v>
      </c>
    </row>
    <row r="1854" spans="1:8" ht="16" x14ac:dyDescent="0.2">
      <c r="A1854" s="2" t="s">
        <v>28</v>
      </c>
      <c r="B1854" s="6">
        <f>(2501*Parameters!$B$3/3.6)/(Parameters!$B$4*Parameters!$B$10)*Parameters!D61</f>
        <v>0.14947242037217484</v>
      </c>
      <c r="C1854" t="s">
        <v>1034</v>
      </c>
      <c r="D1854" t="s">
        <v>29</v>
      </c>
      <c r="F1854" t="s">
        <v>20</v>
      </c>
      <c r="H1854" s="2" t="s">
        <v>30</v>
      </c>
    </row>
    <row r="1855" spans="1:8" ht="16" x14ac:dyDescent="0.2">
      <c r="A1855" s="2" t="s">
        <v>382</v>
      </c>
      <c r="B1855" s="6">
        <f>((2.79/1000)/(Parameters!$B$4*Parameters!$B$10))*Parameters!D61</f>
        <v>5.6895590458634485E-4</v>
      </c>
      <c r="C1855" t="s">
        <v>26</v>
      </c>
      <c r="D1855" t="s">
        <v>8</v>
      </c>
      <c r="F1855" t="s">
        <v>20</v>
      </c>
      <c r="G1855" t="s">
        <v>384</v>
      </c>
      <c r="H1855" s="2" t="s">
        <v>383</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385</v>
      </c>
      <c r="H1858" s="2" t="s">
        <v>371</v>
      </c>
    </row>
    <row r="1859" spans="1:8" ht="16" x14ac:dyDescent="0.2">
      <c r="A1859" s="2" t="s">
        <v>386</v>
      </c>
      <c r="B1859" s="6">
        <f>((22.71/1000)/(Parameters!$B$4*Parameters!$B$10))*Parameters!D61</f>
        <v>4.6311787072243343E-3</v>
      </c>
      <c r="C1859" t="s">
        <v>26</v>
      </c>
      <c r="D1859" t="s">
        <v>8</v>
      </c>
      <c r="F1859" t="s">
        <v>20</v>
      </c>
      <c r="G1859" t="s">
        <v>388</v>
      </c>
      <c r="H1859" s="2" t="s">
        <v>387</v>
      </c>
    </row>
    <row r="1860" spans="1:8" x14ac:dyDescent="0.2">
      <c r="A1860" t="s">
        <v>265</v>
      </c>
      <c r="B1860" s="6">
        <f>(B1808*B1852)-Parameters!$B$13</f>
        <v>0.74223595905244166</v>
      </c>
      <c r="D1860" t="s">
        <v>8</v>
      </c>
      <c r="E1860" t="s">
        <v>37</v>
      </c>
      <c r="F1860" t="s">
        <v>36</v>
      </c>
      <c r="G1860" t="s">
        <v>423</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515</v>
      </c>
    </row>
    <row r="1864" spans="1:8" x14ac:dyDescent="0.2">
      <c r="A1864" t="s">
        <v>2</v>
      </c>
      <c r="B1864" s="6" t="s">
        <v>1033</v>
      </c>
    </row>
    <row r="1865" spans="1:8" x14ac:dyDescent="0.2">
      <c r="A1865" t="s">
        <v>3</v>
      </c>
      <c r="B1865" s="6">
        <v>1</v>
      </c>
    </row>
    <row r="1866" spans="1:8" ht="16" x14ac:dyDescent="0.2">
      <c r="A1866" t="s">
        <v>4</v>
      </c>
      <c r="B1866" s="72" t="s">
        <v>436</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499</v>
      </c>
    </row>
    <row r="1871" spans="1:8" x14ac:dyDescent="0.2">
      <c r="A1871" t="s">
        <v>492</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515</v>
      </c>
      <c r="B1874" s="6">
        <v>1</v>
      </c>
      <c r="C1874" t="s">
        <v>1033</v>
      </c>
      <c r="D1874" t="s">
        <v>8</v>
      </c>
      <c r="F1874" t="s">
        <v>17</v>
      </c>
      <c r="G1874" t="s">
        <v>18</v>
      </c>
      <c r="H1874" s="2" t="s">
        <v>436</v>
      </c>
    </row>
    <row r="1875" spans="1:9" ht="16" x14ac:dyDescent="0.2">
      <c r="A1875" s="2" t="s">
        <v>85</v>
      </c>
      <c r="B1875" s="6">
        <f>(1/((Parameters!$D$55*Parameters!$B$4*Parameters!$B$10)/1000))</f>
        <v>3.0268115202934944</v>
      </c>
      <c r="C1875" t="s">
        <v>1033</v>
      </c>
      <c r="D1875" t="s">
        <v>8</v>
      </c>
      <c r="F1875" t="s">
        <v>20</v>
      </c>
      <c r="G1875" t="s">
        <v>18</v>
      </c>
      <c r="H1875" s="2" t="s">
        <v>437</v>
      </c>
    </row>
    <row r="1876" spans="1:9" ht="16" x14ac:dyDescent="0.2">
      <c r="A1876" s="2" t="s">
        <v>433</v>
      </c>
      <c r="B1876" s="6">
        <f>(15827*Parameters!$B$3)/(Parameters!$B$4*Parameters!$B$10)</f>
        <v>5.5915367777548948</v>
      </c>
      <c r="C1876" t="s">
        <v>31</v>
      </c>
      <c r="D1876" t="s">
        <v>19</v>
      </c>
      <c r="F1876" t="s">
        <v>20</v>
      </c>
      <c r="G1876" t="s">
        <v>432</v>
      </c>
      <c r="H1876" s="2" t="s">
        <v>434</v>
      </c>
    </row>
    <row r="1877" spans="1:9" ht="16" x14ac:dyDescent="0.2">
      <c r="A1877" s="2" t="s">
        <v>28</v>
      </c>
      <c r="B1877" s="6">
        <f>(2501*Parameters!$B$3/3.6)/(Parameters!$B$4*Parameters!$B$10)</f>
        <v>0.24543911391161713</v>
      </c>
      <c r="C1877" t="s">
        <v>1034</v>
      </c>
      <c r="D1877" t="s">
        <v>29</v>
      </c>
      <c r="F1877" t="s">
        <v>20</v>
      </c>
      <c r="H1877" s="2" t="s">
        <v>30</v>
      </c>
    </row>
    <row r="1878" spans="1:9" ht="16" x14ac:dyDescent="0.2">
      <c r="A1878" s="2" t="s">
        <v>382</v>
      </c>
      <c r="B1878" s="6">
        <f>((2.79/1000)/(Parameters!$B$4*Parameters!$B$10))</f>
        <v>9.3424614874605075E-4</v>
      </c>
      <c r="C1878" t="s">
        <v>26</v>
      </c>
      <c r="D1878" t="s">
        <v>8</v>
      </c>
      <c r="F1878" t="s">
        <v>20</v>
      </c>
      <c r="G1878" t="s">
        <v>384</v>
      </c>
      <c r="H1878" s="2" t="s">
        <v>383</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385</v>
      </c>
      <c r="H1881" s="2" t="s">
        <v>371</v>
      </c>
    </row>
    <row r="1882" spans="1:9" ht="16" x14ac:dyDescent="0.2">
      <c r="A1882" s="2" t="s">
        <v>386</v>
      </c>
      <c r="B1882" s="6">
        <f>((22.71/1000)/(Parameters!$B$4*Parameters!$B$10))</f>
        <v>7.6045627376425855E-3</v>
      </c>
      <c r="C1882" t="s">
        <v>26</v>
      </c>
      <c r="D1882" t="s">
        <v>8</v>
      </c>
      <c r="F1882" t="s">
        <v>20</v>
      </c>
      <c r="G1882" t="s">
        <v>388</v>
      </c>
      <c r="H1882" s="2" t="s">
        <v>387</v>
      </c>
    </row>
    <row r="1883" spans="1:9" x14ac:dyDescent="0.2">
      <c r="A1883" t="s">
        <v>265</v>
      </c>
      <c r="B1883" s="6">
        <f>(B1808*B1875)-Parameters!$B$13</f>
        <v>2.447635400742926</v>
      </c>
      <c r="D1883" t="s">
        <v>8</v>
      </c>
      <c r="E1883" t="s">
        <v>37</v>
      </c>
      <c r="F1883" t="s">
        <v>36</v>
      </c>
      <c r="G1883" t="s">
        <v>423</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1034</v>
      </c>
      <c r="D1885" s="35" t="s">
        <v>29</v>
      </c>
      <c r="E1885" s="35"/>
      <c r="F1885" s="35" t="s">
        <v>20</v>
      </c>
      <c r="G1885" s="35" t="s">
        <v>500</v>
      </c>
      <c r="H1885" s="35" t="s">
        <v>30</v>
      </c>
      <c r="I1885" s="35"/>
    </row>
    <row r="1886" spans="1:9" x14ac:dyDescent="0.2">
      <c r="A1886" s="35" t="s">
        <v>520</v>
      </c>
      <c r="B1886" s="36">
        <f>Parameters!D56/Parameters!B4*Parameters!B10*-1*0.27</f>
        <v>-0.31687157199471599</v>
      </c>
      <c r="C1886" t="s">
        <v>26</v>
      </c>
      <c r="D1886" t="s">
        <v>8</v>
      </c>
      <c r="E1886" s="35"/>
      <c r="F1886" s="35" t="s">
        <v>20</v>
      </c>
      <c r="G1886" s="35" t="s">
        <v>560</v>
      </c>
      <c r="H1886" s="35" t="s">
        <v>521</v>
      </c>
      <c r="I1886" s="35"/>
    </row>
    <row r="1887" spans="1:9" ht="16" x14ac:dyDescent="0.2">
      <c r="A1887" s="2"/>
      <c r="H1887" s="2"/>
    </row>
    <row r="1888" spans="1:9" ht="16" x14ac:dyDescent="0.2">
      <c r="A1888" s="1" t="s">
        <v>1</v>
      </c>
      <c r="B1888" s="71" t="s">
        <v>439</v>
      </c>
    </row>
    <row r="1889" spans="1:10" x14ac:dyDescent="0.2">
      <c r="A1889" t="s">
        <v>2</v>
      </c>
      <c r="B1889" s="6" t="s">
        <v>1033</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391</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439</v>
      </c>
      <c r="B1898" s="36">
        <v>1</v>
      </c>
      <c r="C1898" t="s">
        <v>1033</v>
      </c>
      <c r="D1898" s="35" t="s">
        <v>8</v>
      </c>
      <c r="E1898" s="35"/>
      <c r="F1898" s="35" t="s">
        <v>17</v>
      </c>
      <c r="G1898" s="35"/>
      <c r="H1898" s="35"/>
      <c r="I1898" s="35" t="s">
        <v>18</v>
      </c>
      <c r="J1898" s="35" t="s">
        <v>337</v>
      </c>
    </row>
    <row r="1899" spans="1:10" ht="16" x14ac:dyDescent="0.2">
      <c r="A1899" s="2" t="s">
        <v>435</v>
      </c>
      <c r="B1899" s="6">
        <v>1.00057</v>
      </c>
      <c r="C1899" t="s">
        <v>1033</v>
      </c>
      <c r="D1899" t="s">
        <v>8</v>
      </c>
      <c r="F1899" s="35" t="s">
        <v>20</v>
      </c>
      <c r="G1899" t="s">
        <v>18</v>
      </c>
      <c r="I1899" s="35"/>
      <c r="J1899" s="2" t="s">
        <v>436</v>
      </c>
    </row>
    <row r="1900" spans="1:10" x14ac:dyDescent="0.2">
      <c r="A1900" s="35" t="s">
        <v>28</v>
      </c>
      <c r="B1900" s="36">
        <v>6.7000000000000002E-3</v>
      </c>
      <c r="C1900" t="s">
        <v>1034</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567</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440</v>
      </c>
    </row>
    <row r="1912" spans="1:10" x14ac:dyDescent="0.2">
      <c r="A1912" t="s">
        <v>2</v>
      </c>
      <c r="B1912" s="6" t="s">
        <v>1033</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391</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440</v>
      </c>
      <c r="B1921" s="36">
        <v>1</v>
      </c>
      <c r="C1921" t="s">
        <v>1033</v>
      </c>
      <c r="D1921" s="35" t="s">
        <v>8</v>
      </c>
      <c r="E1921" s="35"/>
      <c r="F1921" s="35" t="s">
        <v>17</v>
      </c>
      <c r="G1921" s="35"/>
      <c r="H1921" s="35"/>
      <c r="I1921" s="35" t="s">
        <v>18</v>
      </c>
      <c r="J1921" s="35" t="s">
        <v>337</v>
      </c>
    </row>
    <row r="1922" spans="1:10" ht="16" x14ac:dyDescent="0.2">
      <c r="A1922" s="2" t="s">
        <v>438</v>
      </c>
      <c r="B1922" s="6">
        <v>1.00057</v>
      </c>
      <c r="C1922" t="s">
        <v>1033</v>
      </c>
      <c r="D1922" t="s">
        <v>8</v>
      </c>
      <c r="F1922" s="35" t="s">
        <v>20</v>
      </c>
      <c r="G1922" t="s">
        <v>18</v>
      </c>
      <c r="I1922" s="35"/>
      <c r="J1922" s="2" t="s">
        <v>436</v>
      </c>
    </row>
    <row r="1923" spans="1:10" x14ac:dyDescent="0.2">
      <c r="A1923" s="35" t="s">
        <v>28</v>
      </c>
      <c r="B1923" s="36">
        <v>6.7000000000000002E-3</v>
      </c>
      <c r="C1923" t="s">
        <v>1034</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567</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516</v>
      </c>
    </row>
    <row r="1935" spans="1:10" x14ac:dyDescent="0.2">
      <c r="A1935" t="s">
        <v>2</v>
      </c>
      <c r="B1935" s="6" t="s">
        <v>1033</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391</v>
      </c>
    </row>
    <row r="1941" spans="1:10" x14ac:dyDescent="0.2">
      <c r="A1941" t="s">
        <v>11</v>
      </c>
      <c r="B1941" s="6" t="s">
        <v>502</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516</v>
      </c>
      <c r="B1944" s="36">
        <v>1</v>
      </c>
      <c r="C1944" t="s">
        <v>1033</v>
      </c>
      <c r="D1944" s="35" t="s">
        <v>8</v>
      </c>
      <c r="E1944" s="35"/>
      <c r="F1944" s="35" t="s">
        <v>17</v>
      </c>
      <c r="G1944" s="35"/>
      <c r="H1944" s="35"/>
      <c r="I1944" s="35" t="s">
        <v>18</v>
      </c>
      <c r="J1944" s="35" t="s">
        <v>337</v>
      </c>
    </row>
    <row r="1945" spans="1:10" ht="16" x14ac:dyDescent="0.2">
      <c r="A1945" s="2" t="s">
        <v>515</v>
      </c>
      <c r="B1945" s="6">
        <v>1.00057</v>
      </c>
      <c r="C1945" t="s">
        <v>1033</v>
      </c>
      <c r="D1945" t="s">
        <v>8</v>
      </c>
      <c r="F1945" s="35" t="s">
        <v>20</v>
      </c>
      <c r="G1945" t="s">
        <v>18</v>
      </c>
      <c r="I1945" s="35"/>
      <c r="J1945" s="2" t="s">
        <v>436</v>
      </c>
    </row>
    <row r="1946" spans="1:10" x14ac:dyDescent="0.2">
      <c r="A1946" s="35" t="s">
        <v>28</v>
      </c>
      <c r="B1946" s="36">
        <v>6.7000000000000002E-3</v>
      </c>
      <c r="C1946" t="s">
        <v>1034</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567</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1033</v>
      </c>
    </row>
    <row r="1959" spans="1:10" x14ac:dyDescent="0.2">
      <c r="A1959" t="s">
        <v>3</v>
      </c>
      <c r="B1959" s="6">
        <v>1</v>
      </c>
    </row>
    <row r="1960" spans="1:10" ht="16" x14ac:dyDescent="0.2">
      <c r="A1960" t="s">
        <v>4</v>
      </c>
      <c r="B1960" s="2" t="s">
        <v>443</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836</v>
      </c>
      <c r="B1965" s="5">
        <f>Summary!R14</f>
        <v>15.203282981971585</v>
      </c>
    </row>
    <row r="1966" spans="1:10" x14ac:dyDescent="0.2">
      <c r="A1966" t="s">
        <v>842</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1033</v>
      </c>
      <c r="D1969" t="s">
        <v>8</v>
      </c>
      <c r="F1969" t="s">
        <v>17</v>
      </c>
      <c r="G1969" t="s">
        <v>18</v>
      </c>
      <c r="H1969" s="2" t="s">
        <v>443</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1034</v>
      </c>
      <c r="D1973" t="s">
        <v>29</v>
      </c>
      <c r="F1973" t="s">
        <v>20</v>
      </c>
      <c r="H1973" t="s">
        <v>30</v>
      </c>
    </row>
    <row r="1974" spans="1:8" x14ac:dyDescent="0.2">
      <c r="A1974" t="s">
        <v>352</v>
      </c>
      <c r="B1974" s="6">
        <f>20*Parameters!$B$7/1000</f>
        <v>3.2199999999999999E-2</v>
      </c>
      <c r="C1974" t="s">
        <v>567</v>
      </c>
      <c r="D1974" t="s">
        <v>41</v>
      </c>
      <c r="F1974" t="s">
        <v>20</v>
      </c>
      <c r="G1974" t="s">
        <v>86</v>
      </c>
      <c r="H1974" t="s">
        <v>353</v>
      </c>
    </row>
    <row r="1975" spans="1:8" x14ac:dyDescent="0.2">
      <c r="A1975" t="s">
        <v>42</v>
      </c>
      <c r="B1975" s="6">
        <f>1.146/1000</f>
        <v>1.1459999999999999E-3</v>
      </c>
      <c r="C1975" t="s">
        <v>1034</v>
      </c>
      <c r="D1975" t="s">
        <v>8</v>
      </c>
      <c r="F1975" t="s">
        <v>20</v>
      </c>
      <c r="H1975" t="s">
        <v>43</v>
      </c>
    </row>
    <row r="1976" spans="1:8" x14ac:dyDescent="0.2">
      <c r="A1976" t="s">
        <v>44</v>
      </c>
      <c r="B1976" s="6">
        <f>0.513/1000</f>
        <v>5.13E-4</v>
      </c>
      <c r="C1976" t="s">
        <v>1034</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1034</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996</v>
      </c>
    </row>
    <row r="1984" spans="1:8" x14ac:dyDescent="0.2">
      <c r="A1984" t="s">
        <v>979</v>
      </c>
      <c r="B1984" s="6">
        <f>25.65/1000000</f>
        <v>2.565E-5</v>
      </c>
      <c r="D1984" t="s">
        <v>8</v>
      </c>
      <c r="E1984" t="s">
        <v>37</v>
      </c>
      <c r="F1984" t="s">
        <v>36</v>
      </c>
      <c r="G1984" t="s">
        <v>997</v>
      </c>
    </row>
    <row r="1985" spans="1:7" x14ac:dyDescent="0.2">
      <c r="A1985" t="s">
        <v>40</v>
      </c>
      <c r="B1985" s="6">
        <f>30.97/1000000</f>
        <v>3.0969999999999997E-5</v>
      </c>
      <c r="D1985" t="s">
        <v>8</v>
      </c>
      <c r="E1985" t="s">
        <v>37</v>
      </c>
      <c r="F1985" t="s">
        <v>36</v>
      </c>
      <c r="G1985" t="s">
        <v>998</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1029</v>
      </c>
      <c r="B2006" s="6">
        <f>0.42*(1-0.72)*(44/12)</f>
        <v>0.43120000000000003</v>
      </c>
      <c r="D2006" t="s">
        <v>8</v>
      </c>
      <c r="E2006" t="s">
        <v>1030</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441</v>
      </c>
    </row>
    <row r="2016" spans="1:7" x14ac:dyDescent="0.2">
      <c r="A2016" t="s">
        <v>2</v>
      </c>
      <c r="B2016" s="6" t="s">
        <v>1033</v>
      </c>
    </row>
    <row r="2017" spans="1:8" x14ac:dyDescent="0.2">
      <c r="A2017" t="s">
        <v>3</v>
      </c>
      <c r="B2017" s="6">
        <v>1</v>
      </c>
    </row>
    <row r="2018" spans="1:8" ht="16" x14ac:dyDescent="0.2">
      <c r="A2018" t="s">
        <v>4</v>
      </c>
      <c r="B2018" s="72" t="s">
        <v>442</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492</v>
      </c>
      <c r="B2023" s="70">
        <f>Summary!O99</f>
        <v>0.20346503520996859</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441</v>
      </c>
      <c r="B2026" s="6">
        <v>1</v>
      </c>
      <c r="C2026" t="s">
        <v>1033</v>
      </c>
      <c r="D2026" t="s">
        <v>8</v>
      </c>
      <c r="F2026" t="s">
        <v>17</v>
      </c>
      <c r="G2026" t="s">
        <v>18</v>
      </c>
      <c r="H2026" s="2" t="s">
        <v>442</v>
      </c>
    </row>
    <row r="2027" spans="1:8" ht="16" x14ac:dyDescent="0.2">
      <c r="A2027" s="2" t="s">
        <v>87</v>
      </c>
      <c r="B2027" s="6">
        <f>(1/((Parameters!$E$55*Parameters!$B$4*Parameters!$B$10)/1000))*Parameters!E60</f>
        <v>34.290297328911272</v>
      </c>
      <c r="C2027" t="s">
        <v>1033</v>
      </c>
      <c r="D2027" t="s">
        <v>8</v>
      </c>
      <c r="F2027" t="s">
        <v>20</v>
      </c>
      <c r="G2027" t="s">
        <v>18</v>
      </c>
      <c r="H2027" s="2" t="s">
        <v>443</v>
      </c>
    </row>
    <row r="2028" spans="1:8" ht="16" x14ac:dyDescent="0.2">
      <c r="A2028" s="2" t="s">
        <v>382</v>
      </c>
      <c r="B2028" s="6">
        <f>((47.39/1000)/(Parameters!$B$4*Parameters!$B$10))*Parameters!E60</f>
        <v>1.5551414512291698E-2</v>
      </c>
      <c r="C2028" t="s">
        <v>26</v>
      </c>
      <c r="D2028" t="s">
        <v>8</v>
      </c>
      <c r="F2028" t="s">
        <v>20</v>
      </c>
      <c r="G2028" t="s">
        <v>384</v>
      </c>
      <c r="H2028" s="2" t="s">
        <v>383</v>
      </c>
    </row>
    <row r="2029" spans="1:8" x14ac:dyDescent="0.2">
      <c r="A2029" t="s">
        <v>265</v>
      </c>
      <c r="B2029" s="6">
        <f>(B2006*B2027)-Parameters!$B$13</f>
        <v>12.871976208226542</v>
      </c>
      <c r="D2029" t="s">
        <v>8</v>
      </c>
      <c r="E2029" t="s">
        <v>37</v>
      </c>
      <c r="F2029" t="s">
        <v>36</v>
      </c>
      <c r="G2029" t="s">
        <v>423</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444</v>
      </c>
    </row>
    <row r="2033" spans="1:8" x14ac:dyDescent="0.2">
      <c r="A2033" t="s">
        <v>2</v>
      </c>
      <c r="B2033" s="6" t="s">
        <v>1033</v>
      </c>
    </row>
    <row r="2034" spans="1:8" x14ac:dyDescent="0.2">
      <c r="A2034" t="s">
        <v>3</v>
      </c>
      <c r="B2034" s="6">
        <v>1</v>
      </c>
    </row>
    <row r="2035" spans="1:8" ht="16" x14ac:dyDescent="0.2">
      <c r="A2035" t="s">
        <v>4</v>
      </c>
      <c r="B2035" s="72" t="s">
        <v>442</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492</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444</v>
      </c>
      <c r="B2043" s="6">
        <v>1</v>
      </c>
      <c r="C2043" t="s">
        <v>1033</v>
      </c>
      <c r="D2043" t="s">
        <v>8</v>
      </c>
      <c r="F2043" t="s">
        <v>17</v>
      </c>
      <c r="G2043" t="s">
        <v>18</v>
      </c>
      <c r="H2043" s="2" t="s">
        <v>442</v>
      </c>
    </row>
    <row r="2044" spans="1:8" ht="16" x14ac:dyDescent="0.2">
      <c r="A2044" s="2" t="s">
        <v>87</v>
      </c>
      <c r="B2044" s="6">
        <f>(1/((Parameters!$E$55*Parameters!$B$4*Parameters!$B$10)/1000))*Parameters!E61</f>
        <v>33.870416137128686</v>
      </c>
      <c r="C2044" t="s">
        <v>1033</v>
      </c>
      <c r="D2044" t="s">
        <v>8</v>
      </c>
      <c r="F2044" t="s">
        <v>20</v>
      </c>
      <c r="G2044" t="s">
        <v>18</v>
      </c>
      <c r="H2044" s="2" t="s">
        <v>443</v>
      </c>
    </row>
    <row r="2045" spans="1:8" ht="16" x14ac:dyDescent="0.2">
      <c r="A2045" s="2" t="s">
        <v>382</v>
      </c>
      <c r="B2045" s="6">
        <f>((47.39/1000)/(Parameters!$B$4*Parameters!$B$10))*Parameters!E61</f>
        <v>1.5360989028467718E-2</v>
      </c>
      <c r="C2045" t="s">
        <v>26</v>
      </c>
      <c r="D2045" t="s">
        <v>8</v>
      </c>
      <c r="F2045" t="s">
        <v>20</v>
      </c>
      <c r="G2045" t="s">
        <v>384</v>
      </c>
      <c r="H2045" s="2" t="s">
        <v>383</v>
      </c>
    </row>
    <row r="2046" spans="1:8" x14ac:dyDescent="0.2">
      <c r="A2046" t="s">
        <v>265</v>
      </c>
      <c r="B2046" s="6">
        <f>(B2006*B2044)-Parameters!$B$13</f>
        <v>12.690923438329891</v>
      </c>
      <c r="D2046" t="s">
        <v>8</v>
      </c>
      <c r="E2046" t="s">
        <v>37</v>
      </c>
      <c r="F2046" t="s">
        <v>36</v>
      </c>
      <c r="G2046" t="s">
        <v>423</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517</v>
      </c>
    </row>
    <row r="2050" spans="1:8" x14ac:dyDescent="0.2">
      <c r="A2050" t="s">
        <v>2</v>
      </c>
      <c r="B2050" s="6" t="s">
        <v>1033</v>
      </c>
    </row>
    <row r="2051" spans="1:8" x14ac:dyDescent="0.2">
      <c r="A2051" t="s">
        <v>3</v>
      </c>
      <c r="B2051" s="6">
        <v>1</v>
      </c>
    </row>
    <row r="2052" spans="1:8" ht="16" x14ac:dyDescent="0.2">
      <c r="A2052" t="s">
        <v>4</v>
      </c>
      <c r="B2052" s="72" t="s">
        <v>442</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499</v>
      </c>
    </row>
    <row r="2057" spans="1:8" x14ac:dyDescent="0.2">
      <c r="A2057" t="s">
        <v>492</v>
      </c>
      <c r="B2057" s="70">
        <f>Summary!O137</f>
        <v>0.1993957345057692</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517</v>
      </c>
      <c r="B2060" s="6">
        <v>1</v>
      </c>
      <c r="C2060" t="s">
        <v>1033</v>
      </c>
      <c r="D2060" t="s">
        <v>8</v>
      </c>
      <c r="F2060" t="s">
        <v>17</v>
      </c>
      <c r="G2060" t="s">
        <v>18</v>
      </c>
      <c r="H2060" s="2" t="s">
        <v>442</v>
      </c>
    </row>
    <row r="2061" spans="1:8" ht="16" x14ac:dyDescent="0.2">
      <c r="A2061" s="2" t="s">
        <v>87</v>
      </c>
      <c r="B2061" s="6">
        <f>(1/((Parameters!$E$55*Parameters!$B$4*Parameters!$B$10)/1000))</f>
        <v>34.990099315215588</v>
      </c>
      <c r="C2061" t="s">
        <v>1033</v>
      </c>
      <c r="D2061" t="s">
        <v>8</v>
      </c>
      <c r="F2061" t="s">
        <v>20</v>
      </c>
      <c r="G2061" t="s">
        <v>18</v>
      </c>
      <c r="H2061" s="2" t="s">
        <v>443</v>
      </c>
    </row>
    <row r="2062" spans="1:8" ht="16" x14ac:dyDescent="0.2">
      <c r="A2062" s="2" t="s">
        <v>382</v>
      </c>
      <c r="B2062" s="6">
        <f>((47.39/1000)/(Parameters!$B$4*Parameters!$B$10))</f>
        <v>1.5868790318664998E-2</v>
      </c>
      <c r="C2062" t="s">
        <v>26</v>
      </c>
      <c r="D2062" t="s">
        <v>8</v>
      </c>
      <c r="F2062" t="s">
        <v>20</v>
      </c>
      <c r="G2062" t="s">
        <v>384</v>
      </c>
      <c r="H2062" s="2" t="s">
        <v>383</v>
      </c>
    </row>
    <row r="2063" spans="1:8" x14ac:dyDescent="0.2">
      <c r="A2063" t="s">
        <v>265</v>
      </c>
      <c r="B2063" s="6">
        <f>(B2006*B2061)-Parameters!$B$13</f>
        <v>13.173730824720963</v>
      </c>
      <c r="D2063" t="s">
        <v>8</v>
      </c>
      <c r="E2063" t="s">
        <v>37</v>
      </c>
      <c r="F2063" t="s">
        <v>36</v>
      </c>
      <c r="G2063" t="s">
        <v>423</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1034</v>
      </c>
      <c r="D2065" s="35" t="s">
        <v>29</v>
      </c>
      <c r="E2065" s="35"/>
      <c r="F2065" s="35" t="s">
        <v>20</v>
      </c>
      <c r="G2065" s="35" t="s">
        <v>500</v>
      </c>
      <c r="H2065" s="35" t="s">
        <v>30</v>
      </c>
      <c r="I2065" s="35"/>
    </row>
    <row r="2066" spans="1:10" x14ac:dyDescent="0.2">
      <c r="A2066" t="s">
        <v>42</v>
      </c>
      <c r="B2066" s="6">
        <f>Parameters!C64/1000*Parameters!$E$57/Parameters!$B$4*Parameters!$B$10*-1</f>
        <v>-1.0295355614266841E-2</v>
      </c>
      <c r="C2066" t="s">
        <v>1034</v>
      </c>
      <c r="D2066" t="s">
        <v>8</v>
      </c>
      <c r="F2066" t="s">
        <v>20</v>
      </c>
      <c r="G2066" s="35" t="s">
        <v>526</v>
      </c>
      <c r="H2066" t="s">
        <v>43</v>
      </c>
    </row>
    <row r="2067" spans="1:10" x14ac:dyDescent="0.2">
      <c r="A2067" t="s">
        <v>44</v>
      </c>
      <c r="B2067" s="6">
        <f>Parameters!D64/1000*Parameters!$E$57/Parameters!$B$4*Parameters!$B$10*-1</f>
        <v>-2.5585487714663145E-2</v>
      </c>
      <c r="C2067" t="s">
        <v>1034</v>
      </c>
      <c r="D2067" t="s">
        <v>8</v>
      </c>
      <c r="F2067" t="s">
        <v>20</v>
      </c>
      <c r="G2067" s="35" t="s">
        <v>526</v>
      </c>
      <c r="H2067" t="s">
        <v>45</v>
      </c>
    </row>
    <row r="2068" spans="1:10" x14ac:dyDescent="0.2">
      <c r="A2068" t="s">
        <v>46</v>
      </c>
      <c r="B2068" s="6">
        <f>Parameters!E64/1000*Parameters!$E$57/Parameters!$B$4*Parameters!$B$10*-1</f>
        <v>0</v>
      </c>
      <c r="C2068" t="s">
        <v>1034</v>
      </c>
      <c r="D2068" t="s">
        <v>8</v>
      </c>
      <c r="F2068" t="s">
        <v>20</v>
      </c>
      <c r="G2068" s="35" t="s">
        <v>526</v>
      </c>
      <c r="H2068" t="s">
        <v>47</v>
      </c>
    </row>
    <row r="2069" spans="1:10" ht="16" x14ac:dyDescent="0.2">
      <c r="A2069" s="2"/>
      <c r="H2069" s="2"/>
    </row>
    <row r="2070" spans="1:10" ht="16" x14ac:dyDescent="0.2">
      <c r="A2070" s="1" t="s">
        <v>1</v>
      </c>
      <c r="B2070" s="71" t="s">
        <v>445</v>
      </c>
    </row>
    <row r="2071" spans="1:10" x14ac:dyDescent="0.2">
      <c r="A2071" t="s">
        <v>2</v>
      </c>
      <c r="B2071" s="6" t="s">
        <v>1033</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391</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445</v>
      </c>
      <c r="B2080" s="36">
        <v>1</v>
      </c>
      <c r="C2080" t="s">
        <v>1033</v>
      </c>
      <c r="D2080" s="35" t="s">
        <v>8</v>
      </c>
      <c r="E2080" s="35"/>
      <c r="F2080" s="35" t="s">
        <v>17</v>
      </c>
      <c r="G2080" s="35"/>
      <c r="H2080" s="35"/>
      <c r="I2080" s="35" t="s">
        <v>18</v>
      </c>
      <c r="J2080" s="35" t="s">
        <v>337</v>
      </c>
    </row>
    <row r="2081" spans="1:10" ht="16" x14ac:dyDescent="0.2">
      <c r="A2081" s="2" t="s">
        <v>441</v>
      </c>
      <c r="B2081" s="6">
        <v>1.00057</v>
      </c>
      <c r="C2081" t="s">
        <v>1033</v>
      </c>
      <c r="D2081" t="s">
        <v>8</v>
      </c>
      <c r="F2081" s="35" t="s">
        <v>20</v>
      </c>
      <c r="G2081" t="s">
        <v>18</v>
      </c>
      <c r="I2081" s="35"/>
      <c r="J2081" s="2" t="s">
        <v>442</v>
      </c>
    </row>
    <row r="2082" spans="1:10" x14ac:dyDescent="0.2">
      <c r="A2082" s="35" t="s">
        <v>28</v>
      </c>
      <c r="B2082" s="36">
        <v>6.7000000000000002E-3</v>
      </c>
      <c r="C2082" t="s">
        <v>1034</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567</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446</v>
      </c>
    </row>
    <row r="2094" spans="1:10" x14ac:dyDescent="0.2">
      <c r="A2094" t="s">
        <v>2</v>
      </c>
      <c r="B2094" s="6" t="s">
        <v>1033</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391</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446</v>
      </c>
      <c r="B2103" s="36">
        <v>1</v>
      </c>
      <c r="C2103" t="s">
        <v>1033</v>
      </c>
      <c r="D2103" s="35" t="s">
        <v>8</v>
      </c>
      <c r="E2103" s="35"/>
      <c r="F2103" s="35" t="s">
        <v>17</v>
      </c>
      <c r="G2103" s="35"/>
      <c r="H2103" s="35"/>
      <c r="I2103" s="35" t="s">
        <v>18</v>
      </c>
      <c r="J2103" s="35" t="s">
        <v>337</v>
      </c>
    </row>
    <row r="2104" spans="1:10" ht="16" x14ac:dyDescent="0.2">
      <c r="A2104" s="2" t="s">
        <v>444</v>
      </c>
      <c r="B2104" s="6">
        <v>1.00057</v>
      </c>
      <c r="C2104" t="s">
        <v>1033</v>
      </c>
      <c r="D2104" t="s">
        <v>8</v>
      </c>
      <c r="F2104" s="35" t="s">
        <v>20</v>
      </c>
      <c r="G2104" t="s">
        <v>18</v>
      </c>
      <c r="I2104" s="35"/>
      <c r="J2104" s="2" t="s">
        <v>442</v>
      </c>
    </row>
    <row r="2105" spans="1:10" x14ac:dyDescent="0.2">
      <c r="A2105" s="35" t="s">
        <v>28</v>
      </c>
      <c r="B2105" s="36">
        <v>6.7000000000000002E-3</v>
      </c>
      <c r="C2105" t="s">
        <v>1034</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567</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1033</v>
      </c>
    </row>
    <row r="2118" spans="1:10" x14ac:dyDescent="0.2">
      <c r="A2118" t="s">
        <v>3</v>
      </c>
      <c r="B2118" s="6">
        <v>1</v>
      </c>
    </row>
    <row r="2119" spans="1:10" ht="16" x14ac:dyDescent="0.2">
      <c r="A2119" t="s">
        <v>4</v>
      </c>
      <c r="B2119" s="2" t="s">
        <v>449</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836</v>
      </c>
      <c r="B2124" s="5">
        <f>Summary!R15</f>
        <v>15.203282981971585</v>
      </c>
    </row>
    <row r="2125" spans="1:10" x14ac:dyDescent="0.2">
      <c r="A2125" t="s">
        <v>842</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1033</v>
      </c>
      <c r="D2128" t="s">
        <v>8</v>
      </c>
      <c r="F2128" t="s">
        <v>17</v>
      </c>
      <c r="G2128" t="s">
        <v>18</v>
      </c>
      <c r="H2128" s="2" t="s">
        <v>449</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1034</v>
      </c>
      <c r="D2132" t="s">
        <v>29</v>
      </c>
      <c r="F2132" t="s">
        <v>20</v>
      </c>
      <c r="H2132" t="s">
        <v>30</v>
      </c>
    </row>
    <row r="2133" spans="1:8" x14ac:dyDescent="0.2">
      <c r="A2133" t="s">
        <v>352</v>
      </c>
      <c r="B2133" s="6">
        <f>20*Parameters!$B$7/1000</f>
        <v>3.2199999999999999E-2</v>
      </c>
      <c r="C2133" t="s">
        <v>567</v>
      </c>
      <c r="D2133" t="s">
        <v>41</v>
      </c>
      <c r="F2133" t="s">
        <v>20</v>
      </c>
      <c r="G2133" t="s">
        <v>86</v>
      </c>
      <c r="H2133" t="s">
        <v>353</v>
      </c>
    </row>
    <row r="2134" spans="1:8" x14ac:dyDescent="0.2">
      <c r="A2134" t="s">
        <v>42</v>
      </c>
      <c r="B2134" s="6">
        <f>1.521/1000</f>
        <v>1.521E-3</v>
      </c>
      <c r="C2134" t="s">
        <v>1034</v>
      </c>
      <c r="D2134" t="s">
        <v>8</v>
      </c>
      <c r="F2134" t="s">
        <v>20</v>
      </c>
      <c r="H2134" t="s">
        <v>43</v>
      </c>
    </row>
    <row r="2135" spans="1:8" x14ac:dyDescent="0.2">
      <c r="A2135" t="s">
        <v>44</v>
      </c>
      <c r="B2135" s="6">
        <f>0.608/1000</f>
        <v>6.0800000000000003E-4</v>
      </c>
      <c r="C2135" t="s">
        <v>1034</v>
      </c>
      <c r="D2135" t="s">
        <v>8</v>
      </c>
      <c r="F2135" t="s">
        <v>20</v>
      </c>
      <c r="H2135" t="s">
        <v>45</v>
      </c>
    </row>
    <row r="2136" spans="1:8" x14ac:dyDescent="0.2">
      <c r="A2136" t="s">
        <v>46</v>
      </c>
      <c r="B2136" s="6">
        <f>0.8/1000</f>
        <v>8.0000000000000004E-4</v>
      </c>
      <c r="C2136" t="s">
        <v>1034</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1034</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999</v>
      </c>
    </row>
    <row r="2145" spans="1:7" x14ac:dyDescent="0.2">
      <c r="A2145" t="s">
        <v>979</v>
      </c>
      <c r="B2145" s="6">
        <f>25.75/1000000</f>
        <v>2.5749999999999999E-5</v>
      </c>
      <c r="D2145" t="s">
        <v>8</v>
      </c>
      <c r="E2145" t="s">
        <v>37</v>
      </c>
      <c r="F2145" t="s">
        <v>36</v>
      </c>
      <c r="G2145" t="s">
        <v>1000</v>
      </c>
    </row>
    <row r="2146" spans="1:7" x14ac:dyDescent="0.2">
      <c r="A2146" t="s">
        <v>40</v>
      </c>
      <c r="B2146" s="6">
        <f>31.68/1000000</f>
        <v>3.1680000000000002E-5</v>
      </c>
      <c r="D2146" t="s">
        <v>8</v>
      </c>
      <c r="E2146" t="s">
        <v>37</v>
      </c>
      <c r="F2146" t="s">
        <v>36</v>
      </c>
      <c r="G2146" t="s">
        <v>1001</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1029</v>
      </c>
      <c r="B2167" s="6">
        <f>0.42*(1-0.73)*(44/12)</f>
        <v>0.4158</v>
      </c>
      <c r="D2167" t="s">
        <v>8</v>
      </c>
      <c r="E2167" t="s">
        <v>1030</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447</v>
      </c>
    </row>
    <row r="2177" spans="1:8" x14ac:dyDescent="0.2">
      <c r="A2177" t="s">
        <v>2</v>
      </c>
      <c r="B2177" s="6" t="s">
        <v>1033</v>
      </c>
    </row>
    <row r="2178" spans="1:8" x14ac:dyDescent="0.2">
      <c r="A2178" t="s">
        <v>3</v>
      </c>
      <c r="B2178" s="6">
        <v>1</v>
      </c>
    </row>
    <row r="2179" spans="1:8" ht="16" x14ac:dyDescent="0.2">
      <c r="A2179" t="s">
        <v>4</v>
      </c>
      <c r="B2179" s="72" t="s">
        <v>448</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1050</v>
      </c>
    </row>
    <row r="2184" spans="1:8" x14ac:dyDescent="0.2">
      <c r="A2184" t="s">
        <v>492</v>
      </c>
      <c r="B2184" s="70">
        <f>Summary!O100</f>
        <v>0.39771086215543305</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447</v>
      </c>
      <c r="B2187" s="6">
        <v>1</v>
      </c>
      <c r="C2187" t="s">
        <v>1033</v>
      </c>
      <c r="D2187" t="s">
        <v>8</v>
      </c>
      <c r="F2187" t="s">
        <v>17</v>
      </c>
      <c r="G2187" t="s">
        <v>18</v>
      </c>
      <c r="H2187" s="2" t="s">
        <v>448</v>
      </c>
    </row>
    <row r="2188" spans="1:8" ht="16" x14ac:dyDescent="0.2">
      <c r="A2188" s="2" t="s">
        <v>91</v>
      </c>
      <c r="B2188" s="6">
        <f>(1/((Parameters!$F$55*Parameters!$B$4*Parameters!$B$10)/1000))*Parameters!F60</f>
        <v>18.192310236349986</v>
      </c>
      <c r="C2188" t="s">
        <v>1033</v>
      </c>
      <c r="D2188" t="s">
        <v>8</v>
      </c>
      <c r="F2188" t="s">
        <v>20</v>
      </c>
      <c r="G2188" t="s">
        <v>18</v>
      </c>
      <c r="H2188" s="2" t="s">
        <v>449</v>
      </c>
    </row>
    <row r="2189" spans="1:8" ht="16" x14ac:dyDescent="0.2">
      <c r="A2189" s="2" t="s">
        <v>315</v>
      </c>
      <c r="B2189" s="6">
        <f>(106.73*Parameters!$B$3)/(Parameters!$B$4*Parameters!$B$10)*Parameters!F60</f>
        <v>3.5255810543434907E-2</v>
      </c>
      <c r="C2189" t="s">
        <v>31</v>
      </c>
      <c r="D2189" t="s">
        <v>8</v>
      </c>
      <c r="F2189" t="s">
        <v>20</v>
      </c>
      <c r="G2189" t="s">
        <v>453</v>
      </c>
      <c r="H2189" s="2" t="s">
        <v>316</v>
      </c>
    </row>
    <row r="2190" spans="1:8" ht="16" x14ac:dyDescent="0.2">
      <c r="A2190" s="2" t="s">
        <v>382</v>
      </c>
      <c r="B2190" s="6">
        <v>0</v>
      </c>
      <c r="C2190" t="s">
        <v>26</v>
      </c>
      <c r="D2190" t="s">
        <v>8</v>
      </c>
      <c r="F2190" t="s">
        <v>20</v>
      </c>
      <c r="G2190" t="s">
        <v>384</v>
      </c>
      <c r="H2190" s="2" t="s">
        <v>383</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5.6503625962743245</v>
      </c>
      <c r="D2193" t="s">
        <v>8</v>
      </c>
      <c r="E2193" t="s">
        <v>37</v>
      </c>
      <c r="F2193" t="s">
        <v>36</v>
      </c>
      <c r="G2193" t="s">
        <v>423</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450</v>
      </c>
    </row>
    <row r="2197" spans="1:8" x14ac:dyDescent="0.2">
      <c r="A2197" t="s">
        <v>2</v>
      </c>
      <c r="B2197" s="6" t="s">
        <v>1033</v>
      </c>
    </row>
    <row r="2198" spans="1:8" x14ac:dyDescent="0.2">
      <c r="A2198" t="s">
        <v>3</v>
      </c>
      <c r="B2198" s="6">
        <v>1</v>
      </c>
    </row>
    <row r="2199" spans="1:8" ht="16" x14ac:dyDescent="0.2">
      <c r="A2199" t="s">
        <v>4</v>
      </c>
      <c r="B2199" s="72" t="s">
        <v>448</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1049</v>
      </c>
    </row>
    <row r="2204" spans="1:8" x14ac:dyDescent="0.2">
      <c r="A2204" t="s">
        <v>492</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450</v>
      </c>
      <c r="B2207" s="6">
        <v>1</v>
      </c>
      <c r="C2207" t="s">
        <v>1033</v>
      </c>
      <c r="D2207" t="s">
        <v>8</v>
      </c>
      <c r="F2207" t="s">
        <v>17</v>
      </c>
      <c r="G2207" t="s">
        <v>18</v>
      </c>
      <c r="H2207" s="2" t="s">
        <v>448</v>
      </c>
    </row>
    <row r="2208" spans="1:8" ht="16" x14ac:dyDescent="0.2">
      <c r="A2208" s="2" t="s">
        <v>91</v>
      </c>
      <c r="B2208" s="6">
        <f>(1/((Parameters!$F$55*Parameters!$B$4*Parameters!$B$10)/1000))*Parameters!F61</f>
        <v>17.530771682300895</v>
      </c>
      <c r="C2208" t="s">
        <v>1033</v>
      </c>
      <c r="D2208" t="s">
        <v>8</v>
      </c>
      <c r="F2208" t="s">
        <v>20</v>
      </c>
      <c r="G2208" t="s">
        <v>18</v>
      </c>
      <c r="H2208" s="2" t="s">
        <v>449</v>
      </c>
    </row>
    <row r="2209" spans="1:8" ht="16" x14ac:dyDescent="0.2">
      <c r="A2209" s="2" t="s">
        <v>315</v>
      </c>
      <c r="B2209" s="6">
        <f>(106.73*Parameters!$B$3)/(Parameters!$B$4*Parameters!$B$10)*Parameters!F61</f>
        <v>3.3973781069128184E-2</v>
      </c>
      <c r="C2209" t="s">
        <v>31</v>
      </c>
      <c r="D2209" t="s">
        <v>8</v>
      </c>
      <c r="F2209" t="s">
        <v>20</v>
      </c>
      <c r="G2209" t="s">
        <v>453</v>
      </c>
      <c r="H2209" s="2" t="s">
        <v>316</v>
      </c>
    </row>
    <row r="2210" spans="1:8" ht="16" x14ac:dyDescent="0.2">
      <c r="A2210" s="2" t="s">
        <v>382</v>
      </c>
      <c r="B2210" s="6">
        <v>0</v>
      </c>
      <c r="C2210" t="s">
        <v>26</v>
      </c>
      <c r="D2210" t="s">
        <v>8</v>
      </c>
      <c r="F2210" t="s">
        <v>20</v>
      </c>
      <c r="G2210" t="s">
        <v>384</v>
      </c>
      <c r="H2210" s="2" t="s">
        <v>383</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5.3752948655007122</v>
      </c>
      <c r="D2213" t="s">
        <v>8</v>
      </c>
      <c r="E2213" t="s">
        <v>37</v>
      </c>
      <c r="F2213" t="s">
        <v>36</v>
      </c>
      <c r="G2213" t="s">
        <v>423</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527</v>
      </c>
    </row>
    <row r="2217" spans="1:8" x14ac:dyDescent="0.2">
      <c r="A2217" t="s">
        <v>2</v>
      </c>
      <c r="B2217" s="6" t="s">
        <v>1033</v>
      </c>
    </row>
    <row r="2218" spans="1:8" x14ac:dyDescent="0.2">
      <c r="A2218" t="s">
        <v>3</v>
      </c>
      <c r="B2218" s="6">
        <v>1</v>
      </c>
    </row>
    <row r="2219" spans="1:8" ht="16" x14ac:dyDescent="0.2">
      <c r="A2219" t="s">
        <v>4</v>
      </c>
      <c r="B2219" s="72" t="s">
        <v>448</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1048</v>
      </c>
    </row>
    <row r="2224" spans="1:8" x14ac:dyDescent="0.2">
      <c r="A2224" t="s">
        <v>492</v>
      </c>
      <c r="B2224" s="70">
        <f>Summary!O138</f>
        <v>0.37185965611532995</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527</v>
      </c>
      <c r="B2227" s="6">
        <v>1</v>
      </c>
      <c r="C2227" t="s">
        <v>1033</v>
      </c>
      <c r="D2227" t="s">
        <v>8</v>
      </c>
      <c r="F2227" t="s">
        <v>17</v>
      </c>
      <c r="G2227" t="s">
        <v>18</v>
      </c>
      <c r="H2227" s="2" t="s">
        <v>448</v>
      </c>
    </row>
    <row r="2228" spans="1:9" ht="16" x14ac:dyDescent="0.2">
      <c r="A2228" s="2" t="s">
        <v>91</v>
      </c>
      <c r="B2228" s="6">
        <f>(1/((Parameters!$F$55*Parameters!$B$4*Parameters!$B$10)/1000))</f>
        <v>19.45701629556148</v>
      </c>
      <c r="C2228" t="s">
        <v>1033</v>
      </c>
      <c r="D2228" t="s">
        <v>8</v>
      </c>
      <c r="F2228" t="s">
        <v>20</v>
      </c>
      <c r="G2228" t="s">
        <v>18</v>
      </c>
      <c r="H2228" s="2" t="s">
        <v>449</v>
      </c>
    </row>
    <row r="2229" spans="1:9" ht="16" x14ac:dyDescent="0.2">
      <c r="A2229" s="2" t="s">
        <v>315</v>
      </c>
      <c r="B2229" s="6">
        <f>(106.73*Parameters!$B$3)/(Parameters!$B$4*Parameters!$B$10)</f>
        <v>3.7706749244315406E-2</v>
      </c>
      <c r="C2229" t="s">
        <v>31</v>
      </c>
      <c r="D2229" t="s">
        <v>8</v>
      </c>
      <c r="F2229" t="s">
        <v>20</v>
      </c>
      <c r="G2229" t="s">
        <v>453</v>
      </c>
      <c r="H2229" s="2" t="s">
        <v>316</v>
      </c>
    </row>
    <row r="2230" spans="1:9" ht="16" x14ac:dyDescent="0.2">
      <c r="A2230" s="2" t="s">
        <v>382</v>
      </c>
      <c r="B2230" s="6">
        <v>0</v>
      </c>
      <c r="C2230" t="s">
        <v>26</v>
      </c>
      <c r="D2230" t="s">
        <v>8</v>
      </c>
      <c r="F2230" t="s">
        <v>20</v>
      </c>
      <c r="G2230" t="s">
        <v>384</v>
      </c>
      <c r="H2230" s="2" t="s">
        <v>383</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6.1762273756944648</v>
      </c>
      <c r="D2233" t="s">
        <v>8</v>
      </c>
      <c r="E2233" t="s">
        <v>37</v>
      </c>
      <c r="F2233" t="s">
        <v>36</v>
      </c>
      <c r="G2233" t="s">
        <v>423</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1034</v>
      </c>
      <c r="D2235" s="35" t="s">
        <v>29</v>
      </c>
      <c r="E2235" s="35"/>
      <c r="F2235" s="35" t="s">
        <v>20</v>
      </c>
      <c r="G2235" s="35" t="s">
        <v>500</v>
      </c>
      <c r="H2235" s="35" t="s">
        <v>30</v>
      </c>
      <c r="I2235" s="35"/>
    </row>
    <row r="2236" spans="1:9" ht="16" x14ac:dyDescent="0.2">
      <c r="A2236" s="2"/>
      <c r="H2236" s="2"/>
    </row>
    <row r="2237" spans="1:9" ht="16" x14ac:dyDescent="0.2">
      <c r="A2237" s="1" t="s">
        <v>1</v>
      </c>
      <c r="B2237" s="71" t="s">
        <v>451</v>
      </c>
    </row>
    <row r="2238" spans="1:9" x14ac:dyDescent="0.2">
      <c r="A2238" t="s">
        <v>2</v>
      </c>
      <c r="B2238" s="6" t="s">
        <v>1033</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391</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451</v>
      </c>
      <c r="B2247" s="36">
        <v>1</v>
      </c>
      <c r="C2247" t="s">
        <v>1033</v>
      </c>
      <c r="D2247" s="35" t="s">
        <v>8</v>
      </c>
      <c r="E2247" s="35"/>
      <c r="F2247" s="35" t="s">
        <v>17</v>
      </c>
      <c r="G2247" s="35"/>
      <c r="H2247" s="35"/>
      <c r="I2247" s="35" t="s">
        <v>18</v>
      </c>
      <c r="J2247" s="35" t="s">
        <v>337</v>
      </c>
    </row>
    <row r="2248" spans="1:10" ht="16" x14ac:dyDescent="0.2">
      <c r="A2248" s="2" t="s">
        <v>447</v>
      </c>
      <c r="B2248" s="6">
        <v>1.00057</v>
      </c>
      <c r="C2248" t="s">
        <v>1033</v>
      </c>
      <c r="D2248" t="s">
        <v>8</v>
      </c>
      <c r="F2248" s="35" t="s">
        <v>20</v>
      </c>
      <c r="G2248" t="s">
        <v>18</v>
      </c>
      <c r="I2248" s="35"/>
      <c r="J2248" s="2" t="s">
        <v>448</v>
      </c>
    </row>
    <row r="2249" spans="1:10" x14ac:dyDescent="0.2">
      <c r="A2249" s="35" t="s">
        <v>28</v>
      </c>
      <c r="B2249" s="36">
        <v>6.7000000000000002E-3</v>
      </c>
      <c r="C2249" t="s">
        <v>1034</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567</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452</v>
      </c>
    </row>
    <row r="2261" spans="1:10" x14ac:dyDescent="0.2">
      <c r="A2261" t="s">
        <v>2</v>
      </c>
      <c r="B2261" s="6" t="s">
        <v>1033</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391</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452</v>
      </c>
      <c r="B2270" s="36">
        <v>1</v>
      </c>
      <c r="C2270" t="s">
        <v>1033</v>
      </c>
      <c r="D2270" s="35" t="s">
        <v>8</v>
      </c>
      <c r="E2270" s="35"/>
      <c r="F2270" s="35" t="s">
        <v>17</v>
      </c>
      <c r="G2270" s="35"/>
      <c r="H2270" s="35"/>
      <c r="I2270" s="35" t="s">
        <v>18</v>
      </c>
      <c r="J2270" s="35" t="s">
        <v>337</v>
      </c>
    </row>
    <row r="2271" spans="1:10" ht="16" x14ac:dyDescent="0.2">
      <c r="A2271" s="2" t="s">
        <v>450</v>
      </c>
      <c r="B2271" s="6">
        <v>1.00057</v>
      </c>
      <c r="C2271" t="s">
        <v>1033</v>
      </c>
      <c r="D2271" t="s">
        <v>8</v>
      </c>
      <c r="F2271" s="35" t="s">
        <v>20</v>
      </c>
      <c r="G2271" t="s">
        <v>18</v>
      </c>
      <c r="I2271" s="35"/>
      <c r="J2271" s="2" t="s">
        <v>448</v>
      </c>
    </row>
    <row r="2272" spans="1:10" x14ac:dyDescent="0.2">
      <c r="A2272" s="35" t="s">
        <v>28</v>
      </c>
      <c r="B2272" s="36">
        <v>6.7000000000000002E-3</v>
      </c>
      <c r="C2272" t="s">
        <v>1034</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567</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528</v>
      </c>
    </row>
    <row r="2284" spans="1:10" x14ac:dyDescent="0.2">
      <c r="A2284" t="s">
        <v>2</v>
      </c>
      <c r="B2284" s="6" t="s">
        <v>1033</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391</v>
      </c>
    </row>
    <row r="2290" spans="1:10" x14ac:dyDescent="0.2">
      <c r="A2290" t="s">
        <v>11</v>
      </c>
      <c r="B2290" s="6" t="s">
        <v>502</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528</v>
      </c>
      <c r="B2293" s="36">
        <v>1</v>
      </c>
      <c r="C2293" t="s">
        <v>1033</v>
      </c>
      <c r="D2293" s="35" t="s">
        <v>8</v>
      </c>
      <c r="E2293" s="35"/>
      <c r="F2293" s="35" t="s">
        <v>17</v>
      </c>
      <c r="G2293" s="35"/>
      <c r="H2293" s="35"/>
      <c r="I2293" s="35" t="s">
        <v>18</v>
      </c>
      <c r="J2293" s="35" t="s">
        <v>337</v>
      </c>
    </row>
    <row r="2294" spans="1:10" ht="16" x14ac:dyDescent="0.2">
      <c r="A2294" s="2" t="s">
        <v>527</v>
      </c>
      <c r="B2294" s="6">
        <v>1.00057</v>
      </c>
      <c r="C2294" t="s">
        <v>1033</v>
      </c>
      <c r="D2294" t="s">
        <v>8</v>
      </c>
      <c r="F2294" s="35" t="s">
        <v>20</v>
      </c>
      <c r="G2294" t="s">
        <v>18</v>
      </c>
      <c r="I2294" s="35"/>
      <c r="J2294" s="2" t="s">
        <v>448</v>
      </c>
    </row>
    <row r="2295" spans="1:10" x14ac:dyDescent="0.2">
      <c r="A2295" s="35" t="s">
        <v>28</v>
      </c>
      <c r="B2295" s="36">
        <v>6.7000000000000002E-3</v>
      </c>
      <c r="C2295" t="s">
        <v>1034</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567</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1033</v>
      </c>
    </row>
    <row r="2308" spans="1:10" x14ac:dyDescent="0.2">
      <c r="A2308" t="s">
        <v>3</v>
      </c>
      <c r="B2308" s="6">
        <v>1</v>
      </c>
    </row>
    <row r="2309" spans="1:10" ht="16" x14ac:dyDescent="0.2">
      <c r="A2309" t="s">
        <v>4</v>
      </c>
      <c r="B2309" s="2" t="s">
        <v>426</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836</v>
      </c>
      <c r="B2314" s="5">
        <f>Summary!R16</f>
        <v>15.839794265873016</v>
      </c>
    </row>
    <row r="2315" spans="1:10" x14ac:dyDescent="0.2">
      <c r="A2315" t="s">
        <v>842</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1033</v>
      </c>
      <c r="D2318" t="s">
        <v>8</v>
      </c>
      <c r="F2318" t="s">
        <v>17</v>
      </c>
      <c r="G2318" t="s">
        <v>18</v>
      </c>
      <c r="H2318" s="2" t="s">
        <v>426</v>
      </c>
    </row>
    <row r="2319" spans="1:10" x14ac:dyDescent="0.2">
      <c r="A2319" t="s">
        <v>22</v>
      </c>
      <c r="B2319" s="6">
        <f>5200*Parameters!$B$3/Parameters!$B$8/1000</f>
        <v>0.21599526407159997</v>
      </c>
      <c r="C2319" t="s">
        <v>26</v>
      </c>
      <c r="D2319" t="s">
        <v>19</v>
      </c>
      <c r="F2319" t="s">
        <v>20</v>
      </c>
      <c r="G2319" t="s">
        <v>1042</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1044</v>
      </c>
      <c r="H2321" t="s">
        <v>82</v>
      </c>
    </row>
    <row r="2322" spans="1:8" x14ac:dyDescent="0.2">
      <c r="A2322" t="s">
        <v>28</v>
      </c>
      <c r="B2322" s="6">
        <f>1326*Parameters!$B$3/Parameters!$B$8/1000/3.6</f>
        <v>1.5299664538404997E-2</v>
      </c>
      <c r="C2322" t="s">
        <v>1034</v>
      </c>
      <c r="D2322" t="s">
        <v>29</v>
      </c>
      <c r="F2322" t="s">
        <v>20</v>
      </c>
      <c r="G2322" t="s">
        <v>1043</v>
      </c>
      <c r="H2322" t="s">
        <v>30</v>
      </c>
    </row>
    <row r="2323" spans="1:8" x14ac:dyDescent="0.2">
      <c r="A2323" t="s">
        <v>352</v>
      </c>
      <c r="B2323" s="6">
        <f>50*Parameters!$B$7/1000</f>
        <v>8.0500000000000002E-2</v>
      </c>
      <c r="C2323" t="s">
        <v>567</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1034</v>
      </c>
      <c r="D2326" t="s">
        <v>8</v>
      </c>
      <c r="F2326" t="s">
        <v>20</v>
      </c>
      <c r="H2326" t="s">
        <v>43</v>
      </c>
    </row>
    <row r="2327" spans="1:8" x14ac:dyDescent="0.2">
      <c r="A2327" t="s">
        <v>44</v>
      </c>
      <c r="B2327" s="6">
        <f>0.1506/Parameters!B8/1000</f>
        <v>5.9291219999999993E-3</v>
      </c>
      <c r="C2327" t="s">
        <v>1034</v>
      </c>
      <c r="D2327" t="s">
        <v>8</v>
      </c>
      <c r="F2327" t="s">
        <v>20</v>
      </c>
      <c r="H2327" t="s">
        <v>45</v>
      </c>
    </row>
    <row r="2328" spans="1:8" x14ac:dyDescent="0.2">
      <c r="A2328" t="s">
        <v>46</v>
      </c>
      <c r="B2328" s="6">
        <f>0.1523/Parameters!B8/1000</f>
        <v>5.9960509999999988E-3</v>
      </c>
      <c r="C2328" t="s">
        <v>1034</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1034</v>
      </c>
      <c r="D2334" t="s">
        <v>121</v>
      </c>
      <c r="F2334" t="s">
        <v>20</v>
      </c>
      <c r="G2334" t="s">
        <v>125</v>
      </c>
      <c r="H2334" t="s">
        <v>122</v>
      </c>
    </row>
    <row r="2335" spans="1:8" x14ac:dyDescent="0.2">
      <c r="A2335" t="s">
        <v>1029</v>
      </c>
      <c r="B2335" s="6">
        <v>1.4762999999999999</v>
      </c>
      <c r="D2335" t="s">
        <v>8</v>
      </c>
      <c r="E2335" t="s">
        <v>1030</v>
      </c>
      <c r="F2335" t="s">
        <v>36</v>
      </c>
      <c r="G2335" t="s">
        <v>473</v>
      </c>
    </row>
    <row r="2336" spans="1:8" x14ac:dyDescent="0.2">
      <c r="A2336" t="s">
        <v>108</v>
      </c>
      <c r="B2336" s="6">
        <v>15.91</v>
      </c>
      <c r="D2336" t="s">
        <v>19</v>
      </c>
      <c r="E2336" t="s">
        <v>112</v>
      </c>
      <c r="F2336" t="s">
        <v>36</v>
      </c>
      <c r="G2336" t="s">
        <v>473</v>
      </c>
    </row>
    <row r="2337" spans="1:7" x14ac:dyDescent="0.2">
      <c r="A2337" t="s">
        <v>325</v>
      </c>
      <c r="B2337" s="6">
        <f>(0.248+0.315)/Parameters!B8/1000</f>
        <v>2.2165309999999994E-2</v>
      </c>
      <c r="D2337" t="s">
        <v>8</v>
      </c>
      <c r="E2337" t="s">
        <v>37</v>
      </c>
      <c r="F2337" t="s">
        <v>36</v>
      </c>
      <c r="G2337" t="s">
        <v>1041</v>
      </c>
    </row>
    <row r="2338" spans="1:7" x14ac:dyDescent="0.2">
      <c r="A2338" t="s">
        <v>979</v>
      </c>
      <c r="B2338" s="6">
        <f>0.009194/Parameters!B8/1000</f>
        <v>3.6196777999999996E-4</v>
      </c>
      <c r="D2338" t="s">
        <v>8</v>
      </c>
      <c r="E2338" t="s">
        <v>37</v>
      </c>
      <c r="F2338" t="s">
        <v>36</v>
      </c>
      <c r="G2338" t="s">
        <v>1002</v>
      </c>
    </row>
    <row r="2339" spans="1:7" x14ac:dyDescent="0.2">
      <c r="A2339" t="s">
        <v>40</v>
      </c>
      <c r="B2339" s="6">
        <f>11.481/1000/Parameters!B8/1000</f>
        <v>4.5200696999999994E-4</v>
      </c>
      <c r="D2339" t="s">
        <v>8</v>
      </c>
      <c r="E2339" t="s">
        <v>37</v>
      </c>
      <c r="F2339" t="s">
        <v>36</v>
      </c>
      <c r="G2339" t="s">
        <v>1003</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574</v>
      </c>
    </row>
    <row r="2344" spans="1:7" x14ac:dyDescent="0.2">
      <c r="A2344" t="s">
        <v>111</v>
      </c>
      <c r="B2344" s="6">
        <f>B2345/2</f>
        <v>0.47991081325301199</v>
      </c>
      <c r="D2344" t="s">
        <v>115</v>
      </c>
      <c r="E2344" t="s">
        <v>114</v>
      </c>
      <c r="F2344" t="s">
        <v>36</v>
      </c>
      <c r="G2344" t="s">
        <v>574</v>
      </c>
    </row>
    <row r="2345" spans="1:7" x14ac:dyDescent="0.2">
      <c r="A2345" t="s">
        <v>109</v>
      </c>
      <c r="B2345" s="6">
        <v>0.95982162650602398</v>
      </c>
      <c r="D2345" t="s">
        <v>113</v>
      </c>
      <c r="E2345" t="s">
        <v>114</v>
      </c>
      <c r="F2345" t="s">
        <v>36</v>
      </c>
      <c r="G2345" t="s">
        <v>575</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424</v>
      </c>
    </row>
    <row r="2394" spans="1:7" x14ac:dyDescent="0.2">
      <c r="A2394" t="s">
        <v>2</v>
      </c>
      <c r="B2394" s="6" t="s">
        <v>1033</v>
      </c>
    </row>
    <row r="2395" spans="1:7" x14ac:dyDescent="0.2">
      <c r="A2395" t="s">
        <v>3</v>
      </c>
      <c r="B2395" s="6">
        <v>1</v>
      </c>
    </row>
    <row r="2396" spans="1:7" ht="16" x14ac:dyDescent="0.2">
      <c r="A2396" t="s">
        <v>4</v>
      </c>
      <c r="B2396" s="72" t="s">
        <v>425</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551</v>
      </c>
    </row>
    <row r="2401" spans="1:8" x14ac:dyDescent="0.2">
      <c r="A2401" t="s">
        <v>492</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424</v>
      </c>
      <c r="B2404" s="6">
        <v>1</v>
      </c>
      <c r="C2404" t="s">
        <v>1033</v>
      </c>
      <c r="D2404" t="s">
        <v>8</v>
      </c>
      <c r="F2404" t="s">
        <v>17</v>
      </c>
      <c r="G2404" t="s">
        <v>18</v>
      </c>
      <c r="H2404" s="2" t="s">
        <v>425</v>
      </c>
    </row>
    <row r="2405" spans="1:8" ht="16" x14ac:dyDescent="0.2">
      <c r="A2405" s="2" t="s">
        <v>96</v>
      </c>
      <c r="B2405" s="6">
        <f>(1/((Parameters!$C$55*Parameters!$B$4*Parameters!$B$10)/1000))*Parameters!C60</f>
        <v>2.5366279208115974</v>
      </c>
      <c r="C2405" t="s">
        <v>1033</v>
      </c>
      <c r="D2405" t="s">
        <v>8</v>
      </c>
      <c r="F2405" t="s">
        <v>20</v>
      </c>
      <c r="G2405" t="s">
        <v>18</v>
      </c>
      <c r="H2405" s="2" t="s">
        <v>426</v>
      </c>
    </row>
    <row r="2406" spans="1:8" ht="16" x14ac:dyDescent="0.2">
      <c r="A2406" s="2" t="s">
        <v>433</v>
      </c>
      <c r="B2406" s="6">
        <f>(22812*Parameters!$B$3)/(Parameters!$B$4*Parameters!$B$10)*Parameters!C60</f>
        <v>6.8262054727428154</v>
      </c>
      <c r="C2406" t="s">
        <v>31</v>
      </c>
      <c r="D2406" t="s">
        <v>19</v>
      </c>
      <c r="F2406" t="s">
        <v>20</v>
      </c>
      <c r="G2406" t="s">
        <v>1045</v>
      </c>
      <c r="H2406" s="2" t="s">
        <v>434</v>
      </c>
    </row>
    <row r="2407" spans="1:8" ht="16" x14ac:dyDescent="0.2">
      <c r="A2407" s="2" t="s">
        <v>28</v>
      </c>
      <c r="B2407" s="6">
        <f>((2126*Parameters!$B$3/3.6)/(Parameters!$B$4*Parameters!$B$10))*Parameters!C60</f>
        <v>0.17671635828914636</v>
      </c>
      <c r="C2407" t="s">
        <v>1034</v>
      </c>
      <c r="D2407" t="s">
        <v>29</v>
      </c>
      <c r="F2407" t="s">
        <v>20</v>
      </c>
      <c r="H2407" s="2" t="s">
        <v>30</v>
      </c>
    </row>
    <row r="2408" spans="1:8" ht="16" x14ac:dyDescent="0.2">
      <c r="A2408" s="2" t="s">
        <v>382</v>
      </c>
      <c r="B2408" s="6">
        <f>((2.76/1000)/(Parameters!$B$4*Parameters!$B$10))*Parameters!$C$60</f>
        <v>7.8279781607405654E-4</v>
      </c>
      <c r="C2408" t="s">
        <v>26</v>
      </c>
      <c r="D2408" t="s">
        <v>8</v>
      </c>
      <c r="F2408" t="s">
        <v>20</v>
      </c>
      <c r="G2408" t="s">
        <v>384</v>
      </c>
      <c r="H2408" s="2" t="s">
        <v>383</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385</v>
      </c>
      <c r="H2411" s="2" t="s">
        <v>371</v>
      </c>
    </row>
    <row r="2412" spans="1:8" ht="16" x14ac:dyDescent="0.2">
      <c r="A2412" s="2" t="s">
        <v>386</v>
      </c>
      <c r="B2412" s="6">
        <f>((22.49/1000)/(Parameters!$B$4*Parameters!$B$10))*Parameters!$C$60</f>
        <v>6.3786677114150477E-3</v>
      </c>
      <c r="C2412" t="s">
        <v>26</v>
      </c>
      <c r="D2412" t="s">
        <v>8</v>
      </c>
      <c r="F2412" t="s">
        <v>20</v>
      </c>
      <c r="G2412" t="s">
        <v>388</v>
      </c>
      <c r="H2412" s="2" t="s">
        <v>387</v>
      </c>
    </row>
    <row r="2413" spans="1:8" x14ac:dyDescent="0.2">
      <c r="A2413" t="s">
        <v>265</v>
      </c>
      <c r="B2413" s="6">
        <f>(B2335*B2405)-Parameters!$B$13</f>
        <v>1.830823799494161</v>
      </c>
      <c r="D2413" t="s">
        <v>8</v>
      </c>
      <c r="E2413" t="s">
        <v>37</v>
      </c>
      <c r="F2413" t="s">
        <v>36</v>
      </c>
      <c r="G2413" t="s">
        <v>423</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427</v>
      </c>
    </row>
    <row r="2417" spans="1:8" x14ac:dyDescent="0.2">
      <c r="A2417" t="s">
        <v>2</v>
      </c>
      <c r="B2417" s="6" t="s">
        <v>1033</v>
      </c>
    </row>
    <row r="2418" spans="1:8" x14ac:dyDescent="0.2">
      <c r="A2418" t="s">
        <v>3</v>
      </c>
      <c r="B2418" s="6">
        <v>1</v>
      </c>
    </row>
    <row r="2419" spans="1:8" ht="16" x14ac:dyDescent="0.2">
      <c r="A2419" t="s">
        <v>4</v>
      </c>
      <c r="B2419" s="72" t="s">
        <v>425</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552</v>
      </c>
    </row>
    <row r="2424" spans="1:8" x14ac:dyDescent="0.2">
      <c r="A2424" t="s">
        <v>492</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427</v>
      </c>
      <c r="B2427" s="6">
        <v>1</v>
      </c>
      <c r="C2427" t="s">
        <v>1033</v>
      </c>
      <c r="D2427" t="s">
        <v>8</v>
      </c>
      <c r="F2427" t="s">
        <v>17</v>
      </c>
      <c r="G2427" t="s">
        <v>18</v>
      </c>
      <c r="H2427" s="2" t="s">
        <v>425</v>
      </c>
    </row>
    <row r="2428" spans="1:8" ht="16" x14ac:dyDescent="0.2">
      <c r="A2428" s="2" t="s">
        <v>96</v>
      </c>
      <c r="B2428" s="6">
        <f>(1/((Parameters!$C$55*Parameters!$B$4*Parameters!$B$10)/1000))*Parameters!C61</f>
        <v>1.9286757745013801</v>
      </c>
      <c r="C2428" t="s">
        <v>1033</v>
      </c>
      <c r="D2428" t="s">
        <v>8</v>
      </c>
      <c r="F2428" t="s">
        <v>20</v>
      </c>
      <c r="G2428" t="s">
        <v>18</v>
      </c>
      <c r="H2428" s="2" t="s">
        <v>426</v>
      </c>
    </row>
    <row r="2429" spans="1:8" ht="16" x14ac:dyDescent="0.2">
      <c r="A2429" s="2" t="s">
        <v>433</v>
      </c>
      <c r="B2429" s="6">
        <f>(22812*Parameters!$B$3)/(Parameters!$B$4*Parameters!$B$10)*Parameters!C61</f>
        <v>5.1901727561350333</v>
      </c>
      <c r="C2429" t="s">
        <v>31</v>
      </c>
      <c r="D2429" t="s">
        <v>19</v>
      </c>
      <c r="F2429" t="s">
        <v>20</v>
      </c>
      <c r="G2429" t="s">
        <v>1025</v>
      </c>
      <c r="H2429" s="2" t="s">
        <v>434</v>
      </c>
    </row>
    <row r="2430" spans="1:8" ht="16" x14ac:dyDescent="0.2">
      <c r="A2430" s="2" t="s">
        <v>28</v>
      </c>
      <c r="B2430" s="6">
        <f>(2126*Parameters!$B$3/3.6)/(Parameters!$B$4*Parameters!$B$10)*Parameters!C61</f>
        <v>0.13436285093059064</v>
      </c>
      <c r="C2430" t="s">
        <v>1034</v>
      </c>
      <c r="D2430" t="s">
        <v>29</v>
      </c>
      <c r="F2430" t="s">
        <v>20</v>
      </c>
      <c r="H2430" s="2" t="s">
        <v>30</v>
      </c>
    </row>
    <row r="2431" spans="1:8" ht="16" x14ac:dyDescent="0.2">
      <c r="A2431" s="2" t="s">
        <v>382</v>
      </c>
      <c r="B2431" s="6">
        <f>((2.76/1000)/(Parameters!$B$4*Parameters!$B$10))*Parameters!$C$61</f>
        <v>5.9518511635382808E-4</v>
      </c>
      <c r="C2431" t="s">
        <v>26</v>
      </c>
      <c r="D2431" t="s">
        <v>8</v>
      </c>
      <c r="F2431" t="s">
        <v>20</v>
      </c>
      <c r="G2431" t="s">
        <v>384</v>
      </c>
      <c r="H2431" s="2" t="s">
        <v>383</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385</v>
      </c>
      <c r="H2434" s="2" t="s">
        <v>371</v>
      </c>
    </row>
    <row r="2435" spans="1:8" ht="16" x14ac:dyDescent="0.2">
      <c r="A2435" s="2" t="s">
        <v>386</v>
      </c>
      <c r="B2435" s="6">
        <f>((22.49/1000)/(Parameters!$B$4*Parameters!$B$10))*Parameters!$C$61</f>
        <v>4.8498961111585488E-3</v>
      </c>
      <c r="C2435" t="s">
        <v>26</v>
      </c>
      <c r="D2435" t="s">
        <v>8</v>
      </c>
      <c r="F2435" t="s">
        <v>20</v>
      </c>
      <c r="G2435" t="s">
        <v>388</v>
      </c>
      <c r="H2435" s="2" t="s">
        <v>387</v>
      </c>
    </row>
    <row r="2436" spans="1:8" x14ac:dyDescent="0.2">
      <c r="A2436" t="s">
        <v>265</v>
      </c>
      <c r="B2436" s="6">
        <f>(B2335*B2428)-Parameters!$B$13</f>
        <v>0.93330404589638749</v>
      </c>
      <c r="D2436" t="s">
        <v>8</v>
      </c>
      <c r="E2436" t="s">
        <v>37</v>
      </c>
      <c r="F2436" t="s">
        <v>36</v>
      </c>
      <c r="G2436" t="s">
        <v>423</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529</v>
      </c>
    </row>
    <row r="2440" spans="1:8" x14ac:dyDescent="0.2">
      <c r="A2440" t="s">
        <v>2</v>
      </c>
      <c r="B2440" s="6" t="s">
        <v>1033</v>
      </c>
    </row>
    <row r="2441" spans="1:8" x14ac:dyDescent="0.2">
      <c r="A2441" t="s">
        <v>3</v>
      </c>
      <c r="B2441" s="6">
        <v>1</v>
      </c>
    </row>
    <row r="2442" spans="1:8" ht="16" x14ac:dyDescent="0.2">
      <c r="A2442" t="s">
        <v>4</v>
      </c>
      <c r="B2442" s="72" t="s">
        <v>425</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553</v>
      </c>
    </row>
    <row r="2447" spans="1:8" x14ac:dyDescent="0.2">
      <c r="A2447" t="s">
        <v>492</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529</v>
      </c>
      <c r="B2450" s="6">
        <v>1</v>
      </c>
      <c r="C2450" t="s">
        <v>1033</v>
      </c>
      <c r="D2450" t="s">
        <v>8</v>
      </c>
      <c r="F2450" t="s">
        <v>17</v>
      </c>
      <c r="G2450" t="s">
        <v>18</v>
      </c>
      <c r="H2450" s="2" t="s">
        <v>425</v>
      </c>
    </row>
    <row r="2451" spans="1:9" ht="16" x14ac:dyDescent="0.2">
      <c r="A2451" s="2" t="s">
        <v>96</v>
      </c>
      <c r="B2451" s="6">
        <f>(1/((Parameters!$C$55*Parameters!$B$4*Parameters!$B$10)/1000))</f>
        <v>2.9948381591636335</v>
      </c>
      <c r="C2451" t="s">
        <v>1033</v>
      </c>
      <c r="D2451" t="s">
        <v>8</v>
      </c>
      <c r="F2451" t="s">
        <v>20</v>
      </c>
      <c r="G2451" t="s">
        <v>18</v>
      </c>
      <c r="H2451" s="2" t="s">
        <v>426</v>
      </c>
    </row>
    <row r="2452" spans="1:9" ht="16" x14ac:dyDescent="0.2">
      <c r="A2452" s="2" t="s">
        <v>433</v>
      </c>
      <c r="B2452" s="6">
        <f>(22812*Parameters!$B$3)/(Parameters!$B$4*Parameters!$B$10)</f>
        <v>8.0592744660481888</v>
      </c>
      <c r="C2452" t="s">
        <v>31</v>
      </c>
      <c r="D2452" t="s">
        <v>19</v>
      </c>
      <c r="F2452" t="s">
        <v>20</v>
      </c>
      <c r="G2452" t="s">
        <v>1025</v>
      </c>
      <c r="H2452" s="2" t="s">
        <v>434</v>
      </c>
    </row>
    <row r="2453" spans="1:9" ht="16" x14ac:dyDescent="0.2">
      <c r="A2453" s="2" t="s">
        <v>28</v>
      </c>
      <c r="B2453" s="6">
        <f>(2126*Parameters!$B$3/3.6)/(Parameters!$B$4*Parameters!$B$10)</f>
        <v>0.20863796728352582</v>
      </c>
      <c r="C2453" t="s">
        <v>1034</v>
      </c>
      <c r="D2453" t="s">
        <v>29</v>
      </c>
      <c r="F2453" t="s">
        <v>20</v>
      </c>
      <c r="H2453" s="2" t="s">
        <v>30</v>
      </c>
    </row>
    <row r="2454" spans="1:9" ht="16" x14ac:dyDescent="0.2">
      <c r="A2454" s="2" t="s">
        <v>382</v>
      </c>
      <c r="B2454" s="6">
        <f>((2.76/1000)/(Parameters!$B$4*Parameters!$B$10))</f>
        <v>9.2420049123265234E-4</v>
      </c>
      <c r="C2454" t="s">
        <v>26</v>
      </c>
      <c r="D2454" t="s">
        <v>8</v>
      </c>
      <c r="F2454" t="s">
        <v>20</v>
      </c>
      <c r="G2454" t="s">
        <v>384</v>
      </c>
      <c r="H2454" s="2" t="s">
        <v>383</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385</v>
      </c>
      <c r="H2457" s="2" t="s">
        <v>371</v>
      </c>
    </row>
    <row r="2458" spans="1:9" ht="16" x14ac:dyDescent="0.2">
      <c r="A2458" s="2" t="s">
        <v>386</v>
      </c>
      <c r="B2458" s="6">
        <f>((22.49/1000)/(Parameters!$B$4*Parameters!$B$10))</f>
        <v>7.5308945825443303E-3</v>
      </c>
      <c r="C2458" t="s">
        <v>26</v>
      </c>
      <c r="D2458" t="s">
        <v>8</v>
      </c>
      <c r="F2458" t="s">
        <v>20</v>
      </c>
      <c r="G2458" t="s">
        <v>388</v>
      </c>
      <c r="H2458" s="2" t="s">
        <v>387</v>
      </c>
    </row>
    <row r="2459" spans="1:9" x14ac:dyDescent="0.2">
      <c r="A2459" t="s">
        <v>265</v>
      </c>
      <c r="B2459" s="6">
        <f>(B2335*B2451)-Parameters!$B$13</f>
        <v>2.5072795743732721</v>
      </c>
      <c r="D2459" t="s">
        <v>8</v>
      </c>
      <c r="E2459" t="s">
        <v>37</v>
      </c>
      <c r="F2459" t="s">
        <v>36</v>
      </c>
      <c r="G2459" t="s">
        <v>423</v>
      </c>
    </row>
    <row r="2460" spans="1:9" x14ac:dyDescent="0.2">
      <c r="A2460" t="s">
        <v>306</v>
      </c>
      <c r="B2460" s="6">
        <f>1/(90000000*20)</f>
        <v>5.5555555555555553E-10</v>
      </c>
      <c r="C2460" t="s">
        <v>26</v>
      </c>
      <c r="D2460" t="s">
        <v>7</v>
      </c>
      <c r="F2460" t="s">
        <v>20</v>
      </c>
      <c r="G2460" t="s">
        <v>308</v>
      </c>
      <c r="H2460" t="s">
        <v>307</v>
      </c>
    </row>
    <row r="2461" spans="1:9" x14ac:dyDescent="0.2">
      <c r="A2461" s="35" t="s">
        <v>520</v>
      </c>
      <c r="B2461" s="36">
        <f>Parameters!C56/Parameters!B4*Parameters!B10*-1*0.27</f>
        <v>-0.14373294505680315</v>
      </c>
      <c r="C2461" t="s">
        <v>26</v>
      </c>
      <c r="D2461" t="s">
        <v>8</v>
      </c>
      <c r="E2461" s="35"/>
      <c r="F2461" s="35" t="s">
        <v>20</v>
      </c>
      <c r="G2461" s="35" t="s">
        <v>561</v>
      </c>
      <c r="H2461" s="35" t="s">
        <v>521</v>
      </c>
      <c r="I2461" s="35"/>
    </row>
    <row r="2462" spans="1:9" x14ac:dyDescent="0.2">
      <c r="A2462" s="35" t="s">
        <v>548</v>
      </c>
      <c r="B2462" s="36">
        <f>Parameters!C58*Parameters!B6/Parameters!B8/1000*B2451*-1</f>
        <v>-2.8880557910350428E-2</v>
      </c>
      <c r="C2462" t="s">
        <v>26</v>
      </c>
      <c r="D2462" t="s">
        <v>8</v>
      </c>
      <c r="E2462" s="35"/>
      <c r="F2462" s="35" t="s">
        <v>20</v>
      </c>
      <c r="G2462" s="35" t="s">
        <v>1031</v>
      </c>
      <c r="H2462" s="35" t="s">
        <v>549</v>
      </c>
      <c r="I2462" s="35"/>
    </row>
    <row r="2463" spans="1:9" ht="16" x14ac:dyDescent="0.2">
      <c r="A2463" s="2"/>
      <c r="H2463" s="2"/>
    </row>
    <row r="2464" spans="1:9" ht="16" x14ac:dyDescent="0.2">
      <c r="A2464" s="1" t="s">
        <v>1</v>
      </c>
      <c r="B2464" s="71" t="s">
        <v>1053</v>
      </c>
    </row>
    <row r="2465" spans="1:8" x14ac:dyDescent="0.2">
      <c r="A2465" t="s">
        <v>2</v>
      </c>
      <c r="B2465" s="6" t="s">
        <v>1033</v>
      </c>
    </row>
    <row r="2466" spans="1:8" x14ac:dyDescent="0.2">
      <c r="A2466" t="s">
        <v>3</v>
      </c>
      <c r="B2466" s="6">
        <v>1</v>
      </c>
    </row>
    <row r="2467" spans="1:8" ht="16" x14ac:dyDescent="0.2">
      <c r="A2467" t="s">
        <v>4</v>
      </c>
      <c r="B2467" s="72" t="s">
        <v>425</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1005</v>
      </c>
    </row>
    <row r="2472" spans="1:8" x14ac:dyDescent="0.2">
      <c r="A2472" t="s">
        <v>492</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1053</v>
      </c>
      <c r="B2475" s="6">
        <v>1</v>
      </c>
      <c r="C2475" t="s">
        <v>1033</v>
      </c>
      <c r="D2475" t="s">
        <v>8</v>
      </c>
      <c r="F2475" t="s">
        <v>17</v>
      </c>
      <c r="G2475" t="s">
        <v>18</v>
      </c>
      <c r="H2475" s="2" t="s">
        <v>425</v>
      </c>
    </row>
    <row r="2476" spans="1:8" ht="16" x14ac:dyDescent="0.2">
      <c r="A2476" s="2" t="s">
        <v>96</v>
      </c>
      <c r="B2476" s="6">
        <f>(1/((Parameters!$C$55*Parameters!$B$4*Parameters!$B$10)/1000))*Parameters!C60</f>
        <v>2.5366279208115974</v>
      </c>
      <c r="C2476" t="s">
        <v>1033</v>
      </c>
      <c r="D2476" t="s">
        <v>8</v>
      </c>
      <c r="F2476" t="s">
        <v>20</v>
      </c>
      <c r="G2476" t="s">
        <v>18</v>
      </c>
      <c r="H2476" s="2" t="s">
        <v>426</v>
      </c>
    </row>
    <row r="2477" spans="1:8" ht="16" x14ac:dyDescent="0.2">
      <c r="A2477" s="2" t="s">
        <v>433</v>
      </c>
      <c r="B2477" s="6">
        <f>(22812*Parameters!$B$3)/(Parameters!$B$4*Parameters!$B$10)*Parameters!C60</f>
        <v>6.8262054727428154</v>
      </c>
      <c r="C2477" t="s">
        <v>31</v>
      </c>
      <c r="D2477" t="s">
        <v>19</v>
      </c>
      <c r="F2477" t="s">
        <v>20</v>
      </c>
      <c r="G2477" t="s">
        <v>1045</v>
      </c>
      <c r="H2477" s="2" t="s">
        <v>434</v>
      </c>
    </row>
    <row r="2478" spans="1:8" ht="16" x14ac:dyDescent="0.2">
      <c r="A2478" s="2" t="s">
        <v>28</v>
      </c>
      <c r="B2478" s="6">
        <f>(((2126+1932)*Parameters!$B$3/3.6)/(Parameters!$B$4*Parameters!$B$10))*Parameters!$C$60</f>
        <v>0.33730714108060017</v>
      </c>
      <c r="C2478" t="s">
        <v>1034</v>
      </c>
      <c r="D2478" t="s">
        <v>29</v>
      </c>
      <c r="F2478" t="s">
        <v>20</v>
      </c>
      <c r="G2478" t="s">
        <v>1046</v>
      </c>
      <c r="H2478" s="2" t="s">
        <v>30</v>
      </c>
    </row>
    <row r="2479" spans="1:8" ht="16" x14ac:dyDescent="0.2">
      <c r="A2479" s="2" t="s">
        <v>382</v>
      </c>
      <c r="B2479" s="6">
        <f>((2.76/1000)/(Parameters!$B$4*Parameters!$B$10))*Parameters!$C$60</f>
        <v>7.8279781607405654E-4</v>
      </c>
      <c r="C2479" t="s">
        <v>26</v>
      </c>
      <c r="D2479" t="s">
        <v>8</v>
      </c>
      <c r="F2479" t="s">
        <v>20</v>
      </c>
      <c r="G2479" t="s">
        <v>384</v>
      </c>
      <c r="H2479" s="2" t="s">
        <v>383</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385</v>
      </c>
      <c r="H2482" s="2" t="s">
        <v>371</v>
      </c>
    </row>
    <row r="2483" spans="1:8" ht="16" x14ac:dyDescent="0.2">
      <c r="A2483" s="2" t="s">
        <v>386</v>
      </c>
      <c r="B2483" s="6">
        <f>((22.49/1000)/(Parameters!$B$4*Parameters!$B$10))*Parameters!$C$60</f>
        <v>6.3786677114150477E-3</v>
      </c>
      <c r="C2483" t="s">
        <v>26</v>
      </c>
      <c r="D2483" t="s">
        <v>8</v>
      </c>
      <c r="F2483" t="s">
        <v>20</v>
      </c>
      <c r="G2483" t="s">
        <v>388</v>
      </c>
      <c r="H2483" s="2" t="s">
        <v>387</v>
      </c>
    </row>
    <row r="2484" spans="1:8" x14ac:dyDescent="0.2">
      <c r="A2484" t="s">
        <v>265</v>
      </c>
      <c r="B2484" s="6">
        <f>((B2335*B2476)-Parameters!$B$13)*(1-0.975)</f>
        <v>4.5770594987354064E-2</v>
      </c>
      <c r="D2484" t="s">
        <v>8</v>
      </c>
      <c r="E2484" t="s">
        <v>37</v>
      </c>
      <c r="F2484" t="s">
        <v>36</v>
      </c>
      <c r="G2484" t="s">
        <v>423</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1054</v>
      </c>
    </row>
    <row r="2488" spans="1:8" x14ac:dyDescent="0.2">
      <c r="A2488" t="s">
        <v>2</v>
      </c>
      <c r="B2488" s="6" t="s">
        <v>1033</v>
      </c>
    </row>
    <row r="2489" spans="1:8" x14ac:dyDescent="0.2">
      <c r="A2489" t="s">
        <v>3</v>
      </c>
      <c r="B2489" s="6">
        <v>1</v>
      </c>
    </row>
    <row r="2490" spans="1:8" ht="16" x14ac:dyDescent="0.2">
      <c r="A2490" t="s">
        <v>4</v>
      </c>
      <c r="B2490" s="72" t="s">
        <v>425</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1051</v>
      </c>
    </row>
    <row r="2495" spans="1:8" x14ac:dyDescent="0.2">
      <c r="A2495" t="s">
        <v>492</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1054</v>
      </c>
      <c r="B2498" s="6">
        <v>1</v>
      </c>
      <c r="C2498" t="s">
        <v>1033</v>
      </c>
      <c r="D2498" t="s">
        <v>8</v>
      </c>
      <c r="F2498" t="s">
        <v>17</v>
      </c>
      <c r="G2498" t="s">
        <v>18</v>
      </c>
      <c r="H2498" s="2" t="s">
        <v>425</v>
      </c>
    </row>
    <row r="2499" spans="1:8" ht="16" x14ac:dyDescent="0.2">
      <c r="A2499" s="2" t="s">
        <v>96</v>
      </c>
      <c r="B2499" s="6">
        <f>(1/((Parameters!$C$55*Parameters!$B$4*Parameters!$B$10)/1000))*Parameters!C61</f>
        <v>1.9286757745013801</v>
      </c>
      <c r="C2499" t="s">
        <v>1033</v>
      </c>
      <c r="D2499" t="s">
        <v>8</v>
      </c>
      <c r="F2499" t="s">
        <v>20</v>
      </c>
      <c r="G2499" t="s">
        <v>18</v>
      </c>
      <c r="H2499" s="2" t="s">
        <v>426</v>
      </c>
    </row>
    <row r="2500" spans="1:8" ht="16" x14ac:dyDescent="0.2">
      <c r="A2500" s="2" t="s">
        <v>433</v>
      </c>
      <c r="B2500" s="6">
        <f>(22812*Parameters!$B$3)/(Parameters!$B$4*Parameters!$B$10)*Parameters!C61</f>
        <v>5.1901727561350333</v>
      </c>
      <c r="C2500" t="s">
        <v>31</v>
      </c>
      <c r="D2500" t="s">
        <v>19</v>
      </c>
      <c r="F2500" t="s">
        <v>20</v>
      </c>
      <c r="G2500" t="s">
        <v>432</v>
      </c>
      <c r="H2500" s="2" t="s">
        <v>434</v>
      </c>
    </row>
    <row r="2501" spans="1:8" ht="16" x14ac:dyDescent="0.2">
      <c r="A2501" s="2" t="s">
        <v>28</v>
      </c>
      <c r="B2501" s="6">
        <f>(((2126+1932)*Parameters!$B$3/3.6)/(Parameters!$B$4*Parameters!$B$10))*Parameters!C61</f>
        <v>0.25646493371417534</v>
      </c>
      <c r="C2501" t="s">
        <v>1034</v>
      </c>
      <c r="D2501" t="s">
        <v>29</v>
      </c>
      <c r="F2501" t="s">
        <v>20</v>
      </c>
      <c r="H2501" s="2" t="s">
        <v>30</v>
      </c>
    </row>
    <row r="2502" spans="1:8" ht="16" x14ac:dyDescent="0.2">
      <c r="A2502" s="2" t="s">
        <v>382</v>
      </c>
      <c r="B2502" s="6">
        <f>((2.76/1000)/(Parameters!$B$4*Parameters!$B$10))*Parameters!$C$61</f>
        <v>5.9518511635382808E-4</v>
      </c>
      <c r="C2502" t="s">
        <v>26</v>
      </c>
      <c r="D2502" t="s">
        <v>8</v>
      </c>
      <c r="F2502" t="s">
        <v>20</v>
      </c>
      <c r="G2502" t="s">
        <v>384</v>
      </c>
      <c r="H2502" s="2" t="s">
        <v>383</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385</v>
      </c>
      <c r="H2505" s="2" t="s">
        <v>371</v>
      </c>
    </row>
    <row r="2506" spans="1:8" ht="16" x14ac:dyDescent="0.2">
      <c r="A2506" s="2" t="s">
        <v>386</v>
      </c>
      <c r="B2506" s="6">
        <f>((22.49/1000)/(Parameters!$B$4*Parameters!$B$10))*Parameters!$C$61</f>
        <v>4.8498961111585488E-3</v>
      </c>
      <c r="C2506" t="s">
        <v>26</v>
      </c>
      <c r="D2506" t="s">
        <v>8</v>
      </c>
      <c r="F2506" t="s">
        <v>20</v>
      </c>
      <c r="G2506" t="s">
        <v>388</v>
      </c>
      <c r="H2506" s="2" t="s">
        <v>387</v>
      </c>
    </row>
    <row r="2507" spans="1:8" x14ac:dyDescent="0.2">
      <c r="A2507" t="s">
        <v>265</v>
      </c>
      <c r="B2507" s="6">
        <f>((B2335*B2499)-Parameters!$B$13)*(1-0.975)</f>
        <v>2.3332601147409707E-2</v>
      </c>
      <c r="D2507" t="s">
        <v>8</v>
      </c>
      <c r="E2507" t="s">
        <v>37</v>
      </c>
      <c r="F2507" t="s">
        <v>36</v>
      </c>
      <c r="G2507" t="s">
        <v>423</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1055</v>
      </c>
    </row>
    <row r="2511" spans="1:8" x14ac:dyDescent="0.2">
      <c r="A2511" t="s">
        <v>2</v>
      </c>
      <c r="B2511" s="6" t="s">
        <v>1033</v>
      </c>
    </row>
    <row r="2512" spans="1:8" x14ac:dyDescent="0.2">
      <c r="A2512" t="s">
        <v>3</v>
      </c>
      <c r="B2512" s="6">
        <v>1</v>
      </c>
    </row>
    <row r="2513" spans="1:8" ht="16" x14ac:dyDescent="0.2">
      <c r="A2513" t="s">
        <v>4</v>
      </c>
      <c r="B2513" s="72" t="s">
        <v>425</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1052</v>
      </c>
    </row>
    <row r="2518" spans="1:8" x14ac:dyDescent="0.2">
      <c r="A2518" t="s">
        <v>492</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1055</v>
      </c>
      <c r="B2521" s="6">
        <v>1</v>
      </c>
      <c r="C2521" t="s">
        <v>1033</v>
      </c>
      <c r="D2521" t="s">
        <v>8</v>
      </c>
      <c r="F2521" t="s">
        <v>17</v>
      </c>
      <c r="G2521" t="s">
        <v>18</v>
      </c>
      <c r="H2521" s="2" t="s">
        <v>425</v>
      </c>
    </row>
    <row r="2522" spans="1:8" ht="16" x14ac:dyDescent="0.2">
      <c r="A2522" s="2" t="s">
        <v>96</v>
      </c>
      <c r="B2522" s="6">
        <f>(1/((Parameters!$C$55*Parameters!$B$4*Parameters!$B$10)/1000))</f>
        <v>2.9948381591636335</v>
      </c>
      <c r="C2522" t="s">
        <v>1033</v>
      </c>
      <c r="D2522" t="s">
        <v>8</v>
      </c>
      <c r="F2522" t="s">
        <v>20</v>
      </c>
      <c r="G2522" t="s">
        <v>18</v>
      </c>
      <c r="H2522" s="2" t="s">
        <v>426</v>
      </c>
    </row>
    <row r="2523" spans="1:8" ht="16" x14ac:dyDescent="0.2">
      <c r="A2523" s="2" t="s">
        <v>433</v>
      </c>
      <c r="B2523" s="6">
        <f>(22812*Parameters!$B$3)/(Parameters!$B$4*Parameters!$B$10)</f>
        <v>8.0592744660481888</v>
      </c>
      <c r="C2523" t="s">
        <v>31</v>
      </c>
      <c r="D2523" t="s">
        <v>19</v>
      </c>
      <c r="F2523" t="s">
        <v>20</v>
      </c>
      <c r="G2523" t="s">
        <v>432</v>
      </c>
      <c r="H2523" s="2" t="s">
        <v>434</v>
      </c>
    </row>
    <row r="2524" spans="1:8" ht="16" x14ac:dyDescent="0.2">
      <c r="A2524" s="2" t="s">
        <v>28</v>
      </c>
      <c r="B2524" s="6">
        <f>(((2126+1932)*Parameters!$B$3/3.6)/(Parameters!$B$4*Parameters!$B$10))</f>
        <v>0.39823747471145238</v>
      </c>
      <c r="C2524" t="s">
        <v>1034</v>
      </c>
      <c r="D2524" t="s">
        <v>29</v>
      </c>
      <c r="F2524" t="s">
        <v>20</v>
      </c>
      <c r="H2524" s="2" t="s">
        <v>30</v>
      </c>
    </row>
    <row r="2525" spans="1:8" ht="16" x14ac:dyDescent="0.2">
      <c r="A2525" s="2" t="s">
        <v>382</v>
      </c>
      <c r="B2525" s="6">
        <f>((2.76/1000)/(Parameters!$B$4*Parameters!$B$10))</f>
        <v>9.2420049123265234E-4</v>
      </c>
      <c r="C2525" t="s">
        <v>26</v>
      </c>
      <c r="D2525" t="s">
        <v>8</v>
      </c>
      <c r="F2525" t="s">
        <v>20</v>
      </c>
      <c r="G2525" t="s">
        <v>384</v>
      </c>
      <c r="H2525" s="2" t="s">
        <v>383</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385</v>
      </c>
      <c r="H2528" s="2" t="s">
        <v>371</v>
      </c>
    </row>
    <row r="2529" spans="1:9" ht="16" x14ac:dyDescent="0.2">
      <c r="A2529" s="2" t="s">
        <v>386</v>
      </c>
      <c r="B2529" s="6">
        <f>((22.49/1000)/(Parameters!$B$4*Parameters!$B$10))</f>
        <v>7.5308945825443303E-3</v>
      </c>
      <c r="C2529" t="s">
        <v>26</v>
      </c>
      <c r="D2529" t="s">
        <v>8</v>
      </c>
      <c r="F2529" t="s">
        <v>20</v>
      </c>
      <c r="G2529" t="s">
        <v>388</v>
      </c>
      <c r="H2529" s="2" t="s">
        <v>387</v>
      </c>
    </row>
    <row r="2530" spans="1:9" x14ac:dyDescent="0.2">
      <c r="A2530" t="s">
        <v>265</v>
      </c>
      <c r="B2530" s="6">
        <f>((B2335*B2522)-Parameters!$B$13)*(1-0.975)</f>
        <v>6.2681989359331863E-2</v>
      </c>
      <c r="D2530" t="s">
        <v>8</v>
      </c>
      <c r="E2530" t="s">
        <v>37</v>
      </c>
      <c r="F2530" t="s">
        <v>36</v>
      </c>
      <c r="G2530" t="s">
        <v>423</v>
      </c>
    </row>
    <row r="2531" spans="1:9" x14ac:dyDescent="0.2">
      <c r="A2531" t="s">
        <v>306</v>
      </c>
      <c r="B2531" s="6">
        <f>1/(90000000*20)</f>
        <v>5.5555555555555553E-10</v>
      </c>
      <c r="C2531" t="s">
        <v>26</v>
      </c>
      <c r="D2531" t="s">
        <v>7</v>
      </c>
      <c r="F2531" t="s">
        <v>20</v>
      </c>
      <c r="G2531" t="s">
        <v>308</v>
      </c>
      <c r="H2531" t="s">
        <v>307</v>
      </c>
    </row>
    <row r="2532" spans="1:9" x14ac:dyDescent="0.2">
      <c r="A2532" s="35" t="s">
        <v>520</v>
      </c>
      <c r="B2532" s="36">
        <f>Parameters!C56/Parameters!B4*Parameters!B10*-1*0.27</f>
        <v>-0.14373294505680315</v>
      </c>
      <c r="C2532" t="s">
        <v>26</v>
      </c>
      <c r="D2532" t="s">
        <v>8</v>
      </c>
      <c r="E2532" s="35"/>
      <c r="F2532" s="35" t="s">
        <v>20</v>
      </c>
      <c r="G2532" s="35" t="s">
        <v>559</v>
      </c>
      <c r="H2532" s="35" t="s">
        <v>521</v>
      </c>
      <c r="I2532" s="35"/>
    </row>
    <row r="2533" spans="1:9" x14ac:dyDescent="0.2">
      <c r="A2533" s="35" t="s">
        <v>548</v>
      </c>
      <c r="B2533" s="36">
        <f>Parameters!C58*Parameters!B6/Parameters!B8/1000*B2451*-1</f>
        <v>-2.8880557910350428E-2</v>
      </c>
      <c r="C2533" t="s">
        <v>26</v>
      </c>
      <c r="D2533" t="s">
        <v>8</v>
      </c>
      <c r="E2533" s="35"/>
      <c r="F2533" s="35" t="s">
        <v>20</v>
      </c>
      <c r="G2533" s="35" t="s">
        <v>1031</v>
      </c>
      <c r="H2533" s="35" t="s">
        <v>549</v>
      </c>
      <c r="I2533" s="35"/>
    </row>
    <row r="2534" spans="1:9" x14ac:dyDescent="0.2">
      <c r="A2534" s="35" t="s">
        <v>554</v>
      </c>
      <c r="B2534" s="36">
        <f>((B2335*B2522)-Parameters!$B$13)*0.975*-1</f>
        <v>-2.4445975850139403</v>
      </c>
      <c r="C2534" t="s">
        <v>26</v>
      </c>
      <c r="D2534" t="s">
        <v>8</v>
      </c>
      <c r="E2534" s="35"/>
      <c r="F2534" s="35" t="s">
        <v>20</v>
      </c>
      <c r="G2534" s="35" t="s">
        <v>555</v>
      </c>
      <c r="H2534" s="35" t="s">
        <v>556</v>
      </c>
      <c r="I2534" s="35"/>
    </row>
    <row r="2535" spans="1:9" ht="16" x14ac:dyDescent="0.2">
      <c r="A2535" s="2"/>
      <c r="H2535" s="2"/>
    </row>
    <row r="2536" spans="1:9" ht="16" x14ac:dyDescent="0.2">
      <c r="A2536" s="2"/>
      <c r="H2536" s="2"/>
    </row>
    <row r="2537" spans="1:9" ht="16" x14ac:dyDescent="0.2">
      <c r="A2537" s="1" t="s">
        <v>1</v>
      </c>
      <c r="B2537" s="71" t="s">
        <v>1059</v>
      </c>
    </row>
    <row r="2538" spans="1:9" x14ac:dyDescent="0.2">
      <c r="A2538" t="s">
        <v>2</v>
      </c>
      <c r="B2538" s="6" t="s">
        <v>1033</v>
      </c>
    </row>
    <row r="2539" spans="1:9" x14ac:dyDescent="0.2">
      <c r="A2539" t="s">
        <v>3</v>
      </c>
      <c r="B2539" s="6">
        <v>1</v>
      </c>
    </row>
    <row r="2540" spans="1:9" ht="16" x14ac:dyDescent="0.2">
      <c r="A2540" t="s">
        <v>4</v>
      </c>
      <c r="B2540" s="72" t="s">
        <v>425</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1062</v>
      </c>
    </row>
    <row r="2545" spans="1:8" x14ac:dyDescent="0.2">
      <c r="A2545" t="s">
        <v>492</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1059</v>
      </c>
      <c r="B2548" s="6">
        <v>1</v>
      </c>
      <c r="C2548" t="s">
        <v>1033</v>
      </c>
      <c r="D2548" t="s">
        <v>8</v>
      </c>
      <c r="F2548" t="s">
        <v>17</v>
      </c>
      <c r="G2548" t="s">
        <v>18</v>
      </c>
      <c r="H2548" s="2" t="s">
        <v>425</v>
      </c>
    </row>
    <row r="2549" spans="1:8" ht="16" x14ac:dyDescent="0.2">
      <c r="A2549" s="2" t="s">
        <v>96</v>
      </c>
      <c r="B2549" s="6">
        <f>(1/((Parameters!$C$55*Parameters!$B$4*Parameters!$B$10)/1000))*Parameters!C60</f>
        <v>2.5366279208115974</v>
      </c>
      <c r="C2549" t="s">
        <v>1033</v>
      </c>
      <c r="D2549" t="s">
        <v>8</v>
      </c>
      <c r="F2549" t="s">
        <v>20</v>
      </c>
      <c r="G2549" t="s">
        <v>18</v>
      </c>
      <c r="H2549" s="2" t="s">
        <v>426</v>
      </c>
    </row>
    <row r="2550" spans="1:8" ht="16" x14ac:dyDescent="0.2">
      <c r="A2550" s="2" t="s">
        <v>433</v>
      </c>
      <c r="B2550" s="6">
        <f>(22812*Parameters!$B$3)/(Parameters!$B$4*Parameters!$B$10)*Parameters!C60</f>
        <v>6.8262054727428154</v>
      </c>
      <c r="C2550" t="s">
        <v>31</v>
      </c>
      <c r="D2550" t="s">
        <v>19</v>
      </c>
      <c r="F2550" t="s">
        <v>20</v>
      </c>
      <c r="G2550" t="s">
        <v>1045</v>
      </c>
      <c r="H2550" s="2" t="s">
        <v>434</v>
      </c>
    </row>
    <row r="2551" spans="1:8" ht="16" x14ac:dyDescent="0.2">
      <c r="A2551" s="2" t="s">
        <v>28</v>
      </c>
      <c r="B2551" s="6">
        <f>(((2126+1932)*Parameters!$B$3/3.6)/(Parameters!$B$4*Parameters!$B$10))*Parameters!$C$60</f>
        <v>0.33730714108060017</v>
      </c>
      <c r="C2551" t="s">
        <v>1034</v>
      </c>
      <c r="D2551" t="s">
        <v>29</v>
      </c>
      <c r="F2551" t="s">
        <v>20</v>
      </c>
      <c r="G2551" t="s">
        <v>1046</v>
      </c>
      <c r="H2551" s="2" t="s">
        <v>30</v>
      </c>
    </row>
    <row r="2552" spans="1:8" ht="16" x14ac:dyDescent="0.2">
      <c r="A2552" s="2" t="s">
        <v>382</v>
      </c>
      <c r="B2552" s="6">
        <f>((2.76/1000)/(Parameters!$B$4*Parameters!$B$10))*Parameters!$C$60</f>
        <v>7.8279781607405654E-4</v>
      </c>
      <c r="C2552" t="s">
        <v>26</v>
      </c>
      <c r="D2552" t="s">
        <v>8</v>
      </c>
      <c r="F2552" t="s">
        <v>20</v>
      </c>
      <c r="G2552" t="s">
        <v>384</v>
      </c>
      <c r="H2552" s="2" t="s">
        <v>383</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385</v>
      </c>
      <c r="H2555" s="2" t="s">
        <v>371</v>
      </c>
    </row>
    <row r="2556" spans="1:8" ht="16" x14ac:dyDescent="0.2">
      <c r="A2556" s="2" t="s">
        <v>386</v>
      </c>
      <c r="B2556" s="6">
        <f>((22.49/1000)/(Parameters!$B$4*Parameters!$B$10))*Parameters!$C$60</f>
        <v>6.3786677114150477E-3</v>
      </c>
      <c r="C2556" t="s">
        <v>26</v>
      </c>
      <c r="D2556" t="s">
        <v>8</v>
      </c>
      <c r="F2556" t="s">
        <v>20</v>
      </c>
      <c r="G2556" t="s">
        <v>388</v>
      </c>
      <c r="H2556" s="2" t="s">
        <v>387</v>
      </c>
    </row>
    <row r="2557" spans="1:8" x14ac:dyDescent="0.2">
      <c r="A2557" t="s">
        <v>265</v>
      </c>
      <c r="B2557" s="6">
        <f>((B2335*B2549)-Parameters!$B$13)*(1-0.975)</f>
        <v>4.5770594987354064E-2</v>
      </c>
      <c r="D2557" t="s">
        <v>8</v>
      </c>
      <c r="E2557" t="s">
        <v>37</v>
      </c>
      <c r="F2557" t="s">
        <v>36</v>
      </c>
      <c r="G2557" t="s">
        <v>423</v>
      </c>
    </row>
    <row r="2558" spans="1:8" x14ac:dyDescent="0.2">
      <c r="A2558" t="s">
        <v>306</v>
      </c>
      <c r="B2558" s="6">
        <f>1/(90000000*20)</f>
        <v>5.5555555555555553E-10</v>
      </c>
      <c r="C2558" t="s">
        <v>26</v>
      </c>
      <c r="D2558" t="s">
        <v>7</v>
      </c>
      <c r="F2558" t="s">
        <v>20</v>
      </c>
      <c r="G2558" t="s">
        <v>308</v>
      </c>
      <c r="H2558" t="s">
        <v>307</v>
      </c>
    </row>
    <row r="2559" spans="1:8" x14ac:dyDescent="0.2">
      <c r="A2559" t="s">
        <v>1065</v>
      </c>
      <c r="B2559" s="6">
        <f>((B2335*B2549)-Parameters!$B$13)*0.975</f>
        <v>1.7850532045068068</v>
      </c>
      <c r="C2559" t="s">
        <v>567</v>
      </c>
      <c r="D2559" t="s">
        <v>8</v>
      </c>
      <c r="F2559" t="s">
        <v>20</v>
      </c>
      <c r="G2559" t="s">
        <v>1066</v>
      </c>
      <c r="H2559" t="s">
        <v>1065</v>
      </c>
    </row>
    <row r="2560" spans="1:8" ht="16" x14ac:dyDescent="0.2">
      <c r="A2560" s="2"/>
      <c r="H2560" s="2"/>
    </row>
    <row r="2561" spans="1:8" ht="16" x14ac:dyDescent="0.2">
      <c r="A2561" s="1" t="s">
        <v>1</v>
      </c>
      <c r="B2561" s="71" t="s">
        <v>1060</v>
      </c>
    </row>
    <row r="2562" spans="1:8" x14ac:dyDescent="0.2">
      <c r="A2562" t="s">
        <v>2</v>
      </c>
      <c r="B2562" s="6" t="s">
        <v>1033</v>
      </c>
    </row>
    <row r="2563" spans="1:8" x14ac:dyDescent="0.2">
      <c r="A2563" t="s">
        <v>3</v>
      </c>
      <c r="B2563" s="6">
        <v>1</v>
      </c>
    </row>
    <row r="2564" spans="1:8" ht="16" x14ac:dyDescent="0.2">
      <c r="A2564" t="s">
        <v>4</v>
      </c>
      <c r="B2564" s="72" t="s">
        <v>425</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1063</v>
      </c>
    </row>
    <row r="2569" spans="1:8" x14ac:dyDescent="0.2">
      <c r="A2569" t="s">
        <v>492</v>
      </c>
      <c r="B2569" s="70">
        <f>Summary!O118</f>
        <v>0.39771086215543305</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1060</v>
      </c>
      <c r="B2572" s="6">
        <v>1</v>
      </c>
      <c r="C2572" t="s">
        <v>1033</v>
      </c>
      <c r="D2572" t="s">
        <v>8</v>
      </c>
      <c r="F2572" t="s">
        <v>17</v>
      </c>
      <c r="G2572" t="s">
        <v>18</v>
      </c>
      <c r="H2572" s="2" t="s">
        <v>425</v>
      </c>
    </row>
    <row r="2573" spans="1:8" ht="16" x14ac:dyDescent="0.2">
      <c r="A2573" s="2" t="s">
        <v>96</v>
      </c>
      <c r="B2573" s="6">
        <f>(1/((Parameters!$C$55*Parameters!$B$4*Parameters!$B$10)/1000))*Parameters!C61</f>
        <v>1.9286757745013801</v>
      </c>
      <c r="C2573" t="s">
        <v>1033</v>
      </c>
      <c r="D2573" t="s">
        <v>8</v>
      </c>
      <c r="F2573" t="s">
        <v>20</v>
      </c>
      <c r="G2573" t="s">
        <v>18</v>
      </c>
      <c r="H2573" s="2" t="s">
        <v>426</v>
      </c>
    </row>
    <row r="2574" spans="1:8" ht="16" x14ac:dyDescent="0.2">
      <c r="A2574" s="2" t="s">
        <v>433</v>
      </c>
      <c r="B2574" s="6">
        <f>(22812*Parameters!$B$3)/(Parameters!$B$4*Parameters!$B$10)*Parameters!C61</f>
        <v>5.1901727561350333</v>
      </c>
      <c r="C2574" t="s">
        <v>31</v>
      </c>
      <c r="D2574" t="s">
        <v>19</v>
      </c>
      <c r="F2574" t="s">
        <v>20</v>
      </c>
      <c r="G2574" t="s">
        <v>432</v>
      </c>
      <c r="H2574" s="2" t="s">
        <v>434</v>
      </c>
    </row>
    <row r="2575" spans="1:8" ht="16" x14ac:dyDescent="0.2">
      <c r="A2575" s="2" t="s">
        <v>28</v>
      </c>
      <c r="B2575" s="6">
        <f>(((2126+1932)*Parameters!$B$3/3.6)/(Parameters!$B$4*Parameters!$B$10))*Parameters!C61</f>
        <v>0.25646493371417534</v>
      </c>
      <c r="C2575" t="s">
        <v>1034</v>
      </c>
      <c r="D2575" t="s">
        <v>29</v>
      </c>
      <c r="F2575" t="s">
        <v>20</v>
      </c>
      <c r="H2575" s="2" t="s">
        <v>30</v>
      </c>
    </row>
    <row r="2576" spans="1:8" ht="16" x14ac:dyDescent="0.2">
      <c r="A2576" s="2" t="s">
        <v>382</v>
      </c>
      <c r="B2576" s="6">
        <f>((2.76/1000)/(Parameters!$B$4*Parameters!$B$10))*Parameters!$C$61</f>
        <v>5.9518511635382808E-4</v>
      </c>
      <c r="C2576" t="s">
        <v>26</v>
      </c>
      <c r="D2576" t="s">
        <v>8</v>
      </c>
      <c r="F2576" t="s">
        <v>20</v>
      </c>
      <c r="G2576" t="s">
        <v>384</v>
      </c>
      <c r="H2576" s="2" t="s">
        <v>383</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385</v>
      </c>
      <c r="H2579" s="2" t="s">
        <v>371</v>
      </c>
    </row>
    <row r="2580" spans="1:8" ht="16" x14ac:dyDescent="0.2">
      <c r="A2580" s="2" t="s">
        <v>386</v>
      </c>
      <c r="B2580" s="6">
        <f>((22.49/1000)/(Parameters!$B$4*Parameters!$B$10))*Parameters!$C$61</f>
        <v>4.8498961111585488E-3</v>
      </c>
      <c r="C2580" t="s">
        <v>26</v>
      </c>
      <c r="D2580" t="s">
        <v>8</v>
      </c>
      <c r="F2580" t="s">
        <v>20</v>
      </c>
      <c r="G2580" t="s">
        <v>388</v>
      </c>
      <c r="H2580" s="2" t="s">
        <v>387</v>
      </c>
    </row>
    <row r="2581" spans="1:8" x14ac:dyDescent="0.2">
      <c r="A2581" t="s">
        <v>265</v>
      </c>
      <c r="B2581" s="6">
        <f>((B2335*B2573)-Parameters!$B$13)*(1-0.975)</f>
        <v>2.3332601147409707E-2</v>
      </c>
      <c r="D2581" t="s">
        <v>8</v>
      </c>
      <c r="E2581" t="s">
        <v>37</v>
      </c>
      <c r="F2581" t="s">
        <v>36</v>
      </c>
      <c r="G2581" t="s">
        <v>423</v>
      </c>
    </row>
    <row r="2582" spans="1:8" x14ac:dyDescent="0.2">
      <c r="A2582" t="s">
        <v>306</v>
      </c>
      <c r="B2582" s="6">
        <f>1/(90000000*20)</f>
        <v>5.5555555555555553E-10</v>
      </c>
      <c r="C2582" t="s">
        <v>26</v>
      </c>
      <c r="D2582" t="s">
        <v>7</v>
      </c>
      <c r="F2582" t="s">
        <v>20</v>
      </c>
      <c r="G2582" t="s">
        <v>308</v>
      </c>
      <c r="H2582" t="s">
        <v>307</v>
      </c>
    </row>
    <row r="2583" spans="1:8" x14ac:dyDescent="0.2">
      <c r="A2583" t="s">
        <v>1065</v>
      </c>
      <c r="B2583" s="6">
        <f>((B2335*B2573)-Parameters!$B$13)*0.975</f>
        <v>0.90997144474897773</v>
      </c>
      <c r="C2583" t="s">
        <v>567</v>
      </c>
      <c r="D2583" t="s">
        <v>8</v>
      </c>
      <c r="F2583" t="s">
        <v>20</v>
      </c>
      <c r="G2583" t="s">
        <v>1066</v>
      </c>
      <c r="H2583" t="s">
        <v>1065</v>
      </c>
    </row>
    <row r="2584" spans="1:8" ht="16" x14ac:dyDescent="0.2">
      <c r="A2584" s="2"/>
      <c r="H2584" s="2"/>
    </row>
    <row r="2585" spans="1:8" ht="16" x14ac:dyDescent="0.2">
      <c r="A2585" s="1" t="s">
        <v>1</v>
      </c>
      <c r="B2585" s="71" t="s">
        <v>1061</v>
      </c>
    </row>
    <row r="2586" spans="1:8" x14ac:dyDescent="0.2">
      <c r="A2586" t="s">
        <v>2</v>
      </c>
      <c r="B2586" s="6" t="s">
        <v>1033</v>
      </c>
    </row>
    <row r="2587" spans="1:8" x14ac:dyDescent="0.2">
      <c r="A2587" t="s">
        <v>3</v>
      </c>
      <c r="B2587" s="6">
        <v>1</v>
      </c>
    </row>
    <row r="2588" spans="1:8" ht="16" x14ac:dyDescent="0.2">
      <c r="A2588" t="s">
        <v>4</v>
      </c>
      <c r="B2588" s="72" t="s">
        <v>425</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1064</v>
      </c>
    </row>
    <row r="2593" spans="1:9" x14ac:dyDescent="0.2">
      <c r="A2593" t="s">
        <v>492</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1061</v>
      </c>
      <c r="B2596" s="6">
        <v>1</v>
      </c>
      <c r="C2596" t="s">
        <v>1033</v>
      </c>
      <c r="D2596" t="s">
        <v>8</v>
      </c>
      <c r="F2596" t="s">
        <v>17</v>
      </c>
      <c r="G2596" t="s">
        <v>18</v>
      </c>
      <c r="H2596" s="2" t="s">
        <v>425</v>
      </c>
    </row>
    <row r="2597" spans="1:9" ht="16" x14ac:dyDescent="0.2">
      <c r="A2597" s="2" t="s">
        <v>96</v>
      </c>
      <c r="B2597" s="6">
        <f>(1/((Parameters!$C$55*Parameters!$B$4*Parameters!$B$10)/1000))</f>
        <v>2.9948381591636335</v>
      </c>
      <c r="C2597" t="s">
        <v>1033</v>
      </c>
      <c r="D2597" t="s">
        <v>8</v>
      </c>
      <c r="F2597" t="s">
        <v>20</v>
      </c>
      <c r="G2597" t="s">
        <v>18</v>
      </c>
      <c r="H2597" s="2" t="s">
        <v>426</v>
      </c>
    </row>
    <row r="2598" spans="1:9" ht="16" x14ac:dyDescent="0.2">
      <c r="A2598" s="2" t="s">
        <v>433</v>
      </c>
      <c r="B2598" s="6">
        <f>(22812*Parameters!$B$3)/(Parameters!$B$4*Parameters!$B$10)</f>
        <v>8.0592744660481888</v>
      </c>
      <c r="C2598" t="s">
        <v>31</v>
      </c>
      <c r="D2598" t="s">
        <v>19</v>
      </c>
      <c r="F2598" t="s">
        <v>20</v>
      </c>
      <c r="G2598" t="s">
        <v>432</v>
      </c>
      <c r="H2598" s="2" t="s">
        <v>434</v>
      </c>
    </row>
    <row r="2599" spans="1:9" ht="16" x14ac:dyDescent="0.2">
      <c r="A2599" s="2" t="s">
        <v>28</v>
      </c>
      <c r="B2599" s="6">
        <f>(((2126+1932)*Parameters!$B$3/3.6)/(Parameters!$B$4*Parameters!$B$10))</f>
        <v>0.39823747471145238</v>
      </c>
      <c r="C2599" t="s">
        <v>1034</v>
      </c>
      <c r="D2599" t="s">
        <v>29</v>
      </c>
      <c r="F2599" t="s">
        <v>20</v>
      </c>
      <c r="H2599" s="2" t="s">
        <v>30</v>
      </c>
    </row>
    <row r="2600" spans="1:9" ht="16" x14ac:dyDescent="0.2">
      <c r="A2600" s="2" t="s">
        <v>382</v>
      </c>
      <c r="B2600" s="6">
        <f>((2.76/1000)/(Parameters!$B$4*Parameters!$B$10))</f>
        <v>9.2420049123265234E-4</v>
      </c>
      <c r="C2600" t="s">
        <v>26</v>
      </c>
      <c r="D2600" t="s">
        <v>8</v>
      </c>
      <c r="F2600" t="s">
        <v>20</v>
      </c>
      <c r="G2600" t="s">
        <v>384</v>
      </c>
      <c r="H2600" s="2" t="s">
        <v>383</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385</v>
      </c>
      <c r="H2603" s="2" t="s">
        <v>371</v>
      </c>
    </row>
    <row r="2604" spans="1:9" ht="16" x14ac:dyDescent="0.2">
      <c r="A2604" s="2" t="s">
        <v>386</v>
      </c>
      <c r="B2604" s="6">
        <f>((22.49/1000)/(Parameters!$B$4*Parameters!$B$10))</f>
        <v>7.5308945825443303E-3</v>
      </c>
      <c r="C2604" t="s">
        <v>26</v>
      </c>
      <c r="D2604" t="s">
        <v>8</v>
      </c>
      <c r="F2604" t="s">
        <v>20</v>
      </c>
      <c r="G2604" t="s">
        <v>388</v>
      </c>
      <c r="H2604" s="2" t="s">
        <v>387</v>
      </c>
    </row>
    <row r="2605" spans="1:9" x14ac:dyDescent="0.2">
      <c r="A2605" t="s">
        <v>265</v>
      </c>
      <c r="B2605" s="6">
        <f>((B2335*B2597)-Parameters!$B$13)*(1-0.975)</f>
        <v>6.2681989359331863E-2</v>
      </c>
      <c r="D2605" t="s">
        <v>8</v>
      </c>
      <c r="E2605" t="s">
        <v>37</v>
      </c>
      <c r="F2605" t="s">
        <v>36</v>
      </c>
      <c r="G2605" t="s">
        <v>423</v>
      </c>
    </row>
    <row r="2606" spans="1:9" x14ac:dyDescent="0.2">
      <c r="A2606" t="s">
        <v>306</v>
      </c>
      <c r="B2606" s="6">
        <f>1/(90000000*20)</f>
        <v>5.5555555555555553E-10</v>
      </c>
      <c r="C2606" t="s">
        <v>26</v>
      </c>
      <c r="D2606" t="s">
        <v>7</v>
      </c>
      <c r="F2606" t="s">
        <v>20</v>
      </c>
      <c r="G2606" t="s">
        <v>308</v>
      </c>
      <c r="H2606" t="s">
        <v>307</v>
      </c>
    </row>
    <row r="2607" spans="1:9" x14ac:dyDescent="0.2">
      <c r="A2607" s="35" t="s">
        <v>520</v>
      </c>
      <c r="B2607" s="36">
        <f>Parameters!C56/Parameters!B4*Parameters!B10*-1*0.27</f>
        <v>-0.14373294505680315</v>
      </c>
      <c r="C2607" t="s">
        <v>26</v>
      </c>
      <c r="D2607" t="s">
        <v>8</v>
      </c>
      <c r="E2607" s="35"/>
      <c r="F2607" s="35" t="s">
        <v>20</v>
      </c>
      <c r="G2607" s="35" t="s">
        <v>559</v>
      </c>
      <c r="H2607" s="35" t="s">
        <v>521</v>
      </c>
      <c r="I2607" s="35"/>
    </row>
    <row r="2608" spans="1:9" x14ac:dyDescent="0.2">
      <c r="A2608" s="35" t="s">
        <v>548</v>
      </c>
      <c r="B2608" s="36">
        <f>Parameters!C58*Parameters!B6/Parameters!B8/1000*B2451*-1</f>
        <v>-2.8880557910350428E-2</v>
      </c>
      <c r="C2608" t="s">
        <v>26</v>
      </c>
      <c r="D2608" t="s">
        <v>8</v>
      </c>
      <c r="E2608" s="35"/>
      <c r="F2608" s="35" t="s">
        <v>20</v>
      </c>
      <c r="G2608" s="35" t="s">
        <v>1031</v>
      </c>
      <c r="H2608" s="35" t="s">
        <v>549</v>
      </c>
      <c r="I2608" s="35"/>
    </row>
    <row r="2609" spans="1:10" x14ac:dyDescent="0.2">
      <c r="A2609" s="35" t="s">
        <v>554</v>
      </c>
      <c r="B2609" s="36">
        <f>((B2408*B2597)-Parameters!$B$13)*0.975*-1</f>
        <v>1.8638642560487737</v>
      </c>
      <c r="C2609" t="s">
        <v>26</v>
      </c>
      <c r="D2609" t="s">
        <v>8</v>
      </c>
      <c r="E2609" s="35"/>
      <c r="F2609" s="35" t="s">
        <v>20</v>
      </c>
      <c r="G2609" s="35" t="s">
        <v>555</v>
      </c>
      <c r="H2609" s="35" t="s">
        <v>556</v>
      </c>
      <c r="I2609" s="35"/>
    </row>
    <row r="2610" spans="1:10" x14ac:dyDescent="0.2">
      <c r="A2610" t="s">
        <v>1065</v>
      </c>
      <c r="B2610" s="6">
        <f>((B2335*B2597)-Parameters!$B$13)*0.975</f>
        <v>2.4445975850139403</v>
      </c>
      <c r="C2610" t="s">
        <v>567</v>
      </c>
      <c r="D2610" t="s">
        <v>8</v>
      </c>
      <c r="F2610" t="s">
        <v>20</v>
      </c>
      <c r="G2610" t="s">
        <v>1066</v>
      </c>
      <c r="H2610" t="s">
        <v>1065</v>
      </c>
    </row>
    <row r="2611" spans="1:10" ht="16" x14ac:dyDescent="0.2">
      <c r="A2611" s="2"/>
      <c r="H2611" s="2"/>
    </row>
    <row r="2612" spans="1:10" ht="16" x14ac:dyDescent="0.2">
      <c r="A2612" s="1" t="s">
        <v>1</v>
      </c>
      <c r="B2612" s="71" t="s">
        <v>428</v>
      </c>
    </row>
    <row r="2613" spans="1:10" x14ac:dyDescent="0.2">
      <c r="A2613" t="s">
        <v>2</v>
      </c>
      <c r="B2613" s="6" t="s">
        <v>1033</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391</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428</v>
      </c>
      <c r="B2622" s="36">
        <v>1</v>
      </c>
      <c r="C2622" t="s">
        <v>1033</v>
      </c>
      <c r="D2622" s="35" t="s">
        <v>8</v>
      </c>
      <c r="E2622" s="35"/>
      <c r="F2622" s="35" t="s">
        <v>17</v>
      </c>
      <c r="G2622" s="35"/>
      <c r="H2622" s="35"/>
      <c r="I2622" s="35" t="s">
        <v>18</v>
      </c>
      <c r="J2622" s="35" t="s">
        <v>337</v>
      </c>
    </row>
    <row r="2623" spans="1:10" ht="16" x14ac:dyDescent="0.2">
      <c r="A2623" s="2" t="s">
        <v>424</v>
      </c>
      <c r="B2623" s="6">
        <v>1.00057</v>
      </c>
      <c r="C2623" t="s">
        <v>1033</v>
      </c>
      <c r="D2623" t="s">
        <v>8</v>
      </c>
      <c r="F2623" s="35" t="s">
        <v>20</v>
      </c>
      <c r="G2623" t="s">
        <v>18</v>
      </c>
      <c r="I2623" s="35"/>
      <c r="J2623" s="2" t="s">
        <v>425</v>
      </c>
    </row>
    <row r="2624" spans="1:10" x14ac:dyDescent="0.2">
      <c r="A2624" s="35" t="s">
        <v>28</v>
      </c>
      <c r="B2624" s="36">
        <v>6.7000000000000002E-3</v>
      </c>
      <c r="C2624" t="s">
        <v>1034</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567</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429</v>
      </c>
    </row>
    <row r="2636" spans="1:10" x14ac:dyDescent="0.2">
      <c r="A2636" t="s">
        <v>2</v>
      </c>
      <c r="B2636" s="6" t="s">
        <v>1033</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391</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429</v>
      </c>
      <c r="B2645" s="36">
        <v>1</v>
      </c>
      <c r="C2645" t="s">
        <v>1033</v>
      </c>
      <c r="D2645" s="35" t="s">
        <v>8</v>
      </c>
      <c r="E2645" s="35"/>
      <c r="F2645" s="35" t="s">
        <v>17</v>
      </c>
      <c r="G2645" s="35"/>
      <c r="H2645" s="35"/>
      <c r="I2645" s="35" t="s">
        <v>18</v>
      </c>
      <c r="J2645" s="35" t="s">
        <v>337</v>
      </c>
    </row>
    <row r="2646" spans="1:10" ht="16" x14ac:dyDescent="0.2">
      <c r="A2646" s="2" t="s">
        <v>427</v>
      </c>
      <c r="B2646" s="6">
        <v>1.00057</v>
      </c>
      <c r="C2646" t="s">
        <v>1033</v>
      </c>
      <c r="D2646" t="s">
        <v>8</v>
      </c>
      <c r="F2646" s="35" t="s">
        <v>20</v>
      </c>
      <c r="G2646" t="s">
        <v>18</v>
      </c>
      <c r="I2646" s="35"/>
      <c r="J2646" s="2" t="s">
        <v>425</v>
      </c>
    </row>
    <row r="2647" spans="1:10" x14ac:dyDescent="0.2">
      <c r="A2647" s="35" t="s">
        <v>28</v>
      </c>
      <c r="B2647" s="36">
        <v>6.7000000000000002E-3</v>
      </c>
      <c r="C2647" t="s">
        <v>1034</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567</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530</v>
      </c>
    </row>
    <row r="2659" spans="1:10" x14ac:dyDescent="0.2">
      <c r="A2659" t="s">
        <v>2</v>
      </c>
      <c r="B2659" s="6" t="s">
        <v>1033</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391</v>
      </c>
    </row>
    <row r="2665" spans="1:10" x14ac:dyDescent="0.2">
      <c r="A2665" t="s">
        <v>11</v>
      </c>
      <c r="B2665" s="6" t="s">
        <v>502</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530</v>
      </c>
      <c r="B2668" s="36">
        <v>1</v>
      </c>
      <c r="C2668" t="s">
        <v>1033</v>
      </c>
      <c r="D2668" s="35" t="s">
        <v>8</v>
      </c>
      <c r="E2668" s="35"/>
      <c r="F2668" s="35" t="s">
        <v>17</v>
      </c>
      <c r="G2668" s="35"/>
      <c r="H2668" s="35"/>
      <c r="I2668" s="35" t="s">
        <v>18</v>
      </c>
      <c r="J2668" s="35" t="s">
        <v>337</v>
      </c>
    </row>
    <row r="2669" spans="1:10" ht="16" x14ac:dyDescent="0.2">
      <c r="A2669" s="2" t="s">
        <v>529</v>
      </c>
      <c r="B2669" s="6">
        <v>1.00057</v>
      </c>
      <c r="C2669" t="s">
        <v>1033</v>
      </c>
      <c r="D2669" t="s">
        <v>8</v>
      </c>
      <c r="F2669" s="35" t="s">
        <v>20</v>
      </c>
      <c r="G2669" t="s">
        <v>18</v>
      </c>
      <c r="I2669" s="35"/>
      <c r="J2669" s="2" t="s">
        <v>425</v>
      </c>
    </row>
    <row r="2670" spans="1:10" x14ac:dyDescent="0.2">
      <c r="A2670" s="35" t="s">
        <v>28</v>
      </c>
      <c r="B2670" s="36">
        <v>6.7000000000000002E-3</v>
      </c>
      <c r="C2670" t="s">
        <v>1034</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567</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1056</v>
      </c>
    </row>
    <row r="2682" spans="1:10" x14ac:dyDescent="0.2">
      <c r="A2682" t="s">
        <v>2</v>
      </c>
      <c r="B2682" s="6" t="s">
        <v>1033</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391</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1056</v>
      </c>
      <c r="B2691" s="36">
        <v>1</v>
      </c>
      <c r="C2691" t="s">
        <v>1033</v>
      </c>
      <c r="D2691" s="35" t="s">
        <v>8</v>
      </c>
      <c r="E2691" s="35"/>
      <c r="F2691" s="35" t="s">
        <v>17</v>
      </c>
      <c r="G2691" s="35"/>
      <c r="H2691" s="35"/>
      <c r="I2691" s="35" t="s">
        <v>18</v>
      </c>
      <c r="J2691" s="35" t="s">
        <v>337</v>
      </c>
    </row>
    <row r="2692" spans="1:10" ht="16" x14ac:dyDescent="0.2">
      <c r="A2692" s="2" t="s">
        <v>1053</v>
      </c>
      <c r="B2692" s="6">
        <v>1.00057</v>
      </c>
      <c r="C2692" t="s">
        <v>1033</v>
      </c>
      <c r="D2692" t="s">
        <v>8</v>
      </c>
      <c r="F2692" s="35" t="s">
        <v>20</v>
      </c>
      <c r="G2692" t="s">
        <v>18</v>
      </c>
      <c r="I2692" s="35"/>
      <c r="J2692" s="2" t="s">
        <v>425</v>
      </c>
    </row>
    <row r="2693" spans="1:10" x14ac:dyDescent="0.2">
      <c r="A2693" s="35" t="s">
        <v>28</v>
      </c>
      <c r="B2693" s="36">
        <v>6.7000000000000002E-3</v>
      </c>
      <c r="C2693" t="s">
        <v>1034</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567</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1057</v>
      </c>
    </row>
    <row r="2705" spans="1:10" x14ac:dyDescent="0.2">
      <c r="A2705" t="s">
        <v>2</v>
      </c>
      <c r="B2705" s="6" t="s">
        <v>1033</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391</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1057</v>
      </c>
      <c r="B2714" s="36">
        <v>1</v>
      </c>
      <c r="C2714" t="s">
        <v>1033</v>
      </c>
      <c r="D2714" s="35" t="s">
        <v>8</v>
      </c>
      <c r="E2714" s="35"/>
      <c r="F2714" s="35" t="s">
        <v>17</v>
      </c>
      <c r="G2714" s="35"/>
      <c r="H2714" s="35"/>
      <c r="I2714" s="35" t="s">
        <v>18</v>
      </c>
      <c r="J2714" s="35" t="s">
        <v>337</v>
      </c>
    </row>
    <row r="2715" spans="1:10" ht="16" x14ac:dyDescent="0.2">
      <c r="A2715" s="2" t="s">
        <v>1054</v>
      </c>
      <c r="B2715" s="6">
        <v>1.00057</v>
      </c>
      <c r="C2715" t="s">
        <v>1033</v>
      </c>
      <c r="D2715" t="s">
        <v>8</v>
      </c>
      <c r="F2715" s="35" t="s">
        <v>20</v>
      </c>
      <c r="G2715" t="s">
        <v>18</v>
      </c>
      <c r="I2715" s="35"/>
      <c r="J2715" s="2" t="s">
        <v>425</v>
      </c>
    </row>
    <row r="2716" spans="1:10" x14ac:dyDescent="0.2">
      <c r="A2716" s="35" t="s">
        <v>28</v>
      </c>
      <c r="B2716" s="36">
        <v>6.7000000000000002E-3</v>
      </c>
      <c r="C2716" t="s">
        <v>1034</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567</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1058</v>
      </c>
    </row>
    <row r="2728" spans="1:10" x14ac:dyDescent="0.2">
      <c r="A2728" t="s">
        <v>2</v>
      </c>
      <c r="B2728" s="6" t="s">
        <v>1033</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391</v>
      </c>
    </row>
    <row r="2734" spans="1:10" x14ac:dyDescent="0.2">
      <c r="A2734" t="s">
        <v>11</v>
      </c>
      <c r="B2734" s="6" t="s">
        <v>502</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1058</v>
      </c>
      <c r="B2737" s="36">
        <v>1</v>
      </c>
      <c r="C2737" t="s">
        <v>1033</v>
      </c>
      <c r="D2737" s="35" t="s">
        <v>8</v>
      </c>
      <c r="E2737" s="35"/>
      <c r="F2737" s="35" t="s">
        <v>17</v>
      </c>
      <c r="G2737" s="35"/>
      <c r="H2737" s="35"/>
      <c r="I2737" s="35" t="s">
        <v>18</v>
      </c>
      <c r="J2737" s="35" t="s">
        <v>337</v>
      </c>
    </row>
    <row r="2738" spans="1:10" ht="16" x14ac:dyDescent="0.2">
      <c r="A2738" s="2" t="s">
        <v>1055</v>
      </c>
      <c r="B2738" s="6">
        <v>1.00057</v>
      </c>
      <c r="C2738" t="s">
        <v>1033</v>
      </c>
      <c r="D2738" t="s">
        <v>8</v>
      </c>
      <c r="F2738" s="35" t="s">
        <v>20</v>
      </c>
      <c r="G2738" t="s">
        <v>18</v>
      </c>
      <c r="I2738" s="35"/>
      <c r="J2738" s="2" t="s">
        <v>425</v>
      </c>
    </row>
    <row r="2739" spans="1:10" x14ac:dyDescent="0.2">
      <c r="A2739" s="35" t="s">
        <v>28</v>
      </c>
      <c r="B2739" s="36">
        <v>6.7000000000000002E-3</v>
      </c>
      <c r="C2739" t="s">
        <v>1034</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567</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1067</v>
      </c>
    </row>
    <row r="2751" spans="1:10" x14ac:dyDescent="0.2">
      <c r="A2751" t="s">
        <v>2</v>
      </c>
      <c r="B2751" s="6" t="s">
        <v>1033</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391</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1067</v>
      </c>
      <c r="B2760" s="36">
        <v>1</v>
      </c>
      <c r="C2760" t="s">
        <v>1033</v>
      </c>
      <c r="D2760" s="35" t="s">
        <v>8</v>
      </c>
      <c r="E2760" s="35"/>
      <c r="F2760" s="35" t="s">
        <v>17</v>
      </c>
      <c r="G2760" s="35"/>
      <c r="H2760" s="35"/>
      <c r="I2760" s="35" t="s">
        <v>18</v>
      </c>
      <c r="J2760" s="35" t="s">
        <v>337</v>
      </c>
    </row>
    <row r="2761" spans="1:10" ht="16" x14ac:dyDescent="0.2">
      <c r="A2761" s="2" t="s">
        <v>1059</v>
      </c>
      <c r="B2761" s="6">
        <v>1.00057</v>
      </c>
      <c r="C2761" t="s">
        <v>1033</v>
      </c>
      <c r="D2761" t="s">
        <v>8</v>
      </c>
      <c r="F2761" s="35" t="s">
        <v>20</v>
      </c>
      <c r="G2761" t="s">
        <v>18</v>
      </c>
      <c r="I2761" s="35"/>
      <c r="J2761" s="2" t="s">
        <v>425</v>
      </c>
    </row>
    <row r="2762" spans="1:10" x14ac:dyDescent="0.2">
      <c r="A2762" s="35" t="s">
        <v>28</v>
      </c>
      <c r="B2762" s="36">
        <v>6.7000000000000002E-3</v>
      </c>
      <c r="C2762" t="s">
        <v>1034</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567</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1068</v>
      </c>
    </row>
    <row r="2774" spans="1:10" x14ac:dyDescent="0.2">
      <c r="A2774" t="s">
        <v>2</v>
      </c>
      <c r="B2774" s="6" t="s">
        <v>1033</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391</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1068</v>
      </c>
      <c r="B2783" s="36">
        <v>1</v>
      </c>
      <c r="C2783" t="s">
        <v>1033</v>
      </c>
      <c r="D2783" s="35" t="s">
        <v>8</v>
      </c>
      <c r="E2783" s="35"/>
      <c r="F2783" s="35" t="s">
        <v>17</v>
      </c>
      <c r="G2783" s="35"/>
      <c r="H2783" s="35"/>
      <c r="I2783" s="35" t="s">
        <v>18</v>
      </c>
      <c r="J2783" s="35" t="s">
        <v>337</v>
      </c>
    </row>
    <row r="2784" spans="1:10" ht="16" x14ac:dyDescent="0.2">
      <c r="A2784" s="2" t="s">
        <v>1060</v>
      </c>
      <c r="B2784" s="6">
        <v>1.00057</v>
      </c>
      <c r="C2784" t="s">
        <v>1033</v>
      </c>
      <c r="D2784" t="s">
        <v>8</v>
      </c>
      <c r="F2784" s="35" t="s">
        <v>20</v>
      </c>
      <c r="G2784" t="s">
        <v>18</v>
      </c>
      <c r="I2784" s="35"/>
      <c r="J2784" s="2" t="s">
        <v>425</v>
      </c>
    </row>
    <row r="2785" spans="1:10" x14ac:dyDescent="0.2">
      <c r="A2785" s="35" t="s">
        <v>28</v>
      </c>
      <c r="B2785" s="36">
        <v>6.7000000000000002E-3</v>
      </c>
      <c r="C2785" t="s">
        <v>1034</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567</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1069</v>
      </c>
    </row>
    <row r="2797" spans="1:10" x14ac:dyDescent="0.2">
      <c r="A2797" t="s">
        <v>2</v>
      </c>
      <c r="B2797" s="6" t="s">
        <v>1033</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391</v>
      </c>
    </row>
    <row r="2803" spans="1:10" x14ac:dyDescent="0.2">
      <c r="A2803" t="s">
        <v>11</v>
      </c>
      <c r="B2803" s="6" t="s">
        <v>502</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1069</v>
      </c>
      <c r="B2806" s="36">
        <v>1</v>
      </c>
      <c r="C2806" t="s">
        <v>1033</v>
      </c>
      <c r="D2806" s="35" t="s">
        <v>8</v>
      </c>
      <c r="E2806" s="35"/>
      <c r="F2806" s="35" t="s">
        <v>17</v>
      </c>
      <c r="G2806" s="35"/>
      <c r="H2806" s="35"/>
      <c r="I2806" s="35" t="s">
        <v>18</v>
      </c>
      <c r="J2806" s="35" t="s">
        <v>337</v>
      </c>
    </row>
    <row r="2807" spans="1:10" ht="16" x14ac:dyDescent="0.2">
      <c r="A2807" s="2" t="s">
        <v>1061</v>
      </c>
      <c r="B2807" s="6">
        <v>1.00057</v>
      </c>
      <c r="C2807" t="s">
        <v>1033</v>
      </c>
      <c r="D2807" t="s">
        <v>8</v>
      </c>
      <c r="F2807" s="35" t="s">
        <v>20</v>
      </c>
      <c r="G2807" t="s">
        <v>18</v>
      </c>
      <c r="I2807" s="35"/>
      <c r="J2807" s="2" t="s">
        <v>425</v>
      </c>
    </row>
    <row r="2808" spans="1:10" x14ac:dyDescent="0.2">
      <c r="A2808" s="35" t="s">
        <v>28</v>
      </c>
      <c r="B2808" s="36">
        <v>6.7000000000000002E-3</v>
      </c>
      <c r="C2808" t="s">
        <v>1034</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567</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workbookViewId="0">
      <selection activeCell="A28" sqref="A28"/>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836</v>
      </c>
      <c r="B9" s="5">
        <f>Summary!R17</f>
        <v>19.600000000000001</v>
      </c>
    </row>
    <row r="10" spans="1:8" x14ac:dyDescent="0.2">
      <c r="A10" t="s">
        <v>842</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1020</v>
      </c>
      <c r="H20" t="s">
        <v>23</v>
      </c>
    </row>
    <row r="21" spans="1:8" x14ac:dyDescent="0.2">
      <c r="A21" t="s">
        <v>352</v>
      </c>
      <c r="B21" s="6">
        <f>27.3/1000</f>
        <v>2.7300000000000001E-2</v>
      </c>
      <c r="C21" t="s">
        <v>567</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1029</v>
      </c>
      <c r="B54" s="6">
        <v>0.49888461538461598</v>
      </c>
      <c r="D54" t="s">
        <v>8</v>
      </c>
      <c r="E54" t="s">
        <v>1030</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836</v>
      </c>
      <c r="B69" s="5">
        <f>Summary!R18</f>
        <v>16.600000000000001</v>
      </c>
    </row>
    <row r="70" spans="1:8" x14ac:dyDescent="0.2">
      <c r="A70" t="s">
        <v>842</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1021</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567</v>
      </c>
      <c r="D76" t="s">
        <v>41</v>
      </c>
      <c r="F76" t="s">
        <v>20</v>
      </c>
      <c r="G76" t="s">
        <v>263</v>
      </c>
      <c r="H76" t="s">
        <v>353</v>
      </c>
    </row>
    <row r="77" spans="1:8" x14ac:dyDescent="0.2">
      <c r="A77" t="s">
        <v>1029</v>
      </c>
      <c r="B77" s="6">
        <f>0.4155*(44/12)*(1-0.06)</f>
        <v>1.4320899999999999</v>
      </c>
      <c r="D77" t="s">
        <v>8</v>
      </c>
      <c r="E77" t="s">
        <v>1030</v>
      </c>
      <c r="F77" t="s">
        <v>36</v>
      </c>
      <c r="G77" s="8" t="s">
        <v>474</v>
      </c>
    </row>
    <row r="78" spans="1:8" x14ac:dyDescent="0.2">
      <c r="A78" t="s">
        <v>108</v>
      </c>
      <c r="B78" s="6">
        <v>16.77</v>
      </c>
      <c r="D78" t="s">
        <v>19</v>
      </c>
      <c r="E78" t="s">
        <v>112</v>
      </c>
      <c r="F78" t="s">
        <v>36</v>
      </c>
      <c r="G78" s="8" t="s">
        <v>474</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492</v>
      </c>
      <c r="B91" s="70">
        <f>Summary!O103</f>
        <v>0.34204552267306398</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f>
        <v>16.407888792403554</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6.2716432894717986</v>
      </c>
      <c r="D102" t="s">
        <v>8</v>
      </c>
      <c r="E102" t="s">
        <v>37</v>
      </c>
      <c r="F102" t="s">
        <v>36</v>
      </c>
      <c r="G102" t="s">
        <v>423</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492</v>
      </c>
      <c r="B112" s="70">
        <f>Summary!O46</f>
        <v>0.36031374710792186</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f>
        <v>15.575994374364498</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5.8566239626877756</v>
      </c>
      <c r="D123" t="s">
        <v>8</v>
      </c>
      <c r="E123" t="s">
        <v>37</v>
      </c>
      <c r="F123" t="s">
        <v>36</v>
      </c>
      <c r="G123" t="s">
        <v>423</v>
      </c>
    </row>
    <row r="125" spans="1:8" ht="16" x14ac:dyDescent="0.2">
      <c r="A125" s="1" t="s">
        <v>1</v>
      </c>
      <c r="B125" s="71" t="s">
        <v>513</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531</v>
      </c>
    </row>
    <row r="133" spans="1:8" x14ac:dyDescent="0.2">
      <c r="A133" t="s">
        <v>492</v>
      </c>
      <c r="B133" s="70">
        <f>Summary!O141</f>
        <v>0.37727081632653059</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513</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f>
        <v>14.875905198831346</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5.5073602436169855</v>
      </c>
      <c r="D144" t="s">
        <v>8</v>
      </c>
      <c r="E144" t="s">
        <v>37</v>
      </c>
      <c r="F144" t="s">
        <v>36</v>
      </c>
      <c r="G144" t="s">
        <v>423</v>
      </c>
    </row>
    <row r="145" spans="1:8" ht="16" x14ac:dyDescent="0.2">
      <c r="A145" s="2" t="s">
        <v>28</v>
      </c>
      <c r="B145" s="6">
        <f>26.1*B138/1000*-1</f>
        <v>-0.38826112568949817</v>
      </c>
      <c r="C145" t="s">
        <v>264</v>
      </c>
      <c r="D145" t="s">
        <v>29</v>
      </c>
      <c r="F145" t="s">
        <v>20</v>
      </c>
      <c r="G145" t="s">
        <v>532</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1018</v>
      </c>
    </row>
    <row r="154" spans="1:8" x14ac:dyDescent="0.2">
      <c r="A154" t="s">
        <v>11</v>
      </c>
      <c r="B154" s="6" t="s">
        <v>305</v>
      </c>
    </row>
    <row r="155" spans="1:8" x14ac:dyDescent="0.2">
      <c r="A155" t="s">
        <v>492</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497</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1017</v>
      </c>
      <c r="H164" s="2" t="s">
        <v>316</v>
      </c>
    </row>
    <row r="165" spans="1:8" ht="16" x14ac:dyDescent="0.2">
      <c r="A165" s="2" t="s">
        <v>254</v>
      </c>
      <c r="B165" s="6">
        <f>0.75/1000*Parameters!B5*Parameters!F93</f>
        <v>1.6372039427511136E-2</v>
      </c>
      <c r="C165" t="s">
        <v>31</v>
      </c>
      <c r="D165" t="s">
        <v>8</v>
      </c>
      <c r="F165" t="s">
        <v>20</v>
      </c>
      <c r="G165" t="s">
        <v>1019</v>
      </c>
      <c r="H165" s="2" t="s">
        <v>256</v>
      </c>
    </row>
    <row r="166" spans="1:8" x14ac:dyDescent="0.2">
      <c r="A166" t="s">
        <v>265</v>
      </c>
      <c r="B166" s="6">
        <f>(B77*B159)-Parameters!$B$13</f>
        <v>2.775246788748885</v>
      </c>
      <c r="D166" t="s">
        <v>8</v>
      </c>
      <c r="E166" t="s">
        <v>37</v>
      </c>
      <c r="F166" t="s">
        <v>36</v>
      </c>
      <c r="G166" t="s">
        <v>423</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492</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1019</v>
      </c>
      <c r="H186" s="2" t="s">
        <v>256</v>
      </c>
    </row>
    <row r="187" spans="1:8" x14ac:dyDescent="0.2">
      <c r="A187" t="s">
        <v>265</v>
      </c>
      <c r="B187" s="6">
        <f>(B77*B180)-Parameters!$B$13</f>
        <v>3.5634637535908595</v>
      </c>
      <c r="D187" t="s">
        <v>8</v>
      </c>
      <c r="E187" t="s">
        <v>37</v>
      </c>
      <c r="F187" t="s">
        <v>36</v>
      </c>
      <c r="G187" t="s">
        <v>423</v>
      </c>
    </row>
    <row r="189" spans="1:8" ht="16" x14ac:dyDescent="0.2">
      <c r="A189" s="1" t="s">
        <v>1</v>
      </c>
      <c r="B189" s="71" t="s">
        <v>533</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534</v>
      </c>
    </row>
    <row r="197" spans="1:8" x14ac:dyDescent="0.2">
      <c r="A197" t="s">
        <v>492</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533</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1019</v>
      </c>
      <c r="H207" s="2" t="s">
        <v>256</v>
      </c>
    </row>
    <row r="208" spans="1:8" x14ac:dyDescent="0.2">
      <c r="A208" t="s">
        <v>265</v>
      </c>
      <c r="B208" s="6">
        <f>(B77*B201)-Parameters!$B$13</f>
        <v>4.4659609499999995</v>
      </c>
      <c r="D208" t="s">
        <v>8</v>
      </c>
      <c r="E208" t="s">
        <v>37</v>
      </c>
      <c r="F208" t="s">
        <v>36</v>
      </c>
      <c r="G208" t="s">
        <v>423</v>
      </c>
    </row>
    <row r="209" spans="1:10" ht="16" x14ac:dyDescent="0.2">
      <c r="A209" s="2" t="s">
        <v>28</v>
      </c>
      <c r="B209" s="6">
        <f>0.13*Parameters!B5/3.6*-1</f>
        <v>-1.0725</v>
      </c>
      <c r="C209" t="s">
        <v>264</v>
      </c>
      <c r="D209" t="s">
        <v>29</v>
      </c>
      <c r="F209" t="s">
        <v>20</v>
      </c>
      <c r="G209" t="s">
        <v>535</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567</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567</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514</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502</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514</v>
      </c>
      <c r="B267" s="36">
        <v>1</v>
      </c>
      <c r="C267" t="s">
        <v>264</v>
      </c>
      <c r="D267" s="35" t="s">
        <v>8</v>
      </c>
      <c r="E267" s="35"/>
      <c r="F267" s="35" t="s">
        <v>17</v>
      </c>
      <c r="G267" s="35"/>
      <c r="H267" s="35"/>
      <c r="I267" s="35" t="s">
        <v>18</v>
      </c>
      <c r="J267" s="35" t="s">
        <v>337</v>
      </c>
    </row>
    <row r="268" spans="1:10" ht="16" x14ac:dyDescent="0.2">
      <c r="A268" s="2" t="s">
        <v>513</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567</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567</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567</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536</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502</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536</v>
      </c>
      <c r="B336" s="36">
        <v>1</v>
      </c>
      <c r="C336" t="s">
        <v>264</v>
      </c>
      <c r="D336" s="35" t="s">
        <v>8</v>
      </c>
      <c r="E336" s="35"/>
      <c r="F336" s="35" t="s">
        <v>17</v>
      </c>
      <c r="G336" s="35"/>
      <c r="H336" s="35"/>
      <c r="I336" s="35" t="s">
        <v>18</v>
      </c>
      <c r="J336" s="35" t="s">
        <v>337</v>
      </c>
    </row>
    <row r="337" spans="1:10" ht="16" x14ac:dyDescent="0.2">
      <c r="A337" s="2" t="s">
        <v>533</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567</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abSelected="1" topLeftCell="A46" workbookViewId="0">
      <selection activeCell="D62" sqref="D62"/>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562</v>
      </c>
    </row>
    <row r="2" spans="1:8" x14ac:dyDescent="0.2">
      <c r="A2" t="s">
        <v>2</v>
      </c>
      <c r="B2" s="6" t="s">
        <v>563</v>
      </c>
    </row>
    <row r="3" spans="1:8" x14ac:dyDescent="0.2">
      <c r="A3" t="s">
        <v>3</v>
      </c>
      <c r="B3" s="6">
        <v>1</v>
      </c>
    </row>
    <row r="4" spans="1:8" ht="16" x14ac:dyDescent="0.2">
      <c r="A4" t="s">
        <v>4</v>
      </c>
      <c r="B4" s="72" t="s">
        <v>564</v>
      </c>
    </row>
    <row r="5" spans="1:8" x14ac:dyDescent="0.2">
      <c r="A5" t="s">
        <v>5</v>
      </c>
      <c r="B5" s="6" t="s">
        <v>6</v>
      </c>
    </row>
    <row r="6" spans="1:8" x14ac:dyDescent="0.2">
      <c r="A6" t="s">
        <v>7</v>
      </c>
      <c r="B6" s="6" t="s">
        <v>8</v>
      </c>
    </row>
    <row r="7" spans="1:8" x14ac:dyDescent="0.2">
      <c r="A7" t="s">
        <v>9</v>
      </c>
      <c r="B7" s="6" t="s">
        <v>565</v>
      </c>
    </row>
    <row r="8" spans="1:8" x14ac:dyDescent="0.2">
      <c r="A8" t="s">
        <v>11</v>
      </c>
      <c r="B8" s="6" t="s">
        <v>1004</v>
      </c>
    </row>
    <row r="9" spans="1:8" x14ac:dyDescent="0.2">
      <c r="A9" t="s">
        <v>836</v>
      </c>
      <c r="B9" s="6">
        <v>18.850000000000001</v>
      </c>
    </row>
    <row r="10" spans="1:8" x14ac:dyDescent="0.2">
      <c r="A10" t="s">
        <v>842</v>
      </c>
      <c r="B10" s="76">
        <f>Summary!Q19</f>
        <v>0.4</v>
      </c>
    </row>
    <row r="11" spans="1:8" x14ac:dyDescent="0.2">
      <c r="A11" t="s">
        <v>573</v>
      </c>
      <c r="B11" s="6">
        <v>549</v>
      </c>
    </row>
    <row r="12" spans="1:8" x14ac:dyDescent="0.2">
      <c r="A12" t="s">
        <v>576</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562</v>
      </c>
      <c r="B15" s="6">
        <v>1</v>
      </c>
      <c r="C15" t="s">
        <v>563</v>
      </c>
      <c r="D15" t="s">
        <v>8</v>
      </c>
      <c r="F15" t="s">
        <v>17</v>
      </c>
      <c r="G15" t="s">
        <v>571</v>
      </c>
      <c r="H15" s="2" t="s">
        <v>564</v>
      </c>
    </row>
    <row r="16" spans="1:8" ht="16" x14ac:dyDescent="0.2">
      <c r="A16" s="2" t="s">
        <v>562</v>
      </c>
      <c r="B16" s="6">
        <v>0.14000000000000001</v>
      </c>
      <c r="C16" t="s">
        <v>563</v>
      </c>
      <c r="D16" t="s">
        <v>8</v>
      </c>
      <c r="F16" t="s">
        <v>20</v>
      </c>
      <c r="G16" t="s">
        <v>843</v>
      </c>
      <c r="H16" s="2" t="s">
        <v>564</v>
      </c>
    </row>
    <row r="17" spans="1:8" x14ac:dyDescent="0.2">
      <c r="A17" t="s">
        <v>22</v>
      </c>
      <c r="B17" s="6">
        <f>16.6/1000*43</f>
        <v>0.71379999999999999</v>
      </c>
      <c r="C17" t="s">
        <v>26</v>
      </c>
      <c r="D17" t="s">
        <v>19</v>
      </c>
      <c r="F17" t="s">
        <v>20</v>
      </c>
      <c r="G17" t="s">
        <v>566</v>
      </c>
      <c r="H17" t="s">
        <v>23</v>
      </c>
    </row>
    <row r="18" spans="1:8" x14ac:dyDescent="0.2">
      <c r="A18" t="s">
        <v>28</v>
      </c>
      <c r="B18" s="6">
        <f>4858*Parameters!$B$3/1000/3.6</f>
        <v>1.4237393228333332E-3</v>
      </c>
      <c r="C18" t="s">
        <v>567</v>
      </c>
      <c r="D18" t="s">
        <v>29</v>
      </c>
      <c r="F18" t="s">
        <v>20</v>
      </c>
      <c r="G18" t="s">
        <v>568</v>
      </c>
      <c r="H18" t="s">
        <v>30</v>
      </c>
    </row>
    <row r="19" spans="1:8" x14ac:dyDescent="0.2">
      <c r="A19" t="s">
        <v>352</v>
      </c>
      <c r="B19" s="6">
        <f>50/1000</f>
        <v>0.05</v>
      </c>
      <c r="C19" t="s">
        <v>567</v>
      </c>
      <c r="D19" t="s">
        <v>41</v>
      </c>
      <c r="F19" t="s">
        <v>20</v>
      </c>
      <c r="G19" t="s">
        <v>570</v>
      </c>
      <c r="H19" t="s">
        <v>353</v>
      </c>
    </row>
    <row r="20" spans="1:8" x14ac:dyDescent="0.2">
      <c r="A20" t="s">
        <v>42</v>
      </c>
      <c r="B20" s="6">
        <f>1.06/1000</f>
        <v>1.06E-3</v>
      </c>
      <c r="C20" t="s">
        <v>563</v>
      </c>
      <c r="D20" t="s">
        <v>8</v>
      </c>
      <c r="F20" t="s">
        <v>20</v>
      </c>
      <c r="H20" t="s">
        <v>43</v>
      </c>
    </row>
    <row r="21" spans="1:8" x14ac:dyDescent="0.2">
      <c r="A21" t="s">
        <v>44</v>
      </c>
      <c r="B21" s="6">
        <f>1.79/1000</f>
        <v>1.7900000000000001E-3</v>
      </c>
      <c r="C21" t="s">
        <v>563</v>
      </c>
      <c r="D21" t="s">
        <v>8</v>
      </c>
      <c r="F21" t="s">
        <v>20</v>
      </c>
      <c r="H21" t="s">
        <v>45</v>
      </c>
    </row>
    <row r="22" spans="1:8" x14ac:dyDescent="0.2">
      <c r="A22" t="s">
        <v>46</v>
      </c>
      <c r="B22" s="6">
        <f>1.42/1000</f>
        <v>1.4199999999999998E-3</v>
      </c>
      <c r="C22" t="s">
        <v>563</v>
      </c>
      <c r="D22" t="s">
        <v>8</v>
      </c>
      <c r="F22" t="s">
        <v>20</v>
      </c>
      <c r="H22" t="s">
        <v>47</v>
      </c>
    </row>
    <row r="23" spans="1:8" x14ac:dyDescent="0.2">
      <c r="A23" t="s">
        <v>579</v>
      </c>
      <c r="B23" s="6">
        <f>346.2/1000000</f>
        <v>3.4620000000000001E-4</v>
      </c>
      <c r="C23" t="s">
        <v>26</v>
      </c>
      <c r="D23" t="s">
        <v>8</v>
      </c>
      <c r="F23" t="s">
        <v>20</v>
      </c>
      <c r="G23" t="s">
        <v>581</v>
      </c>
      <c r="H23" t="s">
        <v>580</v>
      </c>
    </row>
    <row r="24" spans="1:8" x14ac:dyDescent="0.2">
      <c r="A24" t="s">
        <v>54</v>
      </c>
      <c r="B24" s="6">
        <f>0.744/1000*Parameters!$B$6</f>
        <v>3.3747839999999997E-4</v>
      </c>
      <c r="C24" t="s">
        <v>26</v>
      </c>
      <c r="D24" t="s">
        <v>8</v>
      </c>
      <c r="F24" t="s">
        <v>20</v>
      </c>
      <c r="G24" t="s">
        <v>569</v>
      </c>
      <c r="H24" t="s">
        <v>55</v>
      </c>
    </row>
    <row r="25" spans="1:8" x14ac:dyDescent="0.2">
      <c r="A25" t="s">
        <v>1029</v>
      </c>
      <c r="B25" s="6">
        <f>1.83*(1-0.4)</f>
        <v>1.0980000000000001</v>
      </c>
      <c r="D25" t="s">
        <v>8</v>
      </c>
      <c r="E25" t="s">
        <v>1030</v>
      </c>
      <c r="F25" t="s">
        <v>36</v>
      </c>
      <c r="G25" s="67" t="s">
        <v>572</v>
      </c>
    </row>
    <row r="26" spans="1:8" x14ac:dyDescent="0.2">
      <c r="A26" t="s">
        <v>108</v>
      </c>
      <c r="B26" s="6">
        <f>B9*(1-0.4)</f>
        <v>11.31</v>
      </c>
      <c r="D26" t="s">
        <v>19</v>
      </c>
      <c r="E26" t="s">
        <v>112</v>
      </c>
      <c r="F26" t="s">
        <v>36</v>
      </c>
      <c r="G26" s="8" t="s">
        <v>578</v>
      </c>
    </row>
    <row r="27" spans="1:8" x14ac:dyDescent="0.2">
      <c r="A27" t="s">
        <v>194</v>
      </c>
      <c r="B27" s="6">
        <f>(1/(B12*1000/(1-0.4)/10000))*5</f>
        <v>5.7692307692307683</v>
      </c>
      <c r="D27" t="s">
        <v>113</v>
      </c>
      <c r="E27" t="s">
        <v>114</v>
      </c>
      <c r="F27" t="s">
        <v>36</v>
      </c>
      <c r="G27" t="s">
        <v>849</v>
      </c>
    </row>
    <row r="28" spans="1:8" x14ac:dyDescent="0.2">
      <c r="A28" t="s">
        <v>195</v>
      </c>
      <c r="B28" s="6">
        <f>1/(B12*1000/(1-0.4)/10000)</f>
        <v>1.1538461538461537</v>
      </c>
      <c r="D28" t="s">
        <v>115</v>
      </c>
      <c r="E28" t="s">
        <v>114</v>
      </c>
      <c r="F28" t="s">
        <v>36</v>
      </c>
      <c r="G28" t="s">
        <v>577</v>
      </c>
    </row>
    <row r="29" spans="1:8" x14ac:dyDescent="0.2">
      <c r="A29" t="s">
        <v>196</v>
      </c>
      <c r="B29" s="6">
        <f>1/(B12*1000/(1-0.4)/10000)</f>
        <v>1.1538461538461537</v>
      </c>
      <c r="D29" t="s">
        <v>115</v>
      </c>
      <c r="E29" t="s">
        <v>114</v>
      </c>
      <c r="F29" t="s">
        <v>36</v>
      </c>
      <c r="G29" t="s">
        <v>577</v>
      </c>
    </row>
    <row r="30" spans="1:8" x14ac:dyDescent="0.2">
      <c r="A30" t="s">
        <v>350</v>
      </c>
      <c r="B30" s="6">
        <v>7.7879884897428794E-2</v>
      </c>
      <c r="C30" t="s">
        <v>619</v>
      </c>
      <c r="D30" s="6" t="s">
        <v>8</v>
      </c>
      <c r="F30" t="s">
        <v>20</v>
      </c>
      <c r="G30" t="s">
        <v>604</v>
      </c>
      <c r="H30" t="s">
        <v>351</v>
      </c>
    </row>
    <row r="31" spans="1:8" x14ac:dyDescent="0.2">
      <c r="A31" t="s">
        <v>214</v>
      </c>
      <c r="B31" s="6">
        <v>1.6877209859665999E-2</v>
      </c>
      <c r="C31" t="s">
        <v>31</v>
      </c>
      <c r="D31" s="6" t="s">
        <v>8</v>
      </c>
      <c r="F31" t="s">
        <v>20</v>
      </c>
      <c r="G31" t="s">
        <v>604</v>
      </c>
      <c r="H31" t="s">
        <v>215</v>
      </c>
    </row>
    <row r="32" spans="1:8" x14ac:dyDescent="0.2">
      <c r="A32" t="s">
        <v>584</v>
      </c>
      <c r="B32" s="6">
        <v>5.9070234508830999E-3</v>
      </c>
      <c r="C32" t="s">
        <v>26</v>
      </c>
      <c r="D32" s="6" t="s">
        <v>7</v>
      </c>
      <c r="F32" t="s">
        <v>20</v>
      </c>
      <c r="G32" t="s">
        <v>604</v>
      </c>
      <c r="H32" t="s">
        <v>583</v>
      </c>
    </row>
    <row r="33" spans="1:8" x14ac:dyDescent="0.2">
      <c r="A33" t="s">
        <v>586</v>
      </c>
      <c r="B33" s="6">
        <v>2.5315814789498999E-3</v>
      </c>
      <c r="C33" t="s">
        <v>31</v>
      </c>
      <c r="D33" s="6" t="s">
        <v>8</v>
      </c>
      <c r="F33" t="s">
        <v>20</v>
      </c>
      <c r="G33" t="s">
        <v>604</v>
      </c>
      <c r="H33" t="s">
        <v>585</v>
      </c>
    </row>
    <row r="34" spans="1:8" x14ac:dyDescent="0.2">
      <c r="A34" t="s">
        <v>588</v>
      </c>
      <c r="B34" s="6">
        <v>4.8184434149346402E-5</v>
      </c>
      <c r="C34" t="s">
        <v>26</v>
      </c>
      <c r="D34" s="6" t="s">
        <v>8</v>
      </c>
      <c r="F34" t="s">
        <v>20</v>
      </c>
      <c r="G34" t="s">
        <v>604</v>
      </c>
      <c r="H34" t="s">
        <v>587</v>
      </c>
    </row>
    <row r="35" spans="1:8" x14ac:dyDescent="0.2">
      <c r="A35" t="s">
        <v>591</v>
      </c>
      <c r="B35" s="6">
        <v>4.0299999999999997E-5</v>
      </c>
      <c r="C35" t="s">
        <v>26</v>
      </c>
      <c r="D35" s="6" t="s">
        <v>589</v>
      </c>
      <c r="F35" t="s">
        <v>20</v>
      </c>
      <c r="G35" t="s">
        <v>604</v>
      </c>
      <c r="H35" t="s">
        <v>590</v>
      </c>
    </row>
    <row r="36" spans="1:8" x14ac:dyDescent="0.2">
      <c r="A36" t="s">
        <v>593</v>
      </c>
      <c r="B36" s="6">
        <v>3.6699999999999998E-5</v>
      </c>
      <c r="C36" t="s">
        <v>26</v>
      </c>
      <c r="D36" s="6" t="s">
        <v>119</v>
      </c>
      <c r="F36" t="s">
        <v>20</v>
      </c>
      <c r="G36" t="s">
        <v>604</v>
      </c>
      <c r="H36" t="s">
        <v>592</v>
      </c>
    </row>
    <row r="37" spans="1:8" x14ac:dyDescent="0.2">
      <c r="A37" t="s">
        <v>186</v>
      </c>
      <c r="B37" s="6">
        <v>2.6299999999999999E-5</v>
      </c>
      <c r="C37" t="s">
        <v>626</v>
      </c>
      <c r="D37" s="6" t="s">
        <v>119</v>
      </c>
      <c r="F37" t="s">
        <v>20</v>
      </c>
      <c r="G37" t="s">
        <v>604</v>
      </c>
      <c r="H37" t="s">
        <v>186</v>
      </c>
    </row>
    <row r="38" spans="1:8" x14ac:dyDescent="0.2">
      <c r="A38" t="s">
        <v>579</v>
      </c>
      <c r="B38" s="6">
        <v>2.6117482257833102E-5</v>
      </c>
      <c r="C38" t="s">
        <v>26</v>
      </c>
      <c r="D38" s="6" t="s">
        <v>8</v>
      </c>
      <c r="F38" t="s">
        <v>20</v>
      </c>
      <c r="G38" t="s">
        <v>604</v>
      </c>
      <c r="H38" t="s">
        <v>580</v>
      </c>
    </row>
    <row r="39" spans="1:8" x14ac:dyDescent="0.2">
      <c r="A39" t="s">
        <v>595</v>
      </c>
      <c r="B39" s="6">
        <v>1.3839312084926099E-5</v>
      </c>
      <c r="C39" t="s">
        <v>26</v>
      </c>
      <c r="D39" s="6" t="s">
        <v>8</v>
      </c>
      <c r="F39" t="s">
        <v>20</v>
      </c>
      <c r="G39" t="s">
        <v>604</v>
      </c>
      <c r="H39" t="s">
        <v>594</v>
      </c>
    </row>
    <row r="40" spans="1:8" x14ac:dyDescent="0.2">
      <c r="A40" t="s">
        <v>597</v>
      </c>
      <c r="B40" s="6">
        <v>8.7761491270263204E-6</v>
      </c>
      <c r="C40" t="s">
        <v>26</v>
      </c>
      <c r="D40" s="6" t="s">
        <v>8</v>
      </c>
      <c r="F40" t="s">
        <v>20</v>
      </c>
      <c r="G40" t="s">
        <v>604</v>
      </c>
      <c r="H40" t="s">
        <v>596</v>
      </c>
    </row>
    <row r="41" spans="1:8" x14ac:dyDescent="0.2">
      <c r="A41" t="s">
        <v>599</v>
      </c>
      <c r="B41" s="6">
        <v>1.7799999999999999E-6</v>
      </c>
      <c r="C41" t="s">
        <v>26</v>
      </c>
      <c r="D41" s="6" t="s">
        <v>119</v>
      </c>
      <c r="F41" t="s">
        <v>20</v>
      </c>
      <c r="G41" t="s">
        <v>604</v>
      </c>
      <c r="H41" t="s">
        <v>598</v>
      </c>
    </row>
    <row r="42" spans="1:8" x14ac:dyDescent="0.2">
      <c r="A42" t="s">
        <v>601</v>
      </c>
      <c r="B42" s="6">
        <v>1.0899999999999999E-6</v>
      </c>
      <c r="C42" t="s">
        <v>26</v>
      </c>
      <c r="D42" s="6" t="s">
        <v>119</v>
      </c>
      <c r="F42" t="s">
        <v>20</v>
      </c>
      <c r="G42" t="s">
        <v>604</v>
      </c>
      <c r="H42" t="s">
        <v>600</v>
      </c>
    </row>
    <row r="43" spans="1:8" x14ac:dyDescent="0.2">
      <c r="A43" t="s">
        <v>127</v>
      </c>
      <c r="B43" s="6">
        <f>48.7/1000000</f>
        <v>4.8700000000000005E-5</v>
      </c>
      <c r="D43" t="s">
        <v>8</v>
      </c>
      <c r="E43" t="s">
        <v>169</v>
      </c>
      <c r="F43" t="s">
        <v>36</v>
      </c>
      <c r="G43" t="s">
        <v>582</v>
      </c>
    </row>
    <row r="44" spans="1:8" x14ac:dyDescent="0.2">
      <c r="A44" t="s">
        <v>40</v>
      </c>
      <c r="B44" s="6">
        <f>17.9/1000000</f>
        <v>1.7899999999999998E-5</v>
      </c>
      <c r="D44" t="s">
        <v>8</v>
      </c>
      <c r="E44" t="s">
        <v>169</v>
      </c>
      <c r="F44" t="s">
        <v>36</v>
      </c>
      <c r="G44" t="s">
        <v>582</v>
      </c>
    </row>
    <row r="45" spans="1:8" x14ac:dyDescent="0.2">
      <c r="A45" t="s">
        <v>38</v>
      </c>
      <c r="B45" s="6">
        <f>2.56/1000000</f>
        <v>2.5600000000000001E-6</v>
      </c>
      <c r="D45" t="s">
        <v>8</v>
      </c>
      <c r="E45" t="s">
        <v>169</v>
      </c>
      <c r="F45" t="s">
        <v>36</v>
      </c>
      <c r="G45" t="s">
        <v>582</v>
      </c>
    </row>
    <row r="46" spans="1:8" x14ac:dyDescent="0.2">
      <c r="A46" t="s">
        <v>325</v>
      </c>
      <c r="B46" s="6">
        <v>8.2726189772973392E-3</v>
      </c>
      <c r="D46" t="s">
        <v>8</v>
      </c>
      <c r="E46" t="s">
        <v>169</v>
      </c>
      <c r="F46" t="s">
        <v>36</v>
      </c>
      <c r="G46" t="s">
        <v>604</v>
      </c>
    </row>
    <row r="47" spans="1:8" x14ac:dyDescent="0.2">
      <c r="A47" t="s">
        <v>172</v>
      </c>
      <c r="B47" s="6">
        <v>5.0339325658422195E-4</v>
      </c>
      <c r="D47" t="s">
        <v>8</v>
      </c>
      <c r="E47" t="s">
        <v>179</v>
      </c>
      <c r="F47" t="s">
        <v>36</v>
      </c>
      <c r="G47" t="s">
        <v>604</v>
      </c>
    </row>
    <row r="48" spans="1:8" x14ac:dyDescent="0.2">
      <c r="A48" t="s">
        <v>126</v>
      </c>
      <c r="B48" s="6">
        <v>7.7879884897428801E-5</v>
      </c>
      <c r="D48" t="s">
        <v>121</v>
      </c>
      <c r="E48" t="s">
        <v>169</v>
      </c>
      <c r="F48" t="s">
        <v>36</v>
      </c>
      <c r="G48" t="s">
        <v>604</v>
      </c>
    </row>
    <row r="49" spans="1:7" x14ac:dyDescent="0.2">
      <c r="A49" t="s">
        <v>155</v>
      </c>
      <c r="B49" s="6">
        <v>2.6117482257833102E-5</v>
      </c>
      <c r="D49" t="s">
        <v>8</v>
      </c>
      <c r="E49" t="s">
        <v>170</v>
      </c>
      <c r="F49" t="s">
        <v>36</v>
      </c>
      <c r="G49" t="s">
        <v>604</v>
      </c>
    </row>
    <row r="50" spans="1:7" x14ac:dyDescent="0.2">
      <c r="A50" t="s">
        <v>173</v>
      </c>
      <c r="B50" s="6">
        <v>8.0579124579124596E-6</v>
      </c>
      <c r="D50" t="s">
        <v>8</v>
      </c>
      <c r="E50" t="s">
        <v>171</v>
      </c>
      <c r="F50" t="s">
        <v>36</v>
      </c>
      <c r="G50" t="s">
        <v>604</v>
      </c>
    </row>
    <row r="51" spans="1:7" x14ac:dyDescent="0.2">
      <c r="A51" t="s">
        <v>168</v>
      </c>
      <c r="B51" s="6">
        <v>5.1053559825489697E-7</v>
      </c>
      <c r="D51" t="s">
        <v>8</v>
      </c>
      <c r="E51" t="s">
        <v>959</v>
      </c>
      <c r="F51" t="s">
        <v>36</v>
      </c>
      <c r="G51" t="s">
        <v>604</v>
      </c>
    </row>
    <row r="52" spans="1:7" x14ac:dyDescent="0.2">
      <c r="A52" t="s">
        <v>605</v>
      </c>
      <c r="B52" s="6">
        <v>4.2193024649165002E-7</v>
      </c>
      <c r="D52" t="s">
        <v>8</v>
      </c>
      <c r="E52" t="s">
        <v>170</v>
      </c>
      <c r="F52" t="s">
        <v>36</v>
      </c>
      <c r="G52" t="s">
        <v>604</v>
      </c>
    </row>
    <row r="53" spans="1:7" x14ac:dyDescent="0.2">
      <c r="A53" t="s">
        <v>145</v>
      </c>
      <c r="B53" s="6">
        <v>3.7045475641966902E-7</v>
      </c>
      <c r="D53" t="s">
        <v>8</v>
      </c>
      <c r="E53" t="s">
        <v>959</v>
      </c>
      <c r="F53" t="s">
        <v>36</v>
      </c>
      <c r="G53" t="s">
        <v>604</v>
      </c>
    </row>
    <row r="54" spans="1:7" x14ac:dyDescent="0.2">
      <c r="A54" t="s">
        <v>333</v>
      </c>
      <c r="B54" s="6">
        <v>3.6496966321527698E-7</v>
      </c>
      <c r="D54" t="s">
        <v>8</v>
      </c>
      <c r="E54" t="s">
        <v>170</v>
      </c>
      <c r="F54" t="s">
        <v>36</v>
      </c>
      <c r="G54" t="s">
        <v>604</v>
      </c>
    </row>
    <row r="55" spans="1:7" x14ac:dyDescent="0.2">
      <c r="A55" t="s">
        <v>138</v>
      </c>
      <c r="B55" s="6">
        <v>7.1728141903580497E-8</v>
      </c>
      <c r="D55" t="s">
        <v>8</v>
      </c>
      <c r="E55" t="s">
        <v>959</v>
      </c>
      <c r="F55" t="s">
        <v>36</v>
      </c>
      <c r="G55" t="s">
        <v>604</v>
      </c>
    </row>
    <row r="56" spans="1:7" x14ac:dyDescent="0.2">
      <c r="A56" t="s">
        <v>148</v>
      </c>
      <c r="B56" s="6">
        <v>2.0969933250635001E-8</v>
      </c>
      <c r="D56" t="s">
        <v>8</v>
      </c>
      <c r="E56" t="s">
        <v>959</v>
      </c>
      <c r="F56" t="s">
        <v>36</v>
      </c>
      <c r="G56" t="s">
        <v>604</v>
      </c>
    </row>
    <row r="57" spans="1:7" x14ac:dyDescent="0.2">
      <c r="A57" t="s">
        <v>168</v>
      </c>
      <c r="B57" s="6">
        <v>5.1053559825489597E-11</v>
      </c>
      <c r="D57" t="s">
        <v>8</v>
      </c>
      <c r="E57" t="s">
        <v>171</v>
      </c>
      <c r="F57" t="s">
        <v>36</v>
      </c>
      <c r="G57" t="s">
        <v>604</v>
      </c>
    </row>
    <row r="58" spans="1:7" x14ac:dyDescent="0.2">
      <c r="A58" t="s">
        <v>199</v>
      </c>
      <c r="B58" s="6">
        <v>3.7045475641966901E-11</v>
      </c>
      <c r="D58" t="s">
        <v>8</v>
      </c>
      <c r="E58" t="s">
        <v>171</v>
      </c>
      <c r="F58" t="s">
        <v>36</v>
      </c>
      <c r="G58" t="s">
        <v>604</v>
      </c>
    </row>
    <row r="59" spans="1:7" x14ac:dyDescent="0.2">
      <c r="A59" t="s">
        <v>202</v>
      </c>
      <c r="B59" s="6">
        <v>7.1728141903580504E-12</v>
      </c>
      <c r="D59" t="s">
        <v>8</v>
      </c>
      <c r="E59" t="s">
        <v>171</v>
      </c>
      <c r="F59" t="s">
        <v>36</v>
      </c>
      <c r="G59" t="s">
        <v>604</v>
      </c>
    </row>
    <row r="60" spans="1:7" x14ac:dyDescent="0.2">
      <c r="A60" t="s">
        <v>198</v>
      </c>
      <c r="B60" s="6">
        <v>2.0969933250635001E-12</v>
      </c>
      <c r="D60" t="s">
        <v>8</v>
      </c>
      <c r="E60" t="s">
        <v>171</v>
      </c>
      <c r="F60" t="s">
        <v>36</v>
      </c>
      <c r="G60" t="s">
        <v>604</v>
      </c>
    </row>
    <row r="61" spans="1:7" x14ac:dyDescent="0.2">
      <c r="A61" t="s">
        <v>200</v>
      </c>
      <c r="B61" s="6">
        <v>-9.704395669307951E-10</v>
      </c>
      <c r="D61" t="s">
        <v>8</v>
      </c>
      <c r="E61" t="s">
        <v>171</v>
      </c>
      <c r="F61" t="s">
        <v>36</v>
      </c>
      <c r="G61" t="s">
        <v>604</v>
      </c>
    </row>
    <row r="62" spans="1:7" x14ac:dyDescent="0.2">
      <c r="A62" t="s">
        <v>206</v>
      </c>
      <c r="B62" s="6">
        <v>-4.4724606128114898E-9</v>
      </c>
      <c r="D62" t="s">
        <v>8</v>
      </c>
      <c r="E62" t="s">
        <v>171</v>
      </c>
      <c r="F62" t="s">
        <v>36</v>
      </c>
      <c r="G62" t="s">
        <v>604</v>
      </c>
    </row>
    <row r="63" spans="1:7" x14ac:dyDescent="0.2">
      <c r="A63" t="s">
        <v>132</v>
      </c>
      <c r="B63" s="6">
        <v>-9.7043956693079499E-6</v>
      </c>
      <c r="D63" t="s">
        <v>8</v>
      </c>
      <c r="E63" t="s">
        <v>959</v>
      </c>
      <c r="F63" t="s">
        <v>36</v>
      </c>
      <c r="G63" t="s">
        <v>604</v>
      </c>
    </row>
    <row r="64" spans="1:7" x14ac:dyDescent="0.2">
      <c r="A64" t="s">
        <v>142</v>
      </c>
      <c r="B64" s="6">
        <v>-4.4724606128114897E-5</v>
      </c>
      <c r="D64" t="s">
        <v>8</v>
      </c>
      <c r="E64" t="s">
        <v>959</v>
      </c>
      <c r="F64" t="s">
        <v>36</v>
      </c>
      <c r="G64" t="s">
        <v>604</v>
      </c>
    </row>
    <row r="66" spans="1:8" ht="16" x14ac:dyDescent="0.2">
      <c r="A66" s="1" t="s">
        <v>1</v>
      </c>
      <c r="B66" s="71" t="s">
        <v>606</v>
      </c>
    </row>
    <row r="67" spans="1:8" x14ac:dyDescent="0.2">
      <c r="A67" t="s">
        <v>2</v>
      </c>
      <c r="B67" s="6" t="s">
        <v>563</v>
      </c>
    </row>
    <row r="68" spans="1:8" x14ac:dyDescent="0.2">
      <c r="A68" t="s">
        <v>3</v>
      </c>
      <c r="B68" s="6">
        <v>1</v>
      </c>
    </row>
    <row r="69" spans="1:8" ht="16" x14ac:dyDescent="0.2">
      <c r="A69" t="s">
        <v>4</v>
      </c>
      <c r="B69" s="72" t="s">
        <v>607</v>
      </c>
    </row>
    <row r="70" spans="1:8" x14ac:dyDescent="0.2">
      <c r="A70" t="s">
        <v>5</v>
      </c>
      <c r="B70" s="6" t="s">
        <v>6</v>
      </c>
    </row>
    <row r="71" spans="1:8" x14ac:dyDescent="0.2">
      <c r="A71" t="s">
        <v>7</v>
      </c>
      <c r="B71" s="6" t="s">
        <v>8</v>
      </c>
    </row>
    <row r="72" spans="1:8" x14ac:dyDescent="0.2">
      <c r="A72" t="s">
        <v>9</v>
      </c>
      <c r="B72" s="6" t="s">
        <v>565</v>
      </c>
    </row>
    <row r="73" spans="1:8" x14ac:dyDescent="0.2">
      <c r="A73" t="s">
        <v>11</v>
      </c>
      <c r="B73" s="6" t="s">
        <v>613</v>
      </c>
    </row>
    <row r="74" spans="1:8" x14ac:dyDescent="0.2">
      <c r="A74" t="s">
        <v>492</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606</v>
      </c>
      <c r="B77" s="6">
        <v>1</v>
      </c>
      <c r="C77" t="s">
        <v>563</v>
      </c>
      <c r="D77" t="s">
        <v>8</v>
      </c>
      <c r="F77" t="s">
        <v>17</v>
      </c>
      <c r="G77" t="s">
        <v>18</v>
      </c>
      <c r="H77" s="2" t="s">
        <v>607</v>
      </c>
    </row>
    <row r="78" spans="1:8" ht="16" x14ac:dyDescent="0.2">
      <c r="A78" s="2" t="s">
        <v>562</v>
      </c>
      <c r="B78" s="74">
        <v>5.74</v>
      </c>
      <c r="C78" t="s">
        <v>563</v>
      </c>
      <c r="D78" t="s">
        <v>8</v>
      </c>
      <c r="F78" t="s">
        <v>20</v>
      </c>
      <c r="H78" s="2" t="s">
        <v>564</v>
      </c>
    </row>
    <row r="79" spans="1:8" ht="17" x14ac:dyDescent="0.2">
      <c r="A79" s="68" t="s">
        <v>608</v>
      </c>
      <c r="B79" s="75">
        <f>1.64/1000</f>
        <v>1.64E-3</v>
      </c>
      <c r="C79" t="s">
        <v>26</v>
      </c>
      <c r="D79" t="s">
        <v>8</v>
      </c>
      <c r="F79" t="s">
        <v>20</v>
      </c>
      <c r="H79" s="69" t="s">
        <v>609</v>
      </c>
    </row>
    <row r="80" spans="1:8" ht="17" x14ac:dyDescent="0.2">
      <c r="A80" s="68" t="s">
        <v>252</v>
      </c>
      <c r="B80" s="75">
        <f>92.9/1000</f>
        <v>9.290000000000001E-2</v>
      </c>
      <c r="C80" t="s">
        <v>567</v>
      </c>
      <c r="D80" t="s">
        <v>8</v>
      </c>
      <c r="F80" t="s">
        <v>20</v>
      </c>
      <c r="H80" t="s">
        <v>253</v>
      </c>
    </row>
    <row r="81" spans="1:8" ht="17" x14ac:dyDescent="0.2">
      <c r="A81" s="68" t="s">
        <v>214</v>
      </c>
      <c r="B81" s="75">
        <f>67.7/1000</f>
        <v>6.7699999999999996E-2</v>
      </c>
      <c r="C81" t="s">
        <v>567</v>
      </c>
      <c r="D81" t="s">
        <v>8</v>
      </c>
      <c r="F81" t="s">
        <v>20</v>
      </c>
      <c r="H81" t="s">
        <v>215</v>
      </c>
    </row>
    <row r="82" spans="1:8" ht="17" x14ac:dyDescent="0.2">
      <c r="A82" s="68" t="s">
        <v>610</v>
      </c>
      <c r="B82" s="75">
        <f>1.14/1000</f>
        <v>1.14E-3</v>
      </c>
      <c r="C82" t="s">
        <v>567</v>
      </c>
      <c r="D82" t="s">
        <v>8</v>
      </c>
      <c r="F82" t="s">
        <v>20</v>
      </c>
      <c r="H82" s="69" t="s">
        <v>611</v>
      </c>
    </row>
    <row r="83" spans="1:8" ht="17" x14ac:dyDescent="0.2">
      <c r="A83" s="68" t="s">
        <v>612</v>
      </c>
      <c r="B83" s="75">
        <f>374.1/1000/1000</f>
        <v>3.7410000000000004E-4</v>
      </c>
      <c r="C83" t="s">
        <v>26</v>
      </c>
      <c r="D83" t="s">
        <v>8</v>
      </c>
      <c r="F83" t="s">
        <v>20</v>
      </c>
      <c r="H83" t="s">
        <v>316</v>
      </c>
    </row>
    <row r="84" spans="1:8" ht="17" x14ac:dyDescent="0.2">
      <c r="A84" s="68" t="s">
        <v>617</v>
      </c>
      <c r="B84" s="75">
        <v>-0.22520000000000001</v>
      </c>
      <c r="C84" t="s">
        <v>619</v>
      </c>
      <c r="D84" t="s">
        <v>8</v>
      </c>
      <c r="F84" t="s">
        <v>20</v>
      </c>
      <c r="H84" t="s">
        <v>618</v>
      </c>
    </row>
    <row r="85" spans="1:8" ht="17" x14ac:dyDescent="0.2">
      <c r="A85" s="68" t="s">
        <v>620</v>
      </c>
      <c r="B85" s="75">
        <v>-0.1295</v>
      </c>
      <c r="C85" t="s">
        <v>619</v>
      </c>
      <c r="D85" t="s">
        <v>8</v>
      </c>
      <c r="F85" t="s">
        <v>20</v>
      </c>
      <c r="H85" t="s">
        <v>621</v>
      </c>
    </row>
    <row r="86" spans="1:8" ht="17" x14ac:dyDescent="0.2">
      <c r="A86" s="68" t="s">
        <v>622</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623</v>
      </c>
      <c r="B88" s="75">
        <f>0.06/1000</f>
        <v>5.9999999999999995E-5</v>
      </c>
      <c r="D88" t="s">
        <v>8</v>
      </c>
      <c r="E88" t="s">
        <v>37</v>
      </c>
      <c r="F88" t="s">
        <v>36</v>
      </c>
    </row>
    <row r="89" spans="1:8" ht="17" x14ac:dyDescent="0.2">
      <c r="A89" s="68" t="s">
        <v>624</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1097</v>
      </c>
    </row>
    <row r="94" spans="1:8" x14ac:dyDescent="0.2">
      <c r="A94" t="s">
        <v>2</v>
      </c>
      <c r="B94" s="6" t="s">
        <v>563</v>
      </c>
    </row>
    <row r="95" spans="1:8" x14ac:dyDescent="0.2">
      <c r="A95" t="s">
        <v>3</v>
      </c>
      <c r="B95" s="6">
        <v>1</v>
      </c>
    </row>
    <row r="96" spans="1:8" ht="16" x14ac:dyDescent="0.2">
      <c r="A96" t="s">
        <v>4</v>
      </c>
      <c r="B96" s="72" t="s">
        <v>607</v>
      </c>
    </row>
    <row r="97" spans="1:8" x14ac:dyDescent="0.2">
      <c r="A97" t="s">
        <v>5</v>
      </c>
      <c r="B97" s="6" t="s">
        <v>6</v>
      </c>
    </row>
    <row r="98" spans="1:8" x14ac:dyDescent="0.2">
      <c r="A98" t="s">
        <v>7</v>
      </c>
      <c r="B98" s="6" t="s">
        <v>8</v>
      </c>
    </row>
    <row r="99" spans="1:8" x14ac:dyDescent="0.2">
      <c r="A99" t="s">
        <v>9</v>
      </c>
      <c r="B99" s="6" t="s">
        <v>565</v>
      </c>
    </row>
    <row r="100" spans="1:8" x14ac:dyDescent="0.2">
      <c r="A100" t="s">
        <v>11</v>
      </c>
      <c r="B100" s="6" t="s">
        <v>613</v>
      </c>
    </row>
    <row r="101" spans="1:8" x14ac:dyDescent="0.2">
      <c r="A101" t="s">
        <v>492</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1097</v>
      </c>
      <c r="B104" s="6">
        <v>1</v>
      </c>
      <c r="C104" t="s">
        <v>563</v>
      </c>
      <c r="D104" t="s">
        <v>8</v>
      </c>
      <c r="F104" t="s">
        <v>17</v>
      </c>
      <c r="G104" t="s">
        <v>18</v>
      </c>
      <c r="H104" s="2" t="s">
        <v>607</v>
      </c>
    </row>
    <row r="105" spans="1:8" ht="16" x14ac:dyDescent="0.2">
      <c r="A105" s="2" t="s">
        <v>562</v>
      </c>
      <c r="B105" s="74">
        <v>5.74</v>
      </c>
      <c r="C105" t="s">
        <v>563</v>
      </c>
      <c r="D105" t="s">
        <v>8</v>
      </c>
      <c r="F105" t="s">
        <v>20</v>
      </c>
      <c r="H105" s="2" t="s">
        <v>564</v>
      </c>
    </row>
    <row r="106" spans="1:8" ht="17" x14ac:dyDescent="0.2">
      <c r="A106" s="68" t="s">
        <v>608</v>
      </c>
      <c r="B106" s="75">
        <f>1.64/1000</f>
        <v>1.64E-3</v>
      </c>
      <c r="C106" t="s">
        <v>26</v>
      </c>
      <c r="D106" t="s">
        <v>8</v>
      </c>
      <c r="F106" t="s">
        <v>20</v>
      </c>
      <c r="H106" s="69" t="s">
        <v>609</v>
      </c>
    </row>
    <row r="107" spans="1:8" ht="17" x14ac:dyDescent="0.2">
      <c r="A107" s="68" t="s">
        <v>252</v>
      </c>
      <c r="B107" s="75">
        <f>92.9/1000</f>
        <v>9.290000000000001E-2</v>
      </c>
      <c r="C107" t="s">
        <v>567</v>
      </c>
      <c r="D107" t="s">
        <v>8</v>
      </c>
      <c r="F107" t="s">
        <v>20</v>
      </c>
      <c r="H107" t="s">
        <v>253</v>
      </c>
    </row>
    <row r="108" spans="1:8" ht="17" x14ac:dyDescent="0.2">
      <c r="A108" s="68" t="s">
        <v>214</v>
      </c>
      <c r="B108" s="75">
        <f>67.7/1000</f>
        <v>6.7699999999999996E-2</v>
      </c>
      <c r="C108" t="s">
        <v>567</v>
      </c>
      <c r="D108" t="s">
        <v>8</v>
      </c>
      <c r="F108" t="s">
        <v>20</v>
      </c>
      <c r="H108" t="s">
        <v>215</v>
      </c>
    </row>
    <row r="109" spans="1:8" ht="17" x14ac:dyDescent="0.2">
      <c r="A109" s="68" t="s">
        <v>610</v>
      </c>
      <c r="B109" s="75">
        <f>1.14/1000</f>
        <v>1.14E-3</v>
      </c>
      <c r="C109" t="s">
        <v>567</v>
      </c>
      <c r="D109" t="s">
        <v>8</v>
      </c>
      <c r="F109" t="s">
        <v>20</v>
      </c>
      <c r="H109" s="69" t="s">
        <v>611</v>
      </c>
    </row>
    <row r="110" spans="1:8" ht="17" x14ac:dyDescent="0.2">
      <c r="A110" s="68" t="s">
        <v>612</v>
      </c>
      <c r="B110" s="75">
        <f>374.1/1000/1000</f>
        <v>3.7410000000000004E-4</v>
      </c>
      <c r="C110" t="s">
        <v>26</v>
      </c>
      <c r="D110" t="s">
        <v>8</v>
      </c>
      <c r="F110" t="s">
        <v>20</v>
      </c>
      <c r="H110" t="s">
        <v>316</v>
      </c>
    </row>
    <row r="111" spans="1:8" ht="17" x14ac:dyDescent="0.2">
      <c r="A111" s="68" t="s">
        <v>617</v>
      </c>
      <c r="B111" s="75">
        <v>-0.22520000000000001</v>
      </c>
      <c r="C111" t="s">
        <v>619</v>
      </c>
      <c r="D111" t="s">
        <v>8</v>
      </c>
      <c r="F111" t="s">
        <v>20</v>
      </c>
      <c r="H111" t="s">
        <v>618</v>
      </c>
    </row>
    <row r="112" spans="1:8" ht="17" x14ac:dyDescent="0.2">
      <c r="A112" s="68" t="s">
        <v>620</v>
      </c>
      <c r="B112" s="75">
        <v>-0.1295</v>
      </c>
      <c r="C112" t="s">
        <v>619</v>
      </c>
      <c r="D112" t="s">
        <v>8</v>
      </c>
      <c r="F112" t="s">
        <v>20</v>
      </c>
      <c r="H112" t="s">
        <v>621</v>
      </c>
    </row>
    <row r="113" spans="1:9" ht="17" x14ac:dyDescent="0.2">
      <c r="A113" s="68" t="s">
        <v>622</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623</v>
      </c>
      <c r="B115" s="75">
        <f>0.06/1000</f>
        <v>5.9999999999999995E-5</v>
      </c>
      <c r="D115" t="s">
        <v>8</v>
      </c>
      <c r="E115" t="s">
        <v>37</v>
      </c>
      <c r="F115" t="s">
        <v>36</v>
      </c>
    </row>
    <row r="116" spans="1:9" ht="17" x14ac:dyDescent="0.2">
      <c r="A116" s="68" t="s">
        <v>624</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567</v>
      </c>
      <c r="D118" s="35" t="s">
        <v>29</v>
      </c>
      <c r="E118" s="35"/>
      <c r="F118" s="35" t="s">
        <v>20</v>
      </c>
      <c r="G118" s="35"/>
      <c r="H118" s="35" t="s">
        <v>30</v>
      </c>
      <c r="I118" s="35"/>
    </row>
    <row r="119" spans="1:9" x14ac:dyDescent="0.2">
      <c r="A119" t="s">
        <v>1065</v>
      </c>
      <c r="B119" s="6">
        <f>4.2*0.975</f>
        <v>4.0949999999999998</v>
      </c>
      <c r="C119" t="s">
        <v>567</v>
      </c>
      <c r="D119" t="s">
        <v>8</v>
      </c>
      <c r="F119" s="35" t="s">
        <v>20</v>
      </c>
      <c r="H119" t="s">
        <v>1065</v>
      </c>
    </row>
    <row r="120" spans="1:9" ht="16" x14ac:dyDescent="0.2">
      <c r="A120" s="68"/>
      <c r="B120" s="75"/>
    </row>
    <row r="122" spans="1:9" ht="16" x14ac:dyDescent="0.2">
      <c r="A122" s="1" t="s">
        <v>1</v>
      </c>
      <c r="B122" s="71" t="s">
        <v>614</v>
      </c>
    </row>
    <row r="123" spans="1:9" x14ac:dyDescent="0.2">
      <c r="A123" t="s">
        <v>2</v>
      </c>
      <c r="B123" s="6" t="s">
        <v>563</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565</v>
      </c>
    </row>
    <row r="129" spans="1:10" x14ac:dyDescent="0.2">
      <c r="A129" t="s">
        <v>11</v>
      </c>
      <c r="B129" s="6" t="s">
        <v>615</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614</v>
      </c>
      <c r="B132" s="36">
        <v>1</v>
      </c>
      <c r="C132" t="s">
        <v>563</v>
      </c>
      <c r="D132" s="35" t="s">
        <v>8</v>
      </c>
      <c r="E132" s="35"/>
      <c r="F132" s="35" t="s">
        <v>17</v>
      </c>
      <c r="G132" s="35"/>
      <c r="H132" s="35"/>
      <c r="I132" s="35" t="s">
        <v>18</v>
      </c>
      <c r="J132" s="35" t="s">
        <v>337</v>
      </c>
    </row>
    <row r="133" spans="1:10" ht="16" x14ac:dyDescent="0.2">
      <c r="A133" s="2" t="s">
        <v>606</v>
      </c>
      <c r="B133" s="6">
        <v>1.00057</v>
      </c>
      <c r="C133" t="s">
        <v>563</v>
      </c>
      <c r="D133" t="s">
        <v>8</v>
      </c>
      <c r="F133" s="35" t="s">
        <v>20</v>
      </c>
      <c r="G133" t="s">
        <v>18</v>
      </c>
      <c r="I133" s="35"/>
      <c r="J133" s="80" t="s">
        <v>607</v>
      </c>
    </row>
    <row r="134" spans="1:10" x14ac:dyDescent="0.2">
      <c r="A134" s="35" t="s">
        <v>28</v>
      </c>
      <c r="B134" s="36">
        <v>6.7000000000000002E-3</v>
      </c>
      <c r="C134" t="s">
        <v>567</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619</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567</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opLeftCell="A164" workbookViewId="0">
      <selection activeCell="B171" sqref="B171"/>
    </sheetView>
  </sheetViews>
  <sheetFormatPr baseColWidth="10" defaultColWidth="8.83203125" defaultRowHeight="15" x14ac:dyDescent="0.2"/>
  <cols>
    <col min="1" max="1" width="55.5" customWidth="1"/>
    <col min="2" max="2" width="9.83203125" style="6" customWidth="1"/>
    <col min="4" max="4" width="16.6640625" customWidth="1"/>
    <col min="6" max="6" width="11.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838</v>
      </c>
    </row>
    <row r="2" spans="1:8" x14ac:dyDescent="0.2">
      <c r="A2" t="s">
        <v>2</v>
      </c>
      <c r="B2" s="6" t="s">
        <v>567</v>
      </c>
    </row>
    <row r="3" spans="1:8" x14ac:dyDescent="0.2">
      <c r="A3" t="s">
        <v>3</v>
      </c>
      <c r="B3" s="5">
        <v>1</v>
      </c>
    </row>
    <row r="4" spans="1:8" x14ac:dyDescent="0.2">
      <c r="A4" t="s">
        <v>4</v>
      </c>
      <c r="B4" s="5" t="s">
        <v>839</v>
      </c>
    </row>
    <row r="5" spans="1:8" x14ac:dyDescent="0.2">
      <c r="A5" t="s">
        <v>5</v>
      </c>
      <c r="B5" s="5" t="s">
        <v>6</v>
      </c>
    </row>
    <row r="6" spans="1:8" x14ac:dyDescent="0.2">
      <c r="A6" t="s">
        <v>7</v>
      </c>
      <c r="B6" s="5" t="s">
        <v>8</v>
      </c>
    </row>
    <row r="7" spans="1:8" x14ac:dyDescent="0.2">
      <c r="A7" t="s">
        <v>9</v>
      </c>
      <c r="B7" s="6" t="s">
        <v>627</v>
      </c>
    </row>
    <row r="8" spans="1:8" x14ac:dyDescent="0.2">
      <c r="A8" t="s">
        <v>11</v>
      </c>
      <c r="B8" s="5" t="s">
        <v>837</v>
      </c>
    </row>
    <row r="9" spans="1:8" x14ac:dyDescent="0.2">
      <c r="A9" t="s">
        <v>836</v>
      </c>
      <c r="B9" s="5">
        <v>15.15</v>
      </c>
    </row>
    <row r="10" spans="1:8" x14ac:dyDescent="0.2">
      <c r="A10" t="s">
        <v>842</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838</v>
      </c>
      <c r="B13" s="6">
        <v>1</v>
      </c>
      <c r="C13" t="s">
        <v>567</v>
      </c>
      <c r="D13" t="s">
        <v>8</v>
      </c>
      <c r="E13" t="s">
        <v>667</v>
      </c>
      <c r="F13" t="s">
        <v>17</v>
      </c>
      <c r="G13" t="s">
        <v>18</v>
      </c>
      <c r="H13" t="s">
        <v>839</v>
      </c>
    </row>
    <row r="14" spans="1:8" x14ac:dyDescent="0.2">
      <c r="A14" t="s">
        <v>838</v>
      </c>
      <c r="B14" s="6">
        <v>0.14000000000000001</v>
      </c>
      <c r="C14" t="s">
        <v>567</v>
      </c>
      <c r="D14" t="s">
        <v>8</v>
      </c>
      <c r="F14" t="s">
        <v>20</v>
      </c>
      <c r="G14" t="s">
        <v>843</v>
      </c>
      <c r="H14" t="s">
        <v>839</v>
      </c>
    </row>
    <row r="15" spans="1:8" x14ac:dyDescent="0.2">
      <c r="A15" t="s">
        <v>965</v>
      </c>
      <c r="B15" s="6">
        <v>1.6118842500000003E-4</v>
      </c>
      <c r="C15" t="s">
        <v>26</v>
      </c>
      <c r="D15" t="s">
        <v>8</v>
      </c>
      <c r="E15" t="s">
        <v>632</v>
      </c>
      <c r="F15" t="s">
        <v>20</v>
      </c>
      <c r="G15" t="s">
        <v>810</v>
      </c>
      <c r="H15" t="s">
        <v>966</v>
      </c>
    </row>
    <row r="16" spans="1:8" x14ac:dyDescent="0.2">
      <c r="A16" t="s">
        <v>42</v>
      </c>
      <c r="B16" s="6">
        <v>1.7036175000000001E-2</v>
      </c>
      <c r="C16" t="s">
        <v>626</v>
      </c>
      <c r="D16" t="s">
        <v>8</v>
      </c>
      <c r="E16" t="s">
        <v>629</v>
      </c>
      <c r="F16" t="s">
        <v>20</v>
      </c>
      <c r="G16" t="s">
        <v>811</v>
      </c>
      <c r="H16" t="s">
        <v>43</v>
      </c>
    </row>
    <row r="17" spans="1:8" x14ac:dyDescent="0.2">
      <c r="A17" t="s">
        <v>603</v>
      </c>
      <c r="B17" s="6">
        <v>8.8036915646023683E-7</v>
      </c>
      <c r="C17" t="s">
        <v>26</v>
      </c>
      <c r="D17" t="s">
        <v>8</v>
      </c>
      <c r="E17" t="s">
        <v>629</v>
      </c>
      <c r="F17" t="s">
        <v>20</v>
      </c>
      <c r="G17" t="s">
        <v>767</v>
      </c>
      <c r="H17" t="s">
        <v>602</v>
      </c>
    </row>
    <row r="18" spans="1:8" x14ac:dyDescent="0.2">
      <c r="A18" t="s">
        <v>44</v>
      </c>
      <c r="B18" s="6">
        <v>3.9314249999999997E-3</v>
      </c>
      <c r="C18" t="s">
        <v>626</v>
      </c>
      <c r="D18" t="s">
        <v>8</v>
      </c>
      <c r="E18" t="s">
        <v>629</v>
      </c>
      <c r="F18" t="s">
        <v>20</v>
      </c>
      <c r="G18" t="s">
        <v>812</v>
      </c>
      <c r="H18" t="s">
        <v>45</v>
      </c>
    </row>
    <row r="19" spans="1:8" x14ac:dyDescent="0.2">
      <c r="A19" t="s">
        <v>46</v>
      </c>
      <c r="B19" s="6">
        <v>2.6209500000000004E-3</v>
      </c>
      <c r="C19" t="s">
        <v>626</v>
      </c>
      <c r="D19" t="s">
        <v>8</v>
      </c>
      <c r="E19" t="s">
        <v>629</v>
      </c>
      <c r="F19" t="s">
        <v>20</v>
      </c>
      <c r="G19" t="s">
        <v>812</v>
      </c>
      <c r="H19" t="s">
        <v>47</v>
      </c>
    </row>
    <row r="20" spans="1:8" x14ac:dyDescent="0.2">
      <c r="A20" t="s">
        <v>48</v>
      </c>
      <c r="B20" s="6">
        <v>3.4072350000000001E-2</v>
      </c>
      <c r="C20" t="s">
        <v>26</v>
      </c>
      <c r="D20" t="s">
        <v>8</v>
      </c>
      <c r="E20" t="s">
        <v>629</v>
      </c>
      <c r="F20" t="s">
        <v>20</v>
      </c>
      <c r="G20" t="s">
        <v>811</v>
      </c>
      <c r="H20" t="s">
        <v>49</v>
      </c>
    </row>
    <row r="21" spans="1:8" x14ac:dyDescent="0.2">
      <c r="A21" t="s">
        <v>813</v>
      </c>
      <c r="B21" s="6">
        <v>5.2419000000000007E-3</v>
      </c>
      <c r="C21" t="s">
        <v>26</v>
      </c>
      <c r="D21" t="s">
        <v>8</v>
      </c>
      <c r="E21" t="s">
        <v>629</v>
      </c>
      <c r="F21" t="s">
        <v>20</v>
      </c>
      <c r="G21" t="s">
        <v>814</v>
      </c>
      <c r="H21" t="s">
        <v>815</v>
      </c>
    </row>
    <row r="22" spans="1:8" x14ac:dyDescent="0.2">
      <c r="A22" t="s">
        <v>22</v>
      </c>
      <c r="B22" s="6">
        <v>0.50208228675</v>
      </c>
      <c r="C22" t="s">
        <v>26</v>
      </c>
      <c r="D22" t="s">
        <v>19</v>
      </c>
      <c r="E22" t="s">
        <v>629</v>
      </c>
      <c r="F22" t="s">
        <v>20</v>
      </c>
      <c r="G22" t="s">
        <v>767</v>
      </c>
      <c r="H22" t="s">
        <v>23</v>
      </c>
    </row>
    <row r="23" spans="1:8" x14ac:dyDescent="0.2">
      <c r="A23" t="s">
        <v>646</v>
      </c>
      <c r="B23" s="6">
        <v>1.8215602500000003E-4</v>
      </c>
      <c r="C23" t="s">
        <v>619</v>
      </c>
      <c r="D23" t="s">
        <v>29</v>
      </c>
      <c r="E23" t="s">
        <v>632</v>
      </c>
      <c r="F23" t="s">
        <v>20</v>
      </c>
      <c r="G23" t="s">
        <v>810</v>
      </c>
      <c r="H23" t="s">
        <v>648</v>
      </c>
    </row>
    <row r="24" spans="1:8" x14ac:dyDescent="0.2">
      <c r="A24" t="s">
        <v>646</v>
      </c>
      <c r="B24" s="6">
        <v>1.4155344702750001E-3</v>
      </c>
      <c r="C24" t="s">
        <v>619</v>
      </c>
      <c r="D24" t="s">
        <v>29</v>
      </c>
      <c r="E24" t="s">
        <v>632</v>
      </c>
      <c r="F24" t="s">
        <v>20</v>
      </c>
      <c r="G24" t="s">
        <v>816</v>
      </c>
      <c r="H24" t="s">
        <v>648</v>
      </c>
    </row>
    <row r="25" spans="1:8" x14ac:dyDescent="0.2">
      <c r="A25" t="s">
        <v>352</v>
      </c>
      <c r="B25" s="6">
        <v>4.3250000000000004E-2</v>
      </c>
      <c r="C25" t="s">
        <v>567</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790</v>
      </c>
    </row>
    <row r="28" spans="1:8" x14ac:dyDescent="0.2">
      <c r="A28" t="s">
        <v>1029</v>
      </c>
      <c r="B28" s="6">
        <f>0.458*(44/12)*(1-B10)</f>
        <v>1.4526233333333334</v>
      </c>
      <c r="D28" t="s">
        <v>8</v>
      </c>
      <c r="E28" t="s">
        <v>1030</v>
      </c>
      <c r="F28" t="s">
        <v>36</v>
      </c>
      <c r="G28" t="s">
        <v>869</v>
      </c>
    </row>
    <row r="29" spans="1:8" x14ac:dyDescent="0.2">
      <c r="A29" t="s">
        <v>194</v>
      </c>
      <c r="B29" s="6">
        <v>1.4921511126444715</v>
      </c>
      <c r="D29" t="s">
        <v>113</v>
      </c>
      <c r="E29" t="s">
        <v>114</v>
      </c>
      <c r="F29" t="s">
        <v>36</v>
      </c>
      <c r="G29" t="s">
        <v>850</v>
      </c>
    </row>
    <row r="30" spans="1:8" x14ac:dyDescent="0.2">
      <c r="A30" t="s">
        <v>195</v>
      </c>
      <c r="B30" s="6">
        <v>1.4921511126444715</v>
      </c>
      <c r="D30" t="s">
        <v>115</v>
      </c>
      <c r="E30" t="s">
        <v>114</v>
      </c>
      <c r="F30" t="s">
        <v>36</v>
      </c>
      <c r="G30" t="s">
        <v>844</v>
      </c>
    </row>
    <row r="31" spans="1:8" x14ac:dyDescent="0.2">
      <c r="A31" t="s">
        <v>196</v>
      </c>
      <c r="B31" s="6">
        <v>1.4921511126444715</v>
      </c>
      <c r="D31" t="s">
        <v>115</v>
      </c>
      <c r="E31" t="s">
        <v>114</v>
      </c>
      <c r="F31" t="s">
        <v>36</v>
      </c>
      <c r="G31" t="s">
        <v>844</v>
      </c>
    </row>
    <row r="32" spans="1:8" x14ac:dyDescent="0.2">
      <c r="A32" t="s">
        <v>120</v>
      </c>
      <c r="B32" s="6">
        <v>0.12318</v>
      </c>
      <c r="C32" t="s">
        <v>958</v>
      </c>
      <c r="D32" t="s">
        <v>121</v>
      </c>
      <c r="F32" t="s">
        <v>20</v>
      </c>
      <c r="G32" t="s">
        <v>885</v>
      </c>
      <c r="H32" t="s">
        <v>122</v>
      </c>
    </row>
    <row r="33" spans="1:8" x14ac:dyDescent="0.2">
      <c r="A33" t="s">
        <v>960</v>
      </c>
      <c r="B33" s="6">
        <v>9.4816999999999999E-2</v>
      </c>
      <c r="C33" t="s">
        <v>26</v>
      </c>
      <c r="D33" t="s">
        <v>8</v>
      </c>
      <c r="F33" t="s">
        <v>20</v>
      </c>
      <c r="G33" t="s">
        <v>885</v>
      </c>
      <c r="H33" t="s">
        <v>886</v>
      </c>
    </row>
    <row r="34" spans="1:8" x14ac:dyDescent="0.2">
      <c r="A34" t="s">
        <v>887</v>
      </c>
      <c r="B34" s="6">
        <v>1.0309E-3</v>
      </c>
      <c r="C34" t="s">
        <v>26</v>
      </c>
      <c r="D34" t="s">
        <v>8</v>
      </c>
      <c r="F34" t="s">
        <v>20</v>
      </c>
      <c r="G34" t="s">
        <v>885</v>
      </c>
      <c r="H34" t="s">
        <v>888</v>
      </c>
    </row>
    <row r="35" spans="1:8" x14ac:dyDescent="0.2">
      <c r="A35" t="s">
        <v>126</v>
      </c>
      <c r="B35" s="6">
        <v>9.7869106163119807E-2</v>
      </c>
      <c r="D35" s="3" t="s">
        <v>121</v>
      </c>
      <c r="E35" t="s">
        <v>37</v>
      </c>
      <c r="F35" t="s">
        <v>36</v>
      </c>
      <c r="G35" t="s">
        <v>885</v>
      </c>
    </row>
    <row r="36" spans="1:8" x14ac:dyDescent="0.2">
      <c r="A36" t="s">
        <v>172</v>
      </c>
      <c r="B36" s="6">
        <v>4.4565595999999999E-2</v>
      </c>
      <c r="D36" s="3" t="s">
        <v>8</v>
      </c>
      <c r="E36" t="s">
        <v>179</v>
      </c>
      <c r="F36" t="s">
        <v>36</v>
      </c>
      <c r="G36" t="s">
        <v>885</v>
      </c>
    </row>
    <row r="37" spans="1:8" x14ac:dyDescent="0.2">
      <c r="A37" t="s">
        <v>126</v>
      </c>
      <c r="B37" s="6">
        <v>2.02513292048042E-2</v>
      </c>
      <c r="D37" s="3" t="s">
        <v>121</v>
      </c>
      <c r="E37" t="s">
        <v>179</v>
      </c>
      <c r="F37" t="s">
        <v>36</v>
      </c>
      <c r="G37" t="s">
        <v>885</v>
      </c>
    </row>
    <row r="38" spans="1:8" x14ac:dyDescent="0.2">
      <c r="A38" t="s">
        <v>325</v>
      </c>
      <c r="B38" s="6">
        <v>1.9012000000000001E-2</v>
      </c>
      <c r="D38" s="3" t="s">
        <v>8</v>
      </c>
      <c r="E38" t="s">
        <v>169</v>
      </c>
      <c r="F38" t="s">
        <v>36</v>
      </c>
      <c r="G38" t="s">
        <v>885</v>
      </c>
    </row>
    <row r="39" spans="1:8" x14ac:dyDescent="0.2">
      <c r="A39" t="s">
        <v>126</v>
      </c>
      <c r="B39" s="6">
        <v>5.0628323012010404E-3</v>
      </c>
      <c r="D39" s="3" t="s">
        <v>121</v>
      </c>
      <c r="E39" t="s">
        <v>171</v>
      </c>
      <c r="F39" t="s">
        <v>36</v>
      </c>
      <c r="G39" t="s">
        <v>885</v>
      </c>
    </row>
    <row r="40" spans="1:8" x14ac:dyDescent="0.2">
      <c r="A40" t="s">
        <v>127</v>
      </c>
      <c r="B40" s="6">
        <v>2.7937330000000001E-3</v>
      </c>
      <c r="D40" s="3" t="s">
        <v>8</v>
      </c>
      <c r="E40" t="s">
        <v>169</v>
      </c>
      <c r="F40" t="s">
        <v>36</v>
      </c>
      <c r="G40" t="s">
        <v>885</v>
      </c>
    </row>
    <row r="41" spans="1:8" x14ac:dyDescent="0.2">
      <c r="A41" t="s">
        <v>38</v>
      </c>
      <c r="B41" s="6">
        <v>1.5043812000000001E-4</v>
      </c>
      <c r="D41" s="3" t="s">
        <v>8</v>
      </c>
      <c r="E41" t="s">
        <v>169</v>
      </c>
      <c r="F41" t="s">
        <v>36</v>
      </c>
      <c r="G41" t="s">
        <v>885</v>
      </c>
    </row>
    <row r="42" spans="1:8" x14ac:dyDescent="0.2">
      <c r="A42" t="s">
        <v>889</v>
      </c>
      <c r="B42" s="6">
        <v>9.7411999999999995E-5</v>
      </c>
      <c r="D42" s="3" t="s">
        <v>8</v>
      </c>
      <c r="E42" t="s">
        <v>170</v>
      </c>
      <c r="F42" t="s">
        <v>36</v>
      </c>
      <c r="G42" t="s">
        <v>885</v>
      </c>
    </row>
    <row r="43" spans="1:8" x14ac:dyDescent="0.2">
      <c r="A43" t="s">
        <v>174</v>
      </c>
      <c r="B43" s="6">
        <v>9.3309999999999999E-5</v>
      </c>
      <c r="D43" s="3" t="s">
        <v>8</v>
      </c>
      <c r="E43" t="s">
        <v>171</v>
      </c>
      <c r="F43" t="s">
        <v>36</v>
      </c>
      <c r="G43" t="s">
        <v>885</v>
      </c>
    </row>
    <row r="44" spans="1:8" x14ac:dyDescent="0.2">
      <c r="A44" t="s">
        <v>890</v>
      </c>
      <c r="B44" s="6">
        <v>6.7764999999999999E-5</v>
      </c>
      <c r="D44" s="3" t="s">
        <v>8</v>
      </c>
      <c r="E44" t="s">
        <v>170</v>
      </c>
      <c r="F44" t="s">
        <v>36</v>
      </c>
      <c r="G44" t="s">
        <v>885</v>
      </c>
    </row>
    <row r="45" spans="1:8" x14ac:dyDescent="0.2">
      <c r="A45" t="s">
        <v>155</v>
      </c>
      <c r="B45" s="6">
        <v>5.3312000000000001E-5</v>
      </c>
      <c r="D45" s="3" t="s">
        <v>8</v>
      </c>
      <c r="E45" t="s">
        <v>170</v>
      </c>
      <c r="F45" t="s">
        <v>36</v>
      </c>
      <c r="G45" t="s">
        <v>885</v>
      </c>
    </row>
    <row r="46" spans="1:8" x14ac:dyDescent="0.2">
      <c r="A46" t="s">
        <v>891</v>
      </c>
      <c r="B46" s="6">
        <v>4.1820000000000003E-5</v>
      </c>
      <c r="D46" s="3" t="s">
        <v>8</v>
      </c>
      <c r="E46" t="s">
        <v>170</v>
      </c>
      <c r="F46" t="s">
        <v>36</v>
      </c>
      <c r="G46" t="s">
        <v>885</v>
      </c>
    </row>
    <row r="47" spans="1:8" x14ac:dyDescent="0.2">
      <c r="A47" t="s">
        <v>174</v>
      </c>
      <c r="B47" s="6">
        <v>3.1767000000000003E-5</v>
      </c>
      <c r="D47" s="3" t="s">
        <v>8</v>
      </c>
      <c r="E47" t="s">
        <v>179</v>
      </c>
      <c r="F47" t="s">
        <v>36</v>
      </c>
      <c r="G47" t="s">
        <v>885</v>
      </c>
    </row>
    <row r="48" spans="1:8" x14ac:dyDescent="0.2">
      <c r="A48" t="s">
        <v>892</v>
      </c>
      <c r="B48" s="6">
        <v>2.8062999999999999E-5</v>
      </c>
      <c r="D48" s="3" t="s">
        <v>8</v>
      </c>
      <c r="E48" t="s">
        <v>170</v>
      </c>
      <c r="F48" t="s">
        <v>36</v>
      </c>
      <c r="G48" t="s">
        <v>885</v>
      </c>
    </row>
    <row r="49" spans="1:7" x14ac:dyDescent="0.2">
      <c r="A49" t="s">
        <v>893</v>
      </c>
      <c r="B49" s="6">
        <v>2.6434000000000001E-5</v>
      </c>
      <c r="D49" s="3" t="s">
        <v>8</v>
      </c>
      <c r="E49" t="s">
        <v>170</v>
      </c>
      <c r="F49" t="s">
        <v>36</v>
      </c>
      <c r="G49" t="s">
        <v>885</v>
      </c>
    </row>
    <row r="50" spans="1:7" x14ac:dyDescent="0.2">
      <c r="A50" t="s">
        <v>894</v>
      </c>
      <c r="B50" s="6">
        <v>2.5826999999999999E-5</v>
      </c>
      <c r="D50" s="3" t="s">
        <v>8</v>
      </c>
      <c r="E50" t="s">
        <v>170</v>
      </c>
      <c r="F50" t="s">
        <v>36</v>
      </c>
      <c r="G50" t="s">
        <v>885</v>
      </c>
    </row>
    <row r="51" spans="1:7" x14ac:dyDescent="0.2">
      <c r="A51" t="s">
        <v>895</v>
      </c>
      <c r="B51" s="6">
        <v>2.2212999999999999E-5</v>
      </c>
      <c r="D51" s="3" t="s">
        <v>8</v>
      </c>
      <c r="E51" t="s">
        <v>170</v>
      </c>
      <c r="F51" t="s">
        <v>36</v>
      </c>
      <c r="G51" t="s">
        <v>885</v>
      </c>
    </row>
    <row r="52" spans="1:7" x14ac:dyDescent="0.2">
      <c r="A52" t="s">
        <v>896</v>
      </c>
      <c r="B52" s="6">
        <v>2.0055999999999999E-5</v>
      </c>
      <c r="D52" s="3" t="s">
        <v>8</v>
      </c>
      <c r="E52" t="s">
        <v>170</v>
      </c>
      <c r="F52" t="s">
        <v>36</v>
      </c>
      <c r="G52" t="s">
        <v>885</v>
      </c>
    </row>
    <row r="53" spans="1:7" x14ac:dyDescent="0.2">
      <c r="A53" t="s">
        <v>897</v>
      </c>
      <c r="B53" s="6">
        <v>1.9833000000000001E-5</v>
      </c>
      <c r="D53" s="3" t="s">
        <v>8</v>
      </c>
      <c r="E53" t="s">
        <v>170</v>
      </c>
      <c r="F53" t="s">
        <v>36</v>
      </c>
      <c r="G53" t="s">
        <v>885</v>
      </c>
    </row>
    <row r="54" spans="1:7" x14ac:dyDescent="0.2">
      <c r="A54" t="s">
        <v>173</v>
      </c>
      <c r="B54" s="6">
        <v>1.8723999999999999E-5</v>
      </c>
      <c r="D54" s="3" t="s">
        <v>8</v>
      </c>
      <c r="E54" t="s">
        <v>171</v>
      </c>
      <c r="F54" t="s">
        <v>36</v>
      </c>
      <c r="G54" t="s">
        <v>885</v>
      </c>
    </row>
    <row r="55" spans="1:7" x14ac:dyDescent="0.2">
      <c r="A55" t="s">
        <v>131</v>
      </c>
      <c r="B55" s="6">
        <v>1.5024E-5</v>
      </c>
      <c r="D55" s="3" t="s">
        <v>8</v>
      </c>
      <c r="E55" t="s">
        <v>170</v>
      </c>
      <c r="F55" t="s">
        <v>36</v>
      </c>
      <c r="G55" t="s">
        <v>885</v>
      </c>
    </row>
    <row r="56" spans="1:7" x14ac:dyDescent="0.2">
      <c r="A56" t="s">
        <v>898</v>
      </c>
      <c r="B56" s="6">
        <v>1.1124999999999999E-5</v>
      </c>
      <c r="D56" s="3" t="s">
        <v>8</v>
      </c>
      <c r="E56" t="s">
        <v>170</v>
      </c>
      <c r="F56" t="s">
        <v>36</v>
      </c>
      <c r="G56" t="s">
        <v>885</v>
      </c>
    </row>
    <row r="57" spans="1:7" x14ac:dyDescent="0.2">
      <c r="A57" t="s">
        <v>899</v>
      </c>
      <c r="B57" s="6">
        <v>7.9096999999999998E-6</v>
      </c>
      <c r="D57" s="3" t="s">
        <v>8</v>
      </c>
      <c r="E57" t="s">
        <v>170</v>
      </c>
      <c r="F57" t="s">
        <v>36</v>
      </c>
      <c r="G57" t="s">
        <v>885</v>
      </c>
    </row>
    <row r="58" spans="1:7" x14ac:dyDescent="0.2">
      <c r="A58" t="s">
        <v>900</v>
      </c>
      <c r="B58" s="6">
        <v>7.0283000000000001E-6</v>
      </c>
      <c r="D58" s="3" t="s">
        <v>8</v>
      </c>
      <c r="E58" t="s">
        <v>170</v>
      </c>
      <c r="F58" t="s">
        <v>36</v>
      </c>
      <c r="G58" t="s">
        <v>885</v>
      </c>
    </row>
    <row r="59" spans="1:7" x14ac:dyDescent="0.2">
      <c r="A59" t="s">
        <v>901</v>
      </c>
      <c r="B59" s="6">
        <v>6.9120000000000001E-6</v>
      </c>
      <c r="D59" s="3" t="s">
        <v>8</v>
      </c>
      <c r="E59" t="s">
        <v>170</v>
      </c>
      <c r="F59" t="s">
        <v>36</v>
      </c>
      <c r="G59" t="s">
        <v>885</v>
      </c>
    </row>
    <row r="60" spans="1:7" x14ac:dyDescent="0.2">
      <c r="A60" t="s">
        <v>902</v>
      </c>
      <c r="B60" s="6">
        <v>6.2171000000000002E-6</v>
      </c>
      <c r="D60" s="3" t="s">
        <v>8</v>
      </c>
      <c r="E60" t="s">
        <v>170</v>
      </c>
      <c r="F60" t="s">
        <v>36</v>
      </c>
      <c r="G60" t="s">
        <v>885</v>
      </c>
    </row>
    <row r="61" spans="1:7" x14ac:dyDescent="0.2">
      <c r="A61" t="s">
        <v>212</v>
      </c>
      <c r="B61" s="6">
        <v>6.1940000000000003E-6</v>
      </c>
      <c r="D61" s="3" t="s">
        <v>8</v>
      </c>
      <c r="E61" t="s">
        <v>170</v>
      </c>
      <c r="F61" t="s">
        <v>36</v>
      </c>
      <c r="G61" t="s">
        <v>885</v>
      </c>
    </row>
    <row r="62" spans="1:7" x14ac:dyDescent="0.2">
      <c r="A62" t="s">
        <v>903</v>
      </c>
      <c r="B62" s="6">
        <v>5.2755999999999999E-6</v>
      </c>
      <c r="D62" s="3" t="s">
        <v>8</v>
      </c>
      <c r="E62" t="s">
        <v>170</v>
      </c>
      <c r="F62" t="s">
        <v>36</v>
      </c>
      <c r="G62" t="s">
        <v>885</v>
      </c>
    </row>
    <row r="63" spans="1:7" x14ac:dyDescent="0.2">
      <c r="A63" t="s">
        <v>904</v>
      </c>
      <c r="B63" s="6">
        <v>4.318E-6</v>
      </c>
      <c r="D63" s="3" t="s">
        <v>8</v>
      </c>
      <c r="E63" t="s">
        <v>170</v>
      </c>
      <c r="F63" t="s">
        <v>36</v>
      </c>
      <c r="G63" t="s">
        <v>885</v>
      </c>
    </row>
    <row r="64" spans="1:7" x14ac:dyDescent="0.2">
      <c r="A64" t="s">
        <v>905</v>
      </c>
      <c r="B64" s="6">
        <v>4.2709000000000001E-6</v>
      </c>
      <c r="D64" s="3" t="s">
        <v>8</v>
      </c>
      <c r="E64" t="s">
        <v>170</v>
      </c>
      <c r="F64" t="s">
        <v>36</v>
      </c>
      <c r="G64" t="s">
        <v>885</v>
      </c>
    </row>
    <row r="65" spans="1:7" x14ac:dyDescent="0.2">
      <c r="A65" t="s">
        <v>906</v>
      </c>
      <c r="B65" s="6">
        <v>4.0783000000000004E-6</v>
      </c>
      <c r="D65" s="3" t="s">
        <v>8</v>
      </c>
      <c r="E65" t="s">
        <v>170</v>
      </c>
      <c r="F65" t="s">
        <v>36</v>
      </c>
      <c r="G65" t="s">
        <v>885</v>
      </c>
    </row>
    <row r="66" spans="1:7" x14ac:dyDescent="0.2">
      <c r="A66" t="s">
        <v>907</v>
      </c>
      <c r="B66" s="6">
        <v>3.9253999999999997E-6</v>
      </c>
      <c r="D66" s="3" t="s">
        <v>8</v>
      </c>
      <c r="E66" t="s">
        <v>170</v>
      </c>
      <c r="F66" t="s">
        <v>36</v>
      </c>
      <c r="G66" t="s">
        <v>885</v>
      </c>
    </row>
    <row r="67" spans="1:7" x14ac:dyDescent="0.2">
      <c r="A67" t="s">
        <v>908</v>
      </c>
      <c r="B67" s="6">
        <v>2.9745000000000001E-6</v>
      </c>
      <c r="D67" s="3" t="s">
        <v>8</v>
      </c>
      <c r="E67" t="s">
        <v>170</v>
      </c>
      <c r="F67" t="s">
        <v>36</v>
      </c>
      <c r="G67" t="s">
        <v>885</v>
      </c>
    </row>
    <row r="68" spans="1:7" x14ac:dyDescent="0.2">
      <c r="A68" t="s">
        <v>199</v>
      </c>
      <c r="B68" s="6">
        <v>2.8890000000000002E-6</v>
      </c>
      <c r="D68" s="3" t="s">
        <v>8</v>
      </c>
      <c r="E68" t="s">
        <v>179</v>
      </c>
      <c r="F68" t="s">
        <v>36</v>
      </c>
      <c r="G68" t="s">
        <v>885</v>
      </c>
    </row>
    <row r="69" spans="1:7" x14ac:dyDescent="0.2">
      <c r="A69" t="s">
        <v>909</v>
      </c>
      <c r="B69" s="6">
        <v>2.7584000000000001E-6</v>
      </c>
      <c r="D69" s="3" t="s">
        <v>8</v>
      </c>
      <c r="E69" t="s">
        <v>170</v>
      </c>
      <c r="F69" t="s">
        <v>36</v>
      </c>
      <c r="G69" t="s">
        <v>885</v>
      </c>
    </row>
    <row r="70" spans="1:7" x14ac:dyDescent="0.2">
      <c r="A70" t="s">
        <v>145</v>
      </c>
      <c r="B70" s="6">
        <v>2.7493000000000001E-6</v>
      </c>
      <c r="D70" s="3" t="s">
        <v>8</v>
      </c>
      <c r="E70" t="s">
        <v>170</v>
      </c>
      <c r="F70" t="s">
        <v>36</v>
      </c>
      <c r="G70" t="s">
        <v>885</v>
      </c>
    </row>
    <row r="71" spans="1:7" x14ac:dyDescent="0.2">
      <c r="A71" t="s">
        <v>206</v>
      </c>
      <c r="B71" s="6">
        <v>2.2033999999999999E-6</v>
      </c>
      <c r="D71" s="3" t="s">
        <v>8</v>
      </c>
      <c r="E71" t="s">
        <v>179</v>
      </c>
      <c r="F71" t="s">
        <v>36</v>
      </c>
      <c r="G71" t="s">
        <v>885</v>
      </c>
    </row>
    <row r="72" spans="1:7" x14ac:dyDescent="0.2">
      <c r="A72" t="s">
        <v>910</v>
      </c>
      <c r="B72" s="6">
        <v>2.1621E-6</v>
      </c>
      <c r="D72" s="3" t="s">
        <v>8</v>
      </c>
      <c r="E72" t="s">
        <v>170</v>
      </c>
      <c r="F72" t="s">
        <v>36</v>
      </c>
      <c r="G72" t="s">
        <v>885</v>
      </c>
    </row>
    <row r="73" spans="1:7" x14ac:dyDescent="0.2">
      <c r="A73" t="s">
        <v>911</v>
      </c>
      <c r="B73" s="6">
        <v>1.8418000000000001E-6</v>
      </c>
      <c r="D73" s="3" t="s">
        <v>8</v>
      </c>
      <c r="E73" t="s">
        <v>170</v>
      </c>
      <c r="F73" t="s">
        <v>36</v>
      </c>
      <c r="G73" t="s">
        <v>885</v>
      </c>
    </row>
    <row r="74" spans="1:7" x14ac:dyDescent="0.2">
      <c r="A74" t="s">
        <v>912</v>
      </c>
      <c r="B74" s="6">
        <v>1.7949E-6</v>
      </c>
      <c r="D74" s="3" t="s">
        <v>8</v>
      </c>
      <c r="E74" t="s">
        <v>170</v>
      </c>
      <c r="F74" t="s">
        <v>36</v>
      </c>
      <c r="G74" t="s">
        <v>885</v>
      </c>
    </row>
    <row r="75" spans="1:7" x14ac:dyDescent="0.2">
      <c r="A75" t="s">
        <v>913</v>
      </c>
      <c r="B75" s="6">
        <v>1.7571000000000001E-6</v>
      </c>
      <c r="D75" s="3" t="s">
        <v>8</v>
      </c>
      <c r="E75" t="s">
        <v>170</v>
      </c>
      <c r="F75" t="s">
        <v>36</v>
      </c>
      <c r="G75" t="s">
        <v>885</v>
      </c>
    </row>
    <row r="76" spans="1:7" x14ac:dyDescent="0.2">
      <c r="A76" t="s">
        <v>914</v>
      </c>
      <c r="B76" s="6">
        <v>1.7163E-6</v>
      </c>
      <c r="D76" s="3" t="s">
        <v>8</v>
      </c>
      <c r="E76" t="s">
        <v>170</v>
      </c>
      <c r="F76" t="s">
        <v>36</v>
      </c>
      <c r="G76" t="s">
        <v>885</v>
      </c>
    </row>
    <row r="77" spans="1:7" x14ac:dyDescent="0.2">
      <c r="A77" t="s">
        <v>915</v>
      </c>
      <c r="B77" s="6">
        <v>1.4859E-6</v>
      </c>
      <c r="D77" s="3" t="s">
        <v>8</v>
      </c>
      <c r="E77" t="s">
        <v>170</v>
      </c>
      <c r="F77" t="s">
        <v>36</v>
      </c>
      <c r="G77" t="s">
        <v>885</v>
      </c>
    </row>
    <row r="78" spans="1:7" x14ac:dyDescent="0.2">
      <c r="A78" t="s">
        <v>916</v>
      </c>
      <c r="B78" s="6">
        <v>1.3882999999999999E-6</v>
      </c>
      <c r="D78" s="3" t="s">
        <v>8</v>
      </c>
      <c r="E78" t="s">
        <v>170</v>
      </c>
      <c r="F78" t="s">
        <v>36</v>
      </c>
      <c r="G78" t="s">
        <v>885</v>
      </c>
    </row>
    <row r="79" spans="1:7" x14ac:dyDescent="0.2">
      <c r="A79" t="s">
        <v>917</v>
      </c>
      <c r="B79" s="6">
        <v>1.1375999999999999E-6</v>
      </c>
      <c r="D79" s="3" t="s">
        <v>8</v>
      </c>
      <c r="E79" t="s">
        <v>170</v>
      </c>
      <c r="F79" t="s">
        <v>36</v>
      </c>
      <c r="G79" t="s">
        <v>885</v>
      </c>
    </row>
    <row r="80" spans="1:7" x14ac:dyDescent="0.2">
      <c r="A80" t="s">
        <v>148</v>
      </c>
      <c r="B80" s="6">
        <v>1.1189E-6</v>
      </c>
      <c r="D80" s="3" t="s">
        <v>8</v>
      </c>
      <c r="E80" t="s">
        <v>170</v>
      </c>
      <c r="F80" t="s">
        <v>36</v>
      </c>
      <c r="G80" t="s">
        <v>885</v>
      </c>
    </row>
    <row r="81" spans="1:7" x14ac:dyDescent="0.2">
      <c r="A81" t="s">
        <v>165</v>
      </c>
      <c r="B81" s="6">
        <v>1.1107E-6</v>
      </c>
      <c r="D81" s="3" t="s">
        <v>8</v>
      </c>
      <c r="E81" t="s">
        <v>170</v>
      </c>
      <c r="F81" t="s">
        <v>36</v>
      </c>
      <c r="G81" t="s">
        <v>885</v>
      </c>
    </row>
    <row r="82" spans="1:7" x14ac:dyDescent="0.2">
      <c r="A82" t="s">
        <v>918</v>
      </c>
      <c r="B82" s="6">
        <v>1.0217999999999999E-6</v>
      </c>
      <c r="D82" s="3" t="s">
        <v>8</v>
      </c>
      <c r="E82" t="s">
        <v>170</v>
      </c>
      <c r="F82" t="s">
        <v>36</v>
      </c>
      <c r="G82" t="s">
        <v>885</v>
      </c>
    </row>
    <row r="83" spans="1:7" x14ac:dyDescent="0.2">
      <c r="A83" t="s">
        <v>138</v>
      </c>
      <c r="B83" s="6">
        <v>9.2208000000000001E-7</v>
      </c>
      <c r="D83" s="3" t="s">
        <v>8</v>
      </c>
      <c r="E83" t="s">
        <v>170</v>
      </c>
      <c r="F83" t="s">
        <v>36</v>
      </c>
      <c r="G83" t="s">
        <v>885</v>
      </c>
    </row>
    <row r="84" spans="1:7" x14ac:dyDescent="0.2">
      <c r="A84" t="s">
        <v>919</v>
      </c>
      <c r="B84" s="6">
        <v>7.5175000000000004E-7</v>
      </c>
      <c r="D84" s="3" t="s">
        <v>8</v>
      </c>
      <c r="E84" t="s">
        <v>170</v>
      </c>
      <c r="F84" t="s">
        <v>36</v>
      </c>
      <c r="G84" t="s">
        <v>885</v>
      </c>
    </row>
    <row r="85" spans="1:7" x14ac:dyDescent="0.2">
      <c r="A85" t="s">
        <v>920</v>
      </c>
      <c r="B85" s="6">
        <v>7.1319000000000005E-7</v>
      </c>
      <c r="D85" s="3" t="s">
        <v>8</v>
      </c>
      <c r="E85" t="s">
        <v>170</v>
      </c>
      <c r="F85" t="s">
        <v>36</v>
      </c>
      <c r="G85" t="s">
        <v>885</v>
      </c>
    </row>
    <row r="86" spans="1:7" x14ac:dyDescent="0.2">
      <c r="A86" t="s">
        <v>921</v>
      </c>
      <c r="B86" s="6">
        <v>6.2196999999999995E-7</v>
      </c>
      <c r="D86" s="3" t="s">
        <v>8</v>
      </c>
      <c r="E86" t="s">
        <v>170</v>
      </c>
      <c r="F86" t="s">
        <v>36</v>
      </c>
      <c r="G86" t="s">
        <v>885</v>
      </c>
    </row>
    <row r="87" spans="1:7" x14ac:dyDescent="0.2">
      <c r="A87" t="s">
        <v>922</v>
      </c>
      <c r="B87" s="6">
        <v>5.4909E-7</v>
      </c>
      <c r="D87" s="3" t="s">
        <v>8</v>
      </c>
      <c r="E87" t="s">
        <v>170</v>
      </c>
      <c r="F87" t="s">
        <v>36</v>
      </c>
      <c r="G87" t="s">
        <v>885</v>
      </c>
    </row>
    <row r="88" spans="1:7" x14ac:dyDescent="0.2">
      <c r="A88" t="s">
        <v>923</v>
      </c>
      <c r="B88" s="6">
        <v>5.0380000000000005E-7</v>
      </c>
      <c r="D88" s="3" t="s">
        <v>8</v>
      </c>
      <c r="E88" t="s">
        <v>170</v>
      </c>
      <c r="F88" t="s">
        <v>36</v>
      </c>
      <c r="G88" t="s">
        <v>885</v>
      </c>
    </row>
    <row r="89" spans="1:7" x14ac:dyDescent="0.2">
      <c r="A89" t="s">
        <v>206</v>
      </c>
      <c r="B89" s="6">
        <v>4.4075999999999998E-7</v>
      </c>
      <c r="D89" s="3" t="s">
        <v>8</v>
      </c>
      <c r="E89" t="s">
        <v>171</v>
      </c>
      <c r="F89" t="s">
        <v>36</v>
      </c>
      <c r="G89" t="s">
        <v>885</v>
      </c>
    </row>
    <row r="90" spans="1:7" x14ac:dyDescent="0.2">
      <c r="A90" t="s">
        <v>199</v>
      </c>
      <c r="B90" s="6">
        <v>4.3709E-7</v>
      </c>
      <c r="D90" s="3" t="s">
        <v>8</v>
      </c>
      <c r="E90" t="s">
        <v>171</v>
      </c>
      <c r="F90" t="s">
        <v>36</v>
      </c>
      <c r="G90" t="s">
        <v>885</v>
      </c>
    </row>
    <row r="91" spans="1:7" x14ac:dyDescent="0.2">
      <c r="A91" t="s">
        <v>200</v>
      </c>
      <c r="B91" s="6">
        <v>4.3587E-7</v>
      </c>
      <c r="D91" s="3" t="s">
        <v>8</v>
      </c>
      <c r="E91" t="s">
        <v>179</v>
      </c>
      <c r="F91" t="s">
        <v>36</v>
      </c>
      <c r="G91" t="s">
        <v>885</v>
      </c>
    </row>
    <row r="92" spans="1:7" x14ac:dyDescent="0.2">
      <c r="A92" t="s">
        <v>924</v>
      </c>
      <c r="B92" s="6">
        <v>4.2759999999999999E-7</v>
      </c>
      <c r="D92" s="3" t="s">
        <v>8</v>
      </c>
      <c r="E92" t="s">
        <v>170</v>
      </c>
      <c r="F92" t="s">
        <v>36</v>
      </c>
      <c r="G92" t="s">
        <v>885</v>
      </c>
    </row>
    <row r="93" spans="1:7" x14ac:dyDescent="0.2">
      <c r="A93" t="s">
        <v>925</v>
      </c>
      <c r="B93" s="6">
        <v>4.1983000000000002E-7</v>
      </c>
      <c r="D93" s="3" t="s">
        <v>8</v>
      </c>
      <c r="E93" t="s">
        <v>170</v>
      </c>
      <c r="F93" t="s">
        <v>36</v>
      </c>
      <c r="G93" t="s">
        <v>885</v>
      </c>
    </row>
    <row r="94" spans="1:7" x14ac:dyDescent="0.2">
      <c r="A94" t="s">
        <v>176</v>
      </c>
      <c r="B94" s="6">
        <v>3.8739999999999999E-7</v>
      </c>
      <c r="D94" s="3" t="s">
        <v>8</v>
      </c>
      <c r="E94" t="s">
        <v>170</v>
      </c>
      <c r="F94" t="s">
        <v>36</v>
      </c>
      <c r="G94" t="s">
        <v>885</v>
      </c>
    </row>
    <row r="95" spans="1:7" x14ac:dyDescent="0.2">
      <c r="A95" t="s">
        <v>926</v>
      </c>
      <c r="B95" s="6">
        <v>3.5656000000000001E-7</v>
      </c>
      <c r="D95" s="3" t="s">
        <v>8</v>
      </c>
      <c r="E95" t="s">
        <v>170</v>
      </c>
      <c r="F95" t="s">
        <v>36</v>
      </c>
      <c r="G95" t="s">
        <v>885</v>
      </c>
    </row>
    <row r="96" spans="1:7" x14ac:dyDescent="0.2">
      <c r="A96" t="s">
        <v>927</v>
      </c>
      <c r="B96" s="6">
        <v>3.4060000000000002E-7</v>
      </c>
      <c r="D96" s="3" t="s">
        <v>8</v>
      </c>
      <c r="E96" t="s">
        <v>170</v>
      </c>
      <c r="F96" t="s">
        <v>36</v>
      </c>
      <c r="G96" t="s">
        <v>885</v>
      </c>
    </row>
    <row r="97" spans="1:7" x14ac:dyDescent="0.2">
      <c r="A97" t="s">
        <v>200</v>
      </c>
      <c r="B97" s="6">
        <v>3.2389000000000002E-7</v>
      </c>
      <c r="D97" s="3" t="s">
        <v>8</v>
      </c>
      <c r="E97" t="s">
        <v>171</v>
      </c>
      <c r="F97" t="s">
        <v>36</v>
      </c>
      <c r="G97" t="s">
        <v>885</v>
      </c>
    </row>
    <row r="98" spans="1:7" x14ac:dyDescent="0.2">
      <c r="A98" t="s">
        <v>202</v>
      </c>
      <c r="B98" s="6">
        <v>2.7991000000000002E-7</v>
      </c>
      <c r="D98" s="3" t="s">
        <v>8</v>
      </c>
      <c r="E98" t="s">
        <v>171</v>
      </c>
      <c r="F98" t="s">
        <v>36</v>
      </c>
      <c r="G98" t="s">
        <v>885</v>
      </c>
    </row>
    <row r="99" spans="1:7" x14ac:dyDescent="0.2">
      <c r="A99" t="s">
        <v>137</v>
      </c>
      <c r="B99" s="6">
        <v>2.4989999999999998E-7</v>
      </c>
      <c r="D99" s="3" t="s">
        <v>8</v>
      </c>
      <c r="E99" t="s">
        <v>170</v>
      </c>
      <c r="F99" t="s">
        <v>36</v>
      </c>
      <c r="G99" t="s">
        <v>885</v>
      </c>
    </row>
    <row r="100" spans="1:7" x14ac:dyDescent="0.2">
      <c r="A100" t="s">
        <v>928</v>
      </c>
      <c r="B100" s="6">
        <v>2.4989999999999998E-7</v>
      </c>
      <c r="D100" s="3" t="s">
        <v>8</v>
      </c>
      <c r="E100" t="s">
        <v>170</v>
      </c>
      <c r="F100" t="s">
        <v>36</v>
      </c>
      <c r="G100" t="s">
        <v>885</v>
      </c>
    </row>
    <row r="101" spans="1:7" x14ac:dyDescent="0.2">
      <c r="A101" t="s">
        <v>929</v>
      </c>
      <c r="B101" s="6">
        <v>2.0524999999999999E-7</v>
      </c>
      <c r="D101" s="3" t="s">
        <v>8</v>
      </c>
      <c r="E101" t="s">
        <v>170</v>
      </c>
      <c r="F101" t="s">
        <v>36</v>
      </c>
      <c r="G101" t="s">
        <v>885</v>
      </c>
    </row>
    <row r="102" spans="1:7" x14ac:dyDescent="0.2">
      <c r="A102" t="s">
        <v>168</v>
      </c>
      <c r="B102" s="6">
        <v>1.8220999999999999E-7</v>
      </c>
      <c r="D102" s="3" t="s">
        <v>8</v>
      </c>
      <c r="E102" t="s">
        <v>170</v>
      </c>
      <c r="F102" t="s">
        <v>36</v>
      </c>
      <c r="G102" t="s">
        <v>885</v>
      </c>
    </row>
    <row r="103" spans="1:7" x14ac:dyDescent="0.2">
      <c r="A103" t="s">
        <v>930</v>
      </c>
      <c r="B103" s="6">
        <v>1.4880999999999999E-7</v>
      </c>
      <c r="D103" s="3" t="s">
        <v>8</v>
      </c>
      <c r="E103" t="s">
        <v>170</v>
      </c>
      <c r="F103" t="s">
        <v>36</v>
      </c>
      <c r="G103" t="s">
        <v>885</v>
      </c>
    </row>
    <row r="104" spans="1:7" x14ac:dyDescent="0.2">
      <c r="A104" t="s">
        <v>142</v>
      </c>
      <c r="B104" s="6">
        <v>1.2249999999999999E-7</v>
      </c>
      <c r="D104" s="3" t="s">
        <v>8</v>
      </c>
      <c r="E104" t="s">
        <v>170</v>
      </c>
      <c r="F104" t="s">
        <v>36</v>
      </c>
      <c r="G104" t="s">
        <v>885</v>
      </c>
    </row>
    <row r="105" spans="1:7" x14ac:dyDescent="0.2">
      <c r="A105" t="s">
        <v>931</v>
      </c>
      <c r="B105" s="6">
        <v>1.1766E-7</v>
      </c>
      <c r="D105" s="3" t="s">
        <v>8</v>
      </c>
      <c r="E105" t="s">
        <v>170</v>
      </c>
      <c r="F105" t="s">
        <v>36</v>
      </c>
      <c r="G105" t="s">
        <v>885</v>
      </c>
    </row>
    <row r="106" spans="1:7" x14ac:dyDescent="0.2">
      <c r="A106" t="s">
        <v>932</v>
      </c>
      <c r="B106" s="6">
        <v>9.4035999999999996E-8</v>
      </c>
      <c r="D106" s="3" t="s">
        <v>8</v>
      </c>
      <c r="E106" t="s">
        <v>170</v>
      </c>
      <c r="F106" t="s">
        <v>36</v>
      </c>
      <c r="G106" t="s">
        <v>885</v>
      </c>
    </row>
    <row r="107" spans="1:7" x14ac:dyDescent="0.2">
      <c r="A107" t="s">
        <v>139</v>
      </c>
      <c r="B107" s="6">
        <v>8.4475999999999995E-8</v>
      </c>
      <c r="D107" s="3" t="s">
        <v>8</v>
      </c>
      <c r="E107" t="s">
        <v>170</v>
      </c>
      <c r="F107" t="s">
        <v>36</v>
      </c>
      <c r="G107" t="s">
        <v>885</v>
      </c>
    </row>
    <row r="108" spans="1:7" x14ac:dyDescent="0.2">
      <c r="A108" t="s">
        <v>933</v>
      </c>
      <c r="B108" s="6">
        <v>6.2196999999999998E-8</v>
      </c>
      <c r="D108" s="3" t="s">
        <v>8</v>
      </c>
      <c r="E108" t="s">
        <v>170</v>
      </c>
      <c r="F108" t="s">
        <v>36</v>
      </c>
      <c r="G108" t="s">
        <v>885</v>
      </c>
    </row>
    <row r="109" spans="1:7" x14ac:dyDescent="0.2">
      <c r="A109" t="s">
        <v>934</v>
      </c>
      <c r="B109" s="6">
        <v>4.7693999999999997E-8</v>
      </c>
      <c r="D109" s="3" t="s">
        <v>8</v>
      </c>
      <c r="E109" t="s">
        <v>170</v>
      </c>
      <c r="F109" t="s">
        <v>36</v>
      </c>
      <c r="G109" t="s">
        <v>885</v>
      </c>
    </row>
    <row r="110" spans="1:7" x14ac:dyDescent="0.2">
      <c r="A110" t="s">
        <v>935</v>
      </c>
      <c r="B110" s="6">
        <v>3.7021999999999999E-8</v>
      </c>
      <c r="D110" s="3" t="s">
        <v>8</v>
      </c>
      <c r="E110" t="s">
        <v>170</v>
      </c>
      <c r="F110" t="s">
        <v>36</v>
      </c>
      <c r="G110" t="s">
        <v>885</v>
      </c>
    </row>
    <row r="111" spans="1:7" x14ac:dyDescent="0.2">
      <c r="A111" t="s">
        <v>936</v>
      </c>
      <c r="B111" s="6">
        <v>3.3320000000000003E-8</v>
      </c>
      <c r="D111" s="3" t="s">
        <v>8</v>
      </c>
      <c r="E111" t="s">
        <v>170</v>
      </c>
      <c r="F111" t="s">
        <v>36</v>
      </c>
      <c r="G111" t="s">
        <v>885</v>
      </c>
    </row>
    <row r="112" spans="1:7" x14ac:dyDescent="0.2">
      <c r="A112" t="s">
        <v>937</v>
      </c>
      <c r="B112" s="6">
        <v>2.9761000000000001E-8</v>
      </c>
      <c r="D112" s="3" t="s">
        <v>8</v>
      </c>
      <c r="E112" t="s">
        <v>170</v>
      </c>
      <c r="F112" t="s">
        <v>36</v>
      </c>
      <c r="G112" t="s">
        <v>885</v>
      </c>
    </row>
    <row r="113" spans="1:7" x14ac:dyDescent="0.2">
      <c r="A113" t="s">
        <v>168</v>
      </c>
      <c r="B113" s="6">
        <v>2.9729999999999999E-8</v>
      </c>
      <c r="D113" s="3" t="s">
        <v>8</v>
      </c>
      <c r="E113" t="s">
        <v>171</v>
      </c>
      <c r="F113" t="s">
        <v>36</v>
      </c>
      <c r="G113" t="s">
        <v>885</v>
      </c>
    </row>
    <row r="114" spans="1:7" x14ac:dyDescent="0.2">
      <c r="A114" t="s">
        <v>168</v>
      </c>
      <c r="B114" s="6">
        <v>6.8733999999999999E-9</v>
      </c>
      <c r="D114" s="3" t="s">
        <v>8</v>
      </c>
      <c r="E114" t="s">
        <v>179</v>
      </c>
      <c r="F114" t="s">
        <v>36</v>
      </c>
      <c r="G114" t="s">
        <v>885</v>
      </c>
    </row>
    <row r="115" spans="1:7" x14ac:dyDescent="0.2">
      <c r="A115" t="s">
        <v>198</v>
      </c>
      <c r="B115" s="6">
        <v>6.82E-9</v>
      </c>
      <c r="D115" s="3" t="s">
        <v>8</v>
      </c>
      <c r="E115" t="s">
        <v>179</v>
      </c>
      <c r="F115" t="s">
        <v>36</v>
      </c>
      <c r="G115" t="s">
        <v>885</v>
      </c>
    </row>
    <row r="116" spans="1:7" x14ac:dyDescent="0.2">
      <c r="A116" t="s">
        <v>198</v>
      </c>
      <c r="B116" s="6">
        <v>4.3567999999999997E-9</v>
      </c>
      <c r="D116" s="3" t="s">
        <v>8</v>
      </c>
      <c r="E116" t="s">
        <v>171</v>
      </c>
      <c r="F116" t="s">
        <v>36</v>
      </c>
      <c r="G116" t="s">
        <v>885</v>
      </c>
    </row>
    <row r="117" spans="1:7" x14ac:dyDescent="0.2">
      <c r="A117" t="s">
        <v>201</v>
      </c>
      <c r="B117" s="6">
        <v>4.4635999999999998E-11</v>
      </c>
      <c r="D117" s="3" t="s">
        <v>8</v>
      </c>
      <c r="E117" t="s">
        <v>179</v>
      </c>
      <c r="F117" t="s">
        <v>36</v>
      </c>
      <c r="G117" t="s">
        <v>885</v>
      </c>
    </row>
    <row r="118" spans="1:7" x14ac:dyDescent="0.2">
      <c r="A118" t="s">
        <v>201</v>
      </c>
      <c r="B118" s="6">
        <v>3.8377000000000001E-11</v>
      </c>
      <c r="D118" s="3" t="s">
        <v>8</v>
      </c>
      <c r="E118" t="s">
        <v>171</v>
      </c>
      <c r="F118" t="s">
        <v>36</v>
      </c>
      <c r="G118" t="s">
        <v>885</v>
      </c>
    </row>
    <row r="119" spans="1:7" x14ac:dyDescent="0.2">
      <c r="A119" t="s">
        <v>201</v>
      </c>
      <c r="B119" s="6">
        <v>-1.1081E-10</v>
      </c>
      <c r="D119" s="3" t="s">
        <v>8</v>
      </c>
      <c r="E119" t="s">
        <v>170</v>
      </c>
      <c r="F119" t="s">
        <v>36</v>
      </c>
      <c r="G119" t="s">
        <v>885</v>
      </c>
    </row>
    <row r="120" spans="1:7" x14ac:dyDescent="0.2">
      <c r="A120" t="s">
        <v>132</v>
      </c>
      <c r="B120" s="6">
        <v>-1.5E-6</v>
      </c>
      <c r="D120" s="3" t="s">
        <v>8</v>
      </c>
      <c r="E120" t="s">
        <v>170</v>
      </c>
      <c r="F120" t="s">
        <v>36</v>
      </c>
      <c r="G120" t="s">
        <v>885</v>
      </c>
    </row>
    <row r="122" spans="1:7" ht="16" x14ac:dyDescent="0.2">
      <c r="A122" s="1" t="s">
        <v>1</v>
      </c>
      <c r="B122" s="71" t="s">
        <v>833</v>
      </c>
    </row>
    <row r="123" spans="1:7" x14ac:dyDescent="0.2">
      <c r="A123" t="s">
        <v>2</v>
      </c>
      <c r="B123" s="6" t="s">
        <v>567</v>
      </c>
    </row>
    <row r="124" spans="1:7" x14ac:dyDescent="0.2">
      <c r="A124" t="s">
        <v>3</v>
      </c>
      <c r="B124" s="6">
        <v>1</v>
      </c>
    </row>
    <row r="125" spans="1:7" ht="16" x14ac:dyDescent="0.2">
      <c r="A125" t="s">
        <v>4</v>
      </c>
      <c r="B125" s="72" t="s">
        <v>1007</v>
      </c>
    </row>
    <row r="126" spans="1:7" x14ac:dyDescent="0.2">
      <c r="A126" t="s">
        <v>5</v>
      </c>
      <c r="B126" s="6" t="s">
        <v>6</v>
      </c>
    </row>
    <row r="127" spans="1:7" x14ac:dyDescent="0.2">
      <c r="A127" t="s">
        <v>9</v>
      </c>
      <c r="B127" s="6" t="s">
        <v>627</v>
      </c>
    </row>
    <row r="128" spans="1:7" x14ac:dyDescent="0.2">
      <c r="A128" t="s">
        <v>834</v>
      </c>
      <c r="B128" s="6" t="s">
        <v>835</v>
      </c>
    </row>
    <row r="129" spans="1:8" x14ac:dyDescent="0.2">
      <c r="A129" t="s">
        <v>7</v>
      </c>
      <c r="B129" s="6" t="s">
        <v>8</v>
      </c>
    </row>
    <row r="130" spans="1:8" x14ac:dyDescent="0.2">
      <c r="A130" t="s">
        <v>492</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833</v>
      </c>
      <c r="B133" s="6">
        <v>1</v>
      </c>
      <c r="C133" t="s">
        <v>567</v>
      </c>
      <c r="D133" t="s">
        <v>8</v>
      </c>
      <c r="E133" t="s">
        <v>667</v>
      </c>
      <c r="F133" t="s">
        <v>17</v>
      </c>
      <c r="G133" t="s">
        <v>668</v>
      </c>
      <c r="H133" s="72" t="s">
        <v>1007</v>
      </c>
    </row>
    <row r="134" spans="1:8" x14ac:dyDescent="0.2">
      <c r="A134" t="s">
        <v>838</v>
      </c>
      <c r="B134" s="6">
        <f>29.2388/B27</f>
        <v>2.2311604570861712</v>
      </c>
      <c r="C134" t="s">
        <v>567</v>
      </c>
      <c r="D134" t="s">
        <v>8</v>
      </c>
      <c r="E134" t="s">
        <v>629</v>
      </c>
      <c r="F134" t="s">
        <v>20</v>
      </c>
      <c r="G134" t="s">
        <v>669</v>
      </c>
      <c r="H134" t="s">
        <v>839</v>
      </c>
    </row>
    <row r="135" spans="1:8" x14ac:dyDescent="0.2">
      <c r="A135" t="s">
        <v>254</v>
      </c>
      <c r="B135" s="6">
        <v>3.1463199999999998E-3</v>
      </c>
      <c r="C135" t="s">
        <v>567</v>
      </c>
      <c r="D135" t="s">
        <v>8</v>
      </c>
      <c r="E135" t="s">
        <v>629</v>
      </c>
      <c r="F135" t="s">
        <v>20</v>
      </c>
      <c r="G135" t="s">
        <v>670</v>
      </c>
      <c r="H135" t="s">
        <v>256</v>
      </c>
    </row>
    <row r="136" spans="1:8" x14ac:dyDescent="0.2">
      <c r="A136" t="s">
        <v>631</v>
      </c>
      <c r="B136" s="6">
        <v>5.8799200000000003</v>
      </c>
      <c r="C136" t="s">
        <v>567</v>
      </c>
      <c r="D136" t="s">
        <v>19</v>
      </c>
      <c r="E136" t="s">
        <v>632</v>
      </c>
      <c r="F136" t="s">
        <v>20</v>
      </c>
      <c r="G136" t="s">
        <v>671</v>
      </c>
      <c r="H136" t="s">
        <v>634</v>
      </c>
    </row>
    <row r="137" spans="1:8" x14ac:dyDescent="0.2">
      <c r="A137" t="s">
        <v>386</v>
      </c>
      <c r="B137" s="6">
        <v>7.8657999999999992E-3</v>
      </c>
      <c r="C137" t="s">
        <v>26</v>
      </c>
      <c r="D137" t="s">
        <v>8</v>
      </c>
      <c r="E137" t="s">
        <v>629</v>
      </c>
      <c r="F137" t="s">
        <v>20</v>
      </c>
      <c r="G137" t="s">
        <v>670</v>
      </c>
      <c r="H137" t="s">
        <v>387</v>
      </c>
    </row>
    <row r="138" spans="1:8" x14ac:dyDescent="0.2">
      <c r="A138" t="s">
        <v>252</v>
      </c>
      <c r="B138" s="6">
        <v>6.2926399999999995E-3</v>
      </c>
      <c r="C138" t="s">
        <v>567</v>
      </c>
      <c r="D138" t="s">
        <v>8</v>
      </c>
      <c r="E138" t="s">
        <v>629</v>
      </c>
      <c r="F138" t="s">
        <v>20</v>
      </c>
      <c r="G138" t="s">
        <v>670</v>
      </c>
      <c r="H138" t="s">
        <v>253</v>
      </c>
    </row>
    <row r="139" spans="1:8" x14ac:dyDescent="0.2">
      <c r="A139" t="s">
        <v>100</v>
      </c>
      <c r="B139" s="6">
        <v>0.38056000000000001</v>
      </c>
      <c r="C139" t="s">
        <v>619</v>
      </c>
      <c r="D139" t="s">
        <v>41</v>
      </c>
      <c r="E139" t="s">
        <v>632</v>
      </c>
      <c r="F139" t="s">
        <v>20</v>
      </c>
      <c r="G139" t="s">
        <v>640</v>
      </c>
      <c r="H139" t="s">
        <v>103</v>
      </c>
    </row>
    <row r="140" spans="1:8" x14ac:dyDescent="0.2">
      <c r="A140" t="s">
        <v>97</v>
      </c>
      <c r="B140" s="6">
        <v>0.15276000000000001</v>
      </c>
      <c r="C140" t="s">
        <v>567</v>
      </c>
      <c r="D140" t="s">
        <v>41</v>
      </c>
      <c r="E140" t="s">
        <v>632</v>
      </c>
      <c r="F140" t="s">
        <v>20</v>
      </c>
      <c r="G140" t="s">
        <v>641</v>
      </c>
      <c r="H140" t="s">
        <v>98</v>
      </c>
    </row>
    <row r="141" spans="1:8" x14ac:dyDescent="0.2">
      <c r="A141" t="s">
        <v>352</v>
      </c>
      <c r="B141" s="6">
        <v>0.338752</v>
      </c>
      <c r="C141" t="s">
        <v>567</v>
      </c>
      <c r="D141" t="s">
        <v>41</v>
      </c>
      <c r="E141" t="s">
        <v>632</v>
      </c>
      <c r="F141" t="s">
        <v>20</v>
      </c>
      <c r="G141" t="s">
        <v>673</v>
      </c>
      <c r="H141" t="s">
        <v>353</v>
      </c>
    </row>
    <row r="142" spans="1:8" x14ac:dyDescent="0.2">
      <c r="A142" t="s">
        <v>352</v>
      </c>
      <c r="B142" s="6">
        <v>0.1608</v>
      </c>
      <c r="C142" t="s">
        <v>567</v>
      </c>
      <c r="D142" t="s">
        <v>41</v>
      </c>
      <c r="E142" t="s">
        <v>632</v>
      </c>
      <c r="F142" t="s">
        <v>20</v>
      </c>
      <c r="G142" t="s">
        <v>674</v>
      </c>
      <c r="H142" t="s">
        <v>353</v>
      </c>
    </row>
    <row r="143" spans="1:8" x14ac:dyDescent="0.2">
      <c r="A143" t="s">
        <v>352</v>
      </c>
      <c r="B143" s="6">
        <v>0.32963999999999999</v>
      </c>
      <c r="C143" t="s">
        <v>567</v>
      </c>
      <c r="D143" t="s">
        <v>41</v>
      </c>
      <c r="E143" t="s">
        <v>632</v>
      </c>
      <c r="F143" t="s">
        <v>20</v>
      </c>
      <c r="G143" t="s">
        <v>675</v>
      </c>
      <c r="H143" t="s">
        <v>353</v>
      </c>
    </row>
    <row r="144" spans="1:8" x14ac:dyDescent="0.2">
      <c r="A144" t="s">
        <v>976</v>
      </c>
      <c r="B144" s="6">
        <v>1.1175600000000001</v>
      </c>
      <c r="C144" t="s">
        <v>26</v>
      </c>
      <c r="D144" t="s">
        <v>41</v>
      </c>
      <c r="E144" t="s">
        <v>632</v>
      </c>
      <c r="F144" t="s">
        <v>20</v>
      </c>
      <c r="G144" t="s">
        <v>644</v>
      </c>
      <c r="H144" t="s">
        <v>977</v>
      </c>
    </row>
    <row r="145" spans="1:11" x14ac:dyDescent="0.2">
      <c r="A145" t="s">
        <v>646</v>
      </c>
      <c r="B145" s="6">
        <v>0.21457152000000002</v>
      </c>
      <c r="C145" t="s">
        <v>619</v>
      </c>
      <c r="D145" t="s">
        <v>29</v>
      </c>
      <c r="E145" t="s">
        <v>632</v>
      </c>
      <c r="F145" t="s">
        <v>20</v>
      </c>
      <c r="G145" t="s">
        <v>671</v>
      </c>
      <c r="H145" t="s">
        <v>648</v>
      </c>
    </row>
    <row r="146" spans="1:11" x14ac:dyDescent="0.2">
      <c r="A146" t="s">
        <v>646</v>
      </c>
      <c r="B146" s="6">
        <v>3.1589696E-2</v>
      </c>
      <c r="C146" t="s">
        <v>619</v>
      </c>
      <c r="D146" t="s">
        <v>29</v>
      </c>
      <c r="E146" t="s">
        <v>632</v>
      </c>
      <c r="F146" t="s">
        <v>20</v>
      </c>
      <c r="G146" t="s">
        <v>666</v>
      </c>
      <c r="H146" t="s">
        <v>648</v>
      </c>
    </row>
    <row r="147" spans="1:11" x14ac:dyDescent="0.2">
      <c r="A147" t="s">
        <v>265</v>
      </c>
      <c r="B147" s="6">
        <f>('Cozzolini 2018'!B134*'Cozzolini 2018'!B28*(1+B14))-Parameters!$B$13</f>
        <v>1.7807807440264034</v>
      </c>
      <c r="D147" t="s">
        <v>8</v>
      </c>
      <c r="E147" t="s">
        <v>37</v>
      </c>
      <c r="F147" t="s">
        <v>36</v>
      </c>
      <c r="G147" t="s">
        <v>651</v>
      </c>
    </row>
    <row r="149" spans="1:11" ht="16" x14ac:dyDescent="0.2">
      <c r="A149" s="1" t="s">
        <v>1</v>
      </c>
      <c r="B149" s="71" t="s">
        <v>832</v>
      </c>
    </row>
    <row r="150" spans="1:11" x14ac:dyDescent="0.2">
      <c r="A150" t="s">
        <v>2</v>
      </c>
      <c r="B150" s="6" t="s">
        <v>567</v>
      </c>
    </row>
    <row r="151" spans="1:11" x14ac:dyDescent="0.2">
      <c r="A151" t="s">
        <v>3</v>
      </c>
      <c r="B151" s="6">
        <v>1</v>
      </c>
    </row>
    <row r="152" spans="1:11" ht="16" x14ac:dyDescent="0.2">
      <c r="A152" t="s">
        <v>4</v>
      </c>
      <c r="B152" s="72" t="s">
        <v>337</v>
      </c>
    </row>
    <row r="153" spans="1:11" x14ac:dyDescent="0.2">
      <c r="A153" t="s">
        <v>9</v>
      </c>
      <c r="B153" s="6" t="s">
        <v>627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832</v>
      </c>
      <c r="B158" s="6">
        <v>1</v>
      </c>
      <c r="C158" t="s">
        <v>567</v>
      </c>
      <c r="D158" t="s">
        <v>8</v>
      </c>
      <c r="F158" t="s">
        <v>17</v>
      </c>
      <c r="I158">
        <v>100</v>
      </c>
      <c r="J158" t="s">
        <v>18</v>
      </c>
      <c r="K158" t="s">
        <v>337</v>
      </c>
    </row>
    <row r="159" spans="1:11" ht="16" x14ac:dyDescent="0.2">
      <c r="A159" s="2" t="s">
        <v>833</v>
      </c>
      <c r="B159" s="6">
        <v>1.00057</v>
      </c>
      <c r="C159" t="s">
        <v>567</v>
      </c>
      <c r="D159" t="s">
        <v>8</v>
      </c>
      <c r="F159" t="s">
        <v>20</v>
      </c>
      <c r="K159" s="72" t="s">
        <v>1007</v>
      </c>
    </row>
    <row r="160" spans="1:11" x14ac:dyDescent="0.2">
      <c r="A160" t="s">
        <v>28</v>
      </c>
      <c r="B160" s="6">
        <v>6.7000000000000002E-3</v>
      </c>
      <c r="C160" t="s">
        <v>567</v>
      </c>
      <c r="D160" t="s">
        <v>29</v>
      </c>
      <c r="F160" t="s">
        <v>20</v>
      </c>
      <c r="K160" t="s">
        <v>30</v>
      </c>
    </row>
    <row r="161" spans="1:11" x14ac:dyDescent="0.2">
      <c r="A161" t="s">
        <v>340</v>
      </c>
      <c r="B161" s="6">
        <v>-1.6799999999999999E-4</v>
      </c>
      <c r="C161" t="s">
        <v>619</v>
      </c>
      <c r="D161" t="s">
        <v>8</v>
      </c>
      <c r="F161" t="s">
        <v>20</v>
      </c>
      <c r="K161" t="s">
        <v>341</v>
      </c>
    </row>
    <row r="162" spans="1:11" x14ac:dyDescent="0.2">
      <c r="A162" t="s">
        <v>342</v>
      </c>
      <c r="B162" s="6">
        <v>5.8399999999999999E-4</v>
      </c>
      <c r="C162" t="s">
        <v>626</v>
      </c>
      <c r="D162" t="s">
        <v>19</v>
      </c>
      <c r="F162" t="s">
        <v>20</v>
      </c>
      <c r="K162" t="s">
        <v>343</v>
      </c>
    </row>
    <row r="163" spans="1:11" x14ac:dyDescent="0.2">
      <c r="A163" t="s">
        <v>344</v>
      </c>
      <c r="B163" s="6">
        <v>2.5999999999999998E-10</v>
      </c>
      <c r="C163" t="s">
        <v>567</v>
      </c>
      <c r="D163" t="s">
        <v>7</v>
      </c>
      <c r="F163" t="s">
        <v>20</v>
      </c>
      <c r="K163" t="s">
        <v>345</v>
      </c>
    </row>
    <row r="164" spans="1:11" x14ac:dyDescent="0.2">
      <c r="A164" t="s">
        <v>346</v>
      </c>
      <c r="B164" s="6">
        <v>-6.2700000000000001E-6</v>
      </c>
      <c r="C164" t="s">
        <v>626</v>
      </c>
      <c r="D164" t="s">
        <v>8</v>
      </c>
      <c r="F164" t="s">
        <v>20</v>
      </c>
      <c r="K164" t="s">
        <v>347</v>
      </c>
    </row>
    <row r="165" spans="1:11" x14ac:dyDescent="0.2">
      <c r="A165" t="s">
        <v>348</v>
      </c>
      <c r="B165" s="6">
        <v>-7.4999999999999993E-5</v>
      </c>
      <c r="C165" t="s">
        <v>619</v>
      </c>
      <c r="D165" t="s">
        <v>121</v>
      </c>
      <c r="F165" t="s">
        <v>20</v>
      </c>
      <c r="K165" t="s">
        <v>349</v>
      </c>
    </row>
    <row r="166" spans="1:11" x14ac:dyDescent="0.2">
      <c r="A166" t="s">
        <v>350</v>
      </c>
      <c r="B166" s="6">
        <v>6.8900000000000005E-4</v>
      </c>
      <c r="C166" t="s">
        <v>619</v>
      </c>
      <c r="D166" t="s">
        <v>8</v>
      </c>
      <c r="F166" t="s">
        <v>20</v>
      </c>
      <c r="K166" t="s">
        <v>351</v>
      </c>
    </row>
    <row r="167" spans="1:11" x14ac:dyDescent="0.2">
      <c r="A167" t="s">
        <v>100</v>
      </c>
      <c r="B167" s="6">
        <v>3.3599999999999998E-2</v>
      </c>
      <c r="C167" t="s">
        <v>619</v>
      </c>
      <c r="D167" t="s">
        <v>41</v>
      </c>
      <c r="F167" t="s">
        <v>20</v>
      </c>
      <c r="K167" t="s">
        <v>103</v>
      </c>
    </row>
    <row r="168" spans="1:11" x14ac:dyDescent="0.2">
      <c r="A168" t="s">
        <v>352</v>
      </c>
      <c r="B168" s="6">
        <v>3.2599999999999997E-2</v>
      </c>
      <c r="C168" t="s">
        <v>567</v>
      </c>
      <c r="D168" t="s">
        <v>41</v>
      </c>
      <c r="F168" t="s">
        <v>20</v>
      </c>
      <c r="K168" t="s">
        <v>353</v>
      </c>
    </row>
    <row r="169" spans="1:11" x14ac:dyDescent="0.2">
      <c r="A169" t="s">
        <v>354</v>
      </c>
      <c r="B169" s="6">
        <v>-6.8899999999999999E-7</v>
      </c>
      <c r="C169" t="s">
        <v>619</v>
      </c>
      <c r="D169" t="s">
        <v>121</v>
      </c>
      <c r="F169" t="s">
        <v>20</v>
      </c>
      <c r="K169" t="s">
        <v>355</v>
      </c>
    </row>
    <row r="171" spans="1:11" ht="16" x14ac:dyDescent="0.2">
      <c r="A171" s="1" t="s">
        <v>1</v>
      </c>
      <c r="B171" s="71" t="s">
        <v>852</v>
      </c>
    </row>
    <row r="172" spans="1:11" x14ac:dyDescent="0.2">
      <c r="A172" t="s">
        <v>2</v>
      </c>
      <c r="B172" s="6" t="s">
        <v>567</v>
      </c>
    </row>
    <row r="173" spans="1:11" x14ac:dyDescent="0.2">
      <c r="A173" t="s">
        <v>3</v>
      </c>
      <c r="B173" s="6">
        <v>1</v>
      </c>
    </row>
    <row r="174" spans="1:11" x14ac:dyDescent="0.2">
      <c r="A174" t="s">
        <v>4</v>
      </c>
      <c r="B174" s="6" t="s">
        <v>853</v>
      </c>
    </row>
    <row r="175" spans="1:11" x14ac:dyDescent="0.2">
      <c r="A175" t="s">
        <v>5</v>
      </c>
      <c r="B175" s="6" t="s">
        <v>6</v>
      </c>
    </row>
    <row r="176" spans="1:11" x14ac:dyDescent="0.2">
      <c r="A176" t="s">
        <v>7</v>
      </c>
      <c r="B176" s="6" t="s">
        <v>8</v>
      </c>
    </row>
    <row r="177" spans="1:10" x14ac:dyDescent="0.2">
      <c r="A177" t="s">
        <v>9</v>
      </c>
      <c r="B177" s="6" t="s">
        <v>627</v>
      </c>
    </row>
    <row r="178" spans="1:10" x14ac:dyDescent="0.2">
      <c r="A178" t="s">
        <v>836</v>
      </c>
      <c r="B178" s="6">
        <v>17.2</v>
      </c>
    </row>
    <row r="179" spans="1:10" x14ac:dyDescent="0.2">
      <c r="A179" t="s">
        <v>842</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852</v>
      </c>
      <c r="B182" s="6">
        <v>1</v>
      </c>
      <c r="C182" t="s">
        <v>567</v>
      </c>
      <c r="D182" t="s">
        <v>8</v>
      </c>
      <c r="E182" t="s">
        <v>681</v>
      </c>
      <c r="F182" t="s">
        <v>17</v>
      </c>
      <c r="G182" t="s">
        <v>18</v>
      </c>
      <c r="H182" t="s">
        <v>853</v>
      </c>
    </row>
    <row r="183" spans="1:10" x14ac:dyDescent="0.2">
      <c r="A183" t="s">
        <v>852</v>
      </c>
      <c r="B183" s="6">
        <v>0.14000000000000001</v>
      </c>
      <c r="C183" t="s">
        <v>567</v>
      </c>
      <c r="D183" t="s">
        <v>8</v>
      </c>
      <c r="F183" t="s">
        <v>20</v>
      </c>
      <c r="G183" t="s">
        <v>843</v>
      </c>
      <c r="H183" t="s">
        <v>853</v>
      </c>
    </row>
    <row r="184" spans="1:10" x14ac:dyDescent="0.2">
      <c r="A184" t="s">
        <v>352</v>
      </c>
      <c r="B184" s="6">
        <v>5.4180000000000006E-2</v>
      </c>
      <c r="C184" t="s">
        <v>567</v>
      </c>
      <c r="D184" t="s">
        <v>41</v>
      </c>
      <c r="E184" t="s">
        <v>629</v>
      </c>
      <c r="F184" t="s">
        <v>20</v>
      </c>
      <c r="G184" t="s">
        <v>18</v>
      </c>
      <c r="H184" t="s">
        <v>353</v>
      </c>
    </row>
    <row r="185" spans="1:10" x14ac:dyDescent="0.2">
      <c r="A185" t="s">
        <v>28</v>
      </c>
      <c r="B185" s="6">
        <v>8.6068800000000015E-2</v>
      </c>
      <c r="C185" t="s">
        <v>619</v>
      </c>
      <c r="D185" t="s">
        <v>29</v>
      </c>
      <c r="E185" t="s">
        <v>629</v>
      </c>
      <c r="F185" t="s">
        <v>20</v>
      </c>
      <c r="G185" t="s">
        <v>18</v>
      </c>
      <c r="H185" t="s">
        <v>30</v>
      </c>
    </row>
    <row r="186" spans="1:10" x14ac:dyDescent="0.2">
      <c r="A186" t="s">
        <v>108</v>
      </c>
      <c r="B186" s="6">
        <f>B178*(1-B179)</f>
        <v>15.48</v>
      </c>
      <c r="D186" t="s">
        <v>19</v>
      </c>
      <c r="E186" t="s">
        <v>112</v>
      </c>
      <c r="F186" t="s">
        <v>36</v>
      </c>
      <c r="G186" t="s">
        <v>790</v>
      </c>
    </row>
    <row r="187" spans="1:10" x14ac:dyDescent="0.2">
      <c r="A187" t="s">
        <v>40</v>
      </c>
      <c r="B187" s="6">
        <v>4.7373444000000001E-7</v>
      </c>
      <c r="D187" t="s">
        <v>8</v>
      </c>
      <c r="E187" t="s">
        <v>37</v>
      </c>
      <c r="F187" t="s">
        <v>36</v>
      </c>
      <c r="G187" t="s">
        <v>18</v>
      </c>
    </row>
    <row r="188" spans="1:10" x14ac:dyDescent="0.2">
      <c r="A188" t="s">
        <v>193</v>
      </c>
      <c r="B188" s="6">
        <v>1.9230803999999999E-7</v>
      </c>
      <c r="D188" t="s">
        <v>8</v>
      </c>
      <c r="E188" t="s">
        <v>37</v>
      </c>
      <c r="F188" t="s">
        <v>36</v>
      </c>
      <c r="G188" t="s">
        <v>18</v>
      </c>
    </row>
    <row r="189" spans="1:10" x14ac:dyDescent="0.2">
      <c r="A189" t="s">
        <v>749</v>
      </c>
      <c r="B189" s="6">
        <v>3.6585432000000003E-3</v>
      </c>
      <c r="C189" t="s">
        <v>567</v>
      </c>
      <c r="D189" t="s">
        <v>8</v>
      </c>
      <c r="E189" t="s">
        <v>629</v>
      </c>
      <c r="F189" t="s">
        <v>20</v>
      </c>
      <c r="G189" t="s">
        <v>18</v>
      </c>
      <c r="H189" t="s">
        <v>750</v>
      </c>
    </row>
    <row r="190" spans="1:10" x14ac:dyDescent="0.2">
      <c r="A190" t="s">
        <v>1029</v>
      </c>
      <c r="B190" s="6">
        <f>0.46*(44/12)*(1-B179)</f>
        <v>1.518</v>
      </c>
      <c r="D190" t="s">
        <v>8</v>
      </c>
      <c r="E190" t="s">
        <v>1030</v>
      </c>
      <c r="F190" t="s">
        <v>36</v>
      </c>
      <c r="J190" t="s">
        <v>868</v>
      </c>
    </row>
    <row r="192" spans="1:10" ht="16" x14ac:dyDescent="0.2">
      <c r="A192" s="1" t="s">
        <v>1</v>
      </c>
      <c r="B192" s="71" t="s">
        <v>854</v>
      </c>
    </row>
    <row r="193" spans="1:11" x14ac:dyDescent="0.2">
      <c r="A193" t="s">
        <v>2</v>
      </c>
      <c r="B193" s="6" t="s">
        <v>567</v>
      </c>
    </row>
    <row r="194" spans="1:11" x14ac:dyDescent="0.2">
      <c r="A194" t="s">
        <v>3</v>
      </c>
      <c r="B194" s="6">
        <v>1</v>
      </c>
    </row>
    <row r="195" spans="1:11" x14ac:dyDescent="0.2">
      <c r="A195" t="s">
        <v>4</v>
      </c>
      <c r="B195" s="6" t="s">
        <v>1008</v>
      </c>
    </row>
    <row r="196" spans="1:11" x14ac:dyDescent="0.2">
      <c r="A196" t="s">
        <v>5</v>
      </c>
      <c r="B196" s="6" t="s">
        <v>6</v>
      </c>
    </row>
    <row r="197" spans="1:11" x14ac:dyDescent="0.2">
      <c r="A197" t="s">
        <v>7</v>
      </c>
      <c r="B197" s="6" t="s">
        <v>8</v>
      </c>
    </row>
    <row r="198" spans="1:11" x14ac:dyDescent="0.2">
      <c r="A198" t="s">
        <v>9</v>
      </c>
      <c r="B198" s="6" t="s">
        <v>627</v>
      </c>
    </row>
    <row r="199" spans="1:11" x14ac:dyDescent="0.2">
      <c r="A199" t="s">
        <v>492</v>
      </c>
      <c r="B199" s="70">
        <f>Summary!O50</f>
        <v>0.46191200404200816</v>
      </c>
    </row>
    <row r="200" spans="1:11" ht="16" x14ac:dyDescent="0.2">
      <c r="A200" s="1" t="s">
        <v>12</v>
      </c>
    </row>
    <row r="201" spans="1:11" x14ac:dyDescent="0.2">
      <c r="A201" t="s">
        <v>13</v>
      </c>
      <c r="B201" s="6" t="s">
        <v>14</v>
      </c>
      <c r="C201" t="s">
        <v>2</v>
      </c>
      <c r="D201" t="s">
        <v>7</v>
      </c>
      <c r="E201" t="s">
        <v>15</v>
      </c>
      <c r="F201" t="s">
        <v>5</v>
      </c>
      <c r="G201" t="s">
        <v>11</v>
      </c>
      <c r="H201" t="s">
        <v>628</v>
      </c>
      <c r="I201" t="s">
        <v>4</v>
      </c>
      <c r="J201" t="s">
        <v>653</v>
      </c>
      <c r="K201" t="s">
        <v>654</v>
      </c>
    </row>
    <row r="202" spans="1:11" x14ac:dyDescent="0.2">
      <c r="A202" t="s">
        <v>854</v>
      </c>
      <c r="B202" s="6">
        <v>1</v>
      </c>
      <c r="C202" t="s">
        <v>567</v>
      </c>
      <c r="D202" t="s">
        <v>8</v>
      </c>
      <c r="E202" t="s">
        <v>681</v>
      </c>
      <c r="F202" t="s">
        <v>17</v>
      </c>
      <c r="G202" t="s">
        <v>18</v>
      </c>
      <c r="H202" s="6" t="s">
        <v>1008</v>
      </c>
    </row>
    <row r="203" spans="1:11" x14ac:dyDescent="0.2">
      <c r="A203" t="s">
        <v>852</v>
      </c>
      <c r="B203" s="6">
        <f>51.839247/B186</f>
        <v>3.3487885658914727</v>
      </c>
      <c r="C203" t="s">
        <v>567</v>
      </c>
      <c r="D203" t="s">
        <v>8</v>
      </c>
      <c r="E203" t="s">
        <v>629</v>
      </c>
      <c r="F203" t="s">
        <v>20</v>
      </c>
      <c r="G203" t="s">
        <v>18</v>
      </c>
      <c r="H203" t="s">
        <v>853</v>
      </c>
    </row>
    <row r="204" spans="1:11" x14ac:dyDescent="0.2">
      <c r="A204" t="s">
        <v>254</v>
      </c>
      <c r="B204" s="6">
        <v>6.2068799999999997E-3</v>
      </c>
      <c r="C204" t="s">
        <v>567</v>
      </c>
      <c r="D204" t="s">
        <v>8</v>
      </c>
      <c r="E204" t="s">
        <v>629</v>
      </c>
      <c r="F204" t="s">
        <v>20</v>
      </c>
      <c r="G204" t="s">
        <v>18</v>
      </c>
      <c r="H204" t="s">
        <v>256</v>
      </c>
      <c r="I204" t="s">
        <v>256</v>
      </c>
      <c r="J204" t="s">
        <v>961</v>
      </c>
      <c r="K204" t="s">
        <v>659</v>
      </c>
    </row>
    <row r="205" spans="1:11" x14ac:dyDescent="0.2">
      <c r="A205" t="s">
        <v>962</v>
      </c>
      <c r="B205" s="6">
        <v>2.3852000000000001E-3</v>
      </c>
      <c r="C205" t="s">
        <v>567</v>
      </c>
      <c r="D205" t="s">
        <v>8</v>
      </c>
      <c r="E205" t="s">
        <v>629</v>
      </c>
      <c r="F205" t="s">
        <v>20</v>
      </c>
      <c r="G205" t="s">
        <v>18</v>
      </c>
      <c r="H205" t="s">
        <v>963</v>
      </c>
      <c r="I205" t="s">
        <v>963</v>
      </c>
      <c r="J205" t="s">
        <v>964</v>
      </c>
      <c r="K205" t="s">
        <v>659</v>
      </c>
    </row>
    <row r="206" spans="1:11" x14ac:dyDescent="0.2">
      <c r="A206" t="s">
        <v>682</v>
      </c>
      <c r="B206" s="6">
        <v>6.8340000000000002E-4</v>
      </c>
      <c r="C206" t="s">
        <v>567</v>
      </c>
      <c r="D206" t="s">
        <v>8</v>
      </c>
      <c r="E206" t="s">
        <v>629</v>
      </c>
      <c r="F206" t="s">
        <v>20</v>
      </c>
      <c r="G206" t="s">
        <v>18</v>
      </c>
      <c r="H206" t="s">
        <v>683</v>
      </c>
      <c r="I206" t="s">
        <v>683</v>
      </c>
      <c r="J206" t="s">
        <v>684</v>
      </c>
      <c r="K206" t="s">
        <v>659</v>
      </c>
    </row>
    <row r="207" spans="1:11" x14ac:dyDescent="0.2">
      <c r="A207" t="s">
        <v>685</v>
      </c>
      <c r="B207" s="6">
        <v>5.1188000000000004E-4</v>
      </c>
      <c r="C207" t="s">
        <v>26</v>
      </c>
      <c r="D207" t="s">
        <v>8</v>
      </c>
      <c r="E207" t="s">
        <v>629</v>
      </c>
      <c r="F207" t="s">
        <v>20</v>
      </c>
      <c r="G207" t="s">
        <v>18</v>
      </c>
      <c r="H207" t="s">
        <v>686</v>
      </c>
      <c r="I207" t="s">
        <v>686</v>
      </c>
      <c r="J207" t="s">
        <v>687</v>
      </c>
      <c r="K207" t="s">
        <v>659</v>
      </c>
    </row>
    <row r="208" spans="1:11" x14ac:dyDescent="0.2">
      <c r="A208" t="s">
        <v>635</v>
      </c>
      <c r="B208" s="6">
        <v>2.8303479999999999E-2</v>
      </c>
      <c r="C208" t="s">
        <v>567</v>
      </c>
      <c r="D208" t="s">
        <v>8</v>
      </c>
      <c r="E208" t="s">
        <v>629</v>
      </c>
      <c r="F208" t="s">
        <v>20</v>
      </c>
      <c r="G208" t="s">
        <v>18</v>
      </c>
      <c r="H208" t="s">
        <v>637</v>
      </c>
      <c r="I208" t="s">
        <v>637</v>
      </c>
      <c r="J208" t="s">
        <v>688</v>
      </c>
      <c r="K208" t="s">
        <v>659</v>
      </c>
    </row>
    <row r="209" spans="1:11" x14ac:dyDescent="0.2">
      <c r="A209" t="s">
        <v>689</v>
      </c>
      <c r="B209" s="6">
        <v>5.1992000000000002E-3</v>
      </c>
      <c r="C209" t="s">
        <v>26</v>
      </c>
      <c r="D209" t="s">
        <v>8</v>
      </c>
      <c r="E209" t="s">
        <v>629</v>
      </c>
      <c r="F209" t="s">
        <v>20</v>
      </c>
      <c r="G209" t="s">
        <v>18</v>
      </c>
      <c r="H209" t="s">
        <v>690</v>
      </c>
      <c r="I209" t="s">
        <v>690</v>
      </c>
      <c r="J209" t="s">
        <v>691</v>
      </c>
      <c r="K209" t="s">
        <v>659</v>
      </c>
    </row>
    <row r="210" spans="1:11" x14ac:dyDescent="0.2">
      <c r="A210" t="s">
        <v>386</v>
      </c>
      <c r="B210" s="6">
        <v>7.1221000000000007E-2</v>
      </c>
      <c r="C210" t="s">
        <v>26</v>
      </c>
      <c r="D210" t="s">
        <v>8</v>
      </c>
      <c r="E210" t="s">
        <v>629</v>
      </c>
      <c r="F210" t="s">
        <v>20</v>
      </c>
      <c r="G210" t="s">
        <v>18</v>
      </c>
      <c r="H210" t="s">
        <v>387</v>
      </c>
      <c r="I210" t="s">
        <v>387</v>
      </c>
      <c r="J210" t="s">
        <v>672</v>
      </c>
      <c r="K210" t="s">
        <v>659</v>
      </c>
    </row>
    <row r="211" spans="1:11" x14ac:dyDescent="0.2">
      <c r="A211" t="s">
        <v>692</v>
      </c>
      <c r="B211" s="6">
        <v>7.0483999999999998E-4</v>
      </c>
      <c r="C211" t="s">
        <v>567</v>
      </c>
      <c r="D211" t="s">
        <v>8</v>
      </c>
      <c r="E211" t="s">
        <v>629</v>
      </c>
      <c r="F211" t="s">
        <v>20</v>
      </c>
      <c r="G211" t="s">
        <v>18</v>
      </c>
      <c r="H211" t="s">
        <v>693</v>
      </c>
      <c r="I211" t="s">
        <v>693</v>
      </c>
      <c r="J211" t="s">
        <v>694</v>
      </c>
      <c r="K211" t="s">
        <v>659</v>
      </c>
    </row>
    <row r="212" spans="1:11" x14ac:dyDescent="0.2">
      <c r="A212" t="s">
        <v>100</v>
      </c>
      <c r="B212" s="6">
        <v>0.38056000000000001</v>
      </c>
      <c r="C212" t="s">
        <v>619</v>
      </c>
      <c r="D212" t="s">
        <v>41</v>
      </c>
      <c r="E212" t="s">
        <v>629</v>
      </c>
      <c r="F212" t="s">
        <v>20</v>
      </c>
      <c r="G212" t="s">
        <v>18</v>
      </c>
      <c r="H212" t="s">
        <v>103</v>
      </c>
      <c r="I212" t="s">
        <v>103</v>
      </c>
      <c r="J212" t="s">
        <v>660</v>
      </c>
      <c r="K212" t="s">
        <v>659</v>
      </c>
    </row>
    <row r="213" spans="1:11" x14ac:dyDescent="0.2">
      <c r="A213" t="s">
        <v>97</v>
      </c>
      <c r="B213" s="6">
        <v>0.15276000000000001</v>
      </c>
      <c r="C213" t="s">
        <v>567</v>
      </c>
      <c r="D213" t="s">
        <v>41</v>
      </c>
      <c r="E213" t="s">
        <v>629</v>
      </c>
      <c r="F213" t="s">
        <v>20</v>
      </c>
      <c r="G213" t="s">
        <v>18</v>
      </c>
      <c r="H213" t="s">
        <v>98</v>
      </c>
      <c r="I213" t="s">
        <v>98</v>
      </c>
      <c r="J213" t="s">
        <v>661</v>
      </c>
      <c r="K213" t="s">
        <v>659</v>
      </c>
    </row>
    <row r="214" spans="1:11" x14ac:dyDescent="0.2">
      <c r="A214" t="s">
        <v>352</v>
      </c>
      <c r="B214" s="6">
        <v>0.32963999999999999</v>
      </c>
      <c r="C214" t="s">
        <v>567</v>
      </c>
      <c r="D214" t="s">
        <v>41</v>
      </c>
      <c r="E214" t="s">
        <v>629</v>
      </c>
      <c r="F214" t="s">
        <v>20</v>
      </c>
      <c r="G214" t="s">
        <v>18</v>
      </c>
      <c r="H214" t="s">
        <v>353</v>
      </c>
      <c r="I214" t="s">
        <v>353</v>
      </c>
      <c r="J214" t="s">
        <v>1006</v>
      </c>
      <c r="K214" t="s">
        <v>659</v>
      </c>
    </row>
    <row r="215" spans="1:11" x14ac:dyDescent="0.2">
      <c r="A215" t="s">
        <v>352</v>
      </c>
      <c r="B215" s="6">
        <v>0.1608</v>
      </c>
      <c r="C215" t="s">
        <v>567</v>
      </c>
      <c r="D215" t="s">
        <v>41</v>
      </c>
      <c r="E215" t="s">
        <v>629</v>
      </c>
      <c r="F215" t="s">
        <v>20</v>
      </c>
      <c r="G215" t="s">
        <v>18</v>
      </c>
      <c r="H215" t="s">
        <v>353</v>
      </c>
      <c r="I215" t="s">
        <v>353</v>
      </c>
      <c r="J215" t="s">
        <v>1006</v>
      </c>
      <c r="K215" t="s">
        <v>659</v>
      </c>
    </row>
    <row r="216" spans="1:11" x14ac:dyDescent="0.2">
      <c r="A216" t="s">
        <v>976</v>
      </c>
      <c r="B216" s="6">
        <v>1.1175600000000001</v>
      </c>
      <c r="C216" t="s">
        <v>26</v>
      </c>
      <c r="D216" t="s">
        <v>41</v>
      </c>
      <c r="E216" t="s">
        <v>629</v>
      </c>
      <c r="F216" t="s">
        <v>20</v>
      </c>
      <c r="G216" t="s">
        <v>18</v>
      </c>
      <c r="H216" t="s">
        <v>977</v>
      </c>
      <c r="I216" t="s">
        <v>977</v>
      </c>
      <c r="J216" t="s">
        <v>978</v>
      </c>
      <c r="K216" t="s">
        <v>659</v>
      </c>
    </row>
    <row r="217" spans="1:11" x14ac:dyDescent="0.2">
      <c r="A217" t="s">
        <v>646</v>
      </c>
      <c r="B217" s="6">
        <v>6.2583359999999998E-3</v>
      </c>
      <c r="C217" t="s">
        <v>619</v>
      </c>
      <c r="D217" t="s">
        <v>29</v>
      </c>
      <c r="E217" t="s">
        <v>629</v>
      </c>
      <c r="F217" t="s">
        <v>20</v>
      </c>
      <c r="G217" t="s">
        <v>18</v>
      </c>
      <c r="H217" t="s">
        <v>648</v>
      </c>
      <c r="I217" t="s">
        <v>648</v>
      </c>
      <c r="J217" t="s">
        <v>665</v>
      </c>
      <c r="K217" t="s">
        <v>659</v>
      </c>
    </row>
    <row r="218" spans="1:11" x14ac:dyDescent="0.2">
      <c r="A218" t="s">
        <v>646</v>
      </c>
      <c r="B218" s="6">
        <v>2.5331360000000001E-2</v>
      </c>
      <c r="C218" t="s">
        <v>619</v>
      </c>
      <c r="D218" t="s">
        <v>29</v>
      </c>
      <c r="E218" t="s">
        <v>629</v>
      </c>
      <c r="F218" t="s">
        <v>20</v>
      </c>
      <c r="G218" t="s">
        <v>18</v>
      </c>
      <c r="H218" t="s">
        <v>648</v>
      </c>
      <c r="I218" t="s">
        <v>648</v>
      </c>
      <c r="J218" t="s">
        <v>665</v>
      </c>
      <c r="K218" t="s">
        <v>659</v>
      </c>
    </row>
    <row r="219" spans="1:11" x14ac:dyDescent="0.2">
      <c r="A219" t="s">
        <v>265</v>
      </c>
      <c r="B219" s="6">
        <f>('Cozzolini 2018'!B203*'Cozzolini 2018'!B190*(1+B183))-Parameters!B13</f>
        <v>3.881145589046513</v>
      </c>
      <c r="D219" t="s">
        <v>8</v>
      </c>
      <c r="E219" t="s">
        <v>37</v>
      </c>
      <c r="F219" t="s">
        <v>36</v>
      </c>
      <c r="G219" t="s">
        <v>651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3" spans="1:11" ht="16" x14ac:dyDescent="0.2">
      <c r="A223" s="1" t="s">
        <v>1</v>
      </c>
      <c r="B223" s="71" t="s">
        <v>855</v>
      </c>
    </row>
    <row r="224" spans="1:11" x14ac:dyDescent="0.2">
      <c r="A224" t="s">
        <v>2</v>
      </c>
      <c r="B224" s="6" t="s">
        <v>567</v>
      </c>
    </row>
    <row r="225" spans="1:11" x14ac:dyDescent="0.2">
      <c r="A225" t="s">
        <v>3</v>
      </c>
      <c r="B225" s="6">
        <v>1</v>
      </c>
    </row>
    <row r="226" spans="1:11" ht="16" x14ac:dyDescent="0.2">
      <c r="A226" t="s">
        <v>4</v>
      </c>
      <c r="B226" s="72" t="s">
        <v>337</v>
      </c>
    </row>
    <row r="227" spans="1:11" x14ac:dyDescent="0.2">
      <c r="A227" t="s">
        <v>9</v>
      </c>
      <c r="B227" s="6" t="s">
        <v>627</v>
      </c>
    </row>
    <row r="228" spans="1:11" x14ac:dyDescent="0.2">
      <c r="A228" t="s">
        <v>5</v>
      </c>
      <c r="B228" s="6" t="s">
        <v>6</v>
      </c>
    </row>
    <row r="229" spans="1:11" x14ac:dyDescent="0.2">
      <c r="A229" t="s">
        <v>7</v>
      </c>
      <c r="B229" s="6" t="s">
        <v>8</v>
      </c>
    </row>
    <row r="230" spans="1:11" ht="16" x14ac:dyDescent="0.2">
      <c r="A230" s="1" t="s">
        <v>12</v>
      </c>
    </row>
    <row r="231" spans="1:11" x14ac:dyDescent="0.2">
      <c r="A231" t="s">
        <v>13</v>
      </c>
      <c r="B231" s="6" t="s">
        <v>14</v>
      </c>
      <c r="C231" t="s">
        <v>2</v>
      </c>
      <c r="D231" t="s">
        <v>7</v>
      </c>
      <c r="E231" t="s">
        <v>15</v>
      </c>
      <c r="F231" t="s">
        <v>5</v>
      </c>
      <c r="G231" t="s">
        <v>338</v>
      </c>
      <c r="H231" t="s">
        <v>339</v>
      </c>
      <c r="I231" t="s">
        <v>16</v>
      </c>
      <c r="J231" t="s">
        <v>11</v>
      </c>
      <c r="K231" t="s">
        <v>4</v>
      </c>
    </row>
    <row r="232" spans="1:11" x14ac:dyDescent="0.2">
      <c r="A232" t="s">
        <v>855</v>
      </c>
      <c r="B232" s="6">
        <v>1</v>
      </c>
      <c r="C232" t="s">
        <v>567</v>
      </c>
      <c r="D232" t="s">
        <v>8</v>
      </c>
      <c r="F232" t="s">
        <v>17</v>
      </c>
      <c r="I232">
        <v>100</v>
      </c>
      <c r="J232" t="s">
        <v>18</v>
      </c>
      <c r="K232" t="s">
        <v>337</v>
      </c>
    </row>
    <row r="233" spans="1:11" x14ac:dyDescent="0.2">
      <c r="A233" t="s">
        <v>854</v>
      </c>
      <c r="B233" s="6">
        <v>1.00057</v>
      </c>
      <c r="C233" t="s">
        <v>567</v>
      </c>
      <c r="D233" t="s">
        <v>8</v>
      </c>
      <c r="F233" t="s">
        <v>20</v>
      </c>
      <c r="K233" s="6" t="s">
        <v>1008</v>
      </c>
    </row>
    <row r="234" spans="1:11" x14ac:dyDescent="0.2">
      <c r="A234" t="s">
        <v>28</v>
      </c>
      <c r="B234" s="6">
        <v>6.7000000000000002E-3</v>
      </c>
      <c r="C234" t="s">
        <v>567</v>
      </c>
      <c r="D234" t="s">
        <v>29</v>
      </c>
      <c r="F234" t="s">
        <v>20</v>
      </c>
      <c r="K234" t="s">
        <v>30</v>
      </c>
    </row>
    <row r="235" spans="1:11" x14ac:dyDescent="0.2">
      <c r="A235" t="s">
        <v>340</v>
      </c>
      <c r="B235" s="6">
        <v>-1.6799999999999999E-4</v>
      </c>
      <c r="C235" t="s">
        <v>619</v>
      </c>
      <c r="D235" t="s">
        <v>8</v>
      </c>
      <c r="F235" t="s">
        <v>20</v>
      </c>
      <c r="K235" t="s">
        <v>341</v>
      </c>
    </row>
    <row r="236" spans="1:11" x14ac:dyDescent="0.2">
      <c r="A236" t="s">
        <v>342</v>
      </c>
      <c r="B236" s="6">
        <v>5.8399999999999999E-4</v>
      </c>
      <c r="C236" t="s">
        <v>626</v>
      </c>
      <c r="D236" t="s">
        <v>19</v>
      </c>
      <c r="F236" t="s">
        <v>20</v>
      </c>
      <c r="K236" t="s">
        <v>343</v>
      </c>
    </row>
    <row r="237" spans="1:11" x14ac:dyDescent="0.2">
      <c r="A237" t="s">
        <v>344</v>
      </c>
      <c r="B237" s="6">
        <v>2.5999999999999998E-10</v>
      </c>
      <c r="C237" t="s">
        <v>567</v>
      </c>
      <c r="D237" t="s">
        <v>7</v>
      </c>
      <c r="F237" t="s">
        <v>20</v>
      </c>
      <c r="K237" t="s">
        <v>345</v>
      </c>
    </row>
    <row r="238" spans="1:11" x14ac:dyDescent="0.2">
      <c r="A238" t="s">
        <v>346</v>
      </c>
      <c r="B238" s="6">
        <v>-6.2700000000000001E-6</v>
      </c>
      <c r="C238" t="s">
        <v>626</v>
      </c>
      <c r="D238" t="s">
        <v>8</v>
      </c>
      <c r="F238" t="s">
        <v>20</v>
      </c>
      <c r="K238" t="s">
        <v>347</v>
      </c>
    </row>
    <row r="239" spans="1:11" x14ac:dyDescent="0.2">
      <c r="A239" t="s">
        <v>348</v>
      </c>
      <c r="B239" s="6">
        <v>-7.4999999999999993E-5</v>
      </c>
      <c r="C239" t="s">
        <v>619</v>
      </c>
      <c r="D239" t="s">
        <v>121</v>
      </c>
      <c r="F239" t="s">
        <v>20</v>
      </c>
      <c r="K239" t="s">
        <v>349</v>
      </c>
    </row>
    <row r="240" spans="1:11" x14ac:dyDescent="0.2">
      <c r="A240" t="s">
        <v>350</v>
      </c>
      <c r="B240" s="6">
        <v>6.8900000000000005E-4</v>
      </c>
      <c r="C240" t="s">
        <v>619</v>
      </c>
      <c r="D240" t="s">
        <v>8</v>
      </c>
      <c r="F240" t="s">
        <v>20</v>
      </c>
      <c r="K240" t="s">
        <v>351</v>
      </c>
    </row>
    <row r="241" spans="1:11" x14ac:dyDescent="0.2">
      <c r="A241" t="s">
        <v>100</v>
      </c>
      <c r="B241" s="6">
        <v>3.3599999999999998E-2</v>
      </c>
      <c r="C241" t="s">
        <v>619</v>
      </c>
      <c r="D241" t="s">
        <v>41</v>
      </c>
      <c r="F241" t="s">
        <v>20</v>
      </c>
      <c r="K241" t="s">
        <v>103</v>
      </c>
    </row>
    <row r="242" spans="1:11" x14ac:dyDescent="0.2">
      <c r="A242" t="s">
        <v>352</v>
      </c>
      <c r="B242" s="6">
        <v>3.2599999999999997E-2</v>
      </c>
      <c r="C242" t="s">
        <v>567</v>
      </c>
      <c r="D242" t="s">
        <v>41</v>
      </c>
      <c r="F242" t="s">
        <v>20</v>
      </c>
      <c r="K242" t="s">
        <v>353</v>
      </c>
    </row>
    <row r="243" spans="1:11" x14ac:dyDescent="0.2">
      <c r="A243" t="s">
        <v>354</v>
      </c>
      <c r="B243" s="6">
        <v>-6.8899999999999999E-7</v>
      </c>
      <c r="C243" t="s">
        <v>619</v>
      </c>
      <c r="D243" t="s">
        <v>121</v>
      </c>
      <c r="F243" t="s">
        <v>20</v>
      </c>
      <c r="K243" t="s">
        <v>355</v>
      </c>
    </row>
    <row r="244" spans="1:11" ht="16.25" customHeight="1" x14ac:dyDescent="0.2">
      <c r="A244" s="1"/>
      <c r="B244" s="71"/>
    </row>
    <row r="245" spans="1:11" ht="16" x14ac:dyDescent="0.2">
      <c r="A245" s="1" t="s">
        <v>1</v>
      </c>
      <c r="B245" s="71" t="s">
        <v>96</v>
      </c>
    </row>
    <row r="246" spans="1:11" x14ac:dyDescent="0.2">
      <c r="A246" t="s">
        <v>2</v>
      </c>
      <c r="B246" s="6" t="s">
        <v>567</v>
      </c>
    </row>
    <row r="247" spans="1:11" x14ac:dyDescent="0.2">
      <c r="A247" t="s">
        <v>3</v>
      </c>
      <c r="B247" s="6">
        <v>1</v>
      </c>
    </row>
    <row r="248" spans="1:11" ht="16" x14ac:dyDescent="0.2">
      <c r="A248" t="s">
        <v>4</v>
      </c>
      <c r="B248" s="2" t="s">
        <v>426</v>
      </c>
    </row>
    <row r="249" spans="1:11" x14ac:dyDescent="0.2">
      <c r="A249" t="s">
        <v>9</v>
      </c>
      <c r="B249" s="6" t="s">
        <v>1028</v>
      </c>
    </row>
    <row r="250" spans="1:11" x14ac:dyDescent="0.2">
      <c r="A250" t="s">
        <v>5</v>
      </c>
      <c r="B250" s="6" t="s">
        <v>6</v>
      </c>
    </row>
    <row r="251" spans="1:11" x14ac:dyDescent="0.2">
      <c r="A251" t="s">
        <v>7</v>
      </c>
      <c r="B251" s="6" t="s">
        <v>8</v>
      </c>
    </row>
    <row r="252" spans="1:11" x14ac:dyDescent="0.2">
      <c r="A252" t="s">
        <v>836</v>
      </c>
      <c r="B252" s="5">
        <f>14.9/(1-B253)</f>
        <v>17.325581395348838</v>
      </c>
    </row>
    <row r="253" spans="1:11" x14ac:dyDescent="0.2">
      <c r="A253" t="s">
        <v>842</v>
      </c>
      <c r="B253" s="73">
        <v>0.14000000000000001</v>
      </c>
    </row>
    <row r="254" spans="1:11" ht="16" x14ac:dyDescent="0.2">
      <c r="A254" s="1" t="s">
        <v>12</v>
      </c>
    </row>
    <row r="255" spans="1:11" x14ac:dyDescent="0.2">
      <c r="A255" t="s">
        <v>13</v>
      </c>
      <c r="B255" s="6" t="s">
        <v>14</v>
      </c>
      <c r="C255" t="s">
        <v>2</v>
      </c>
      <c r="D255" t="s">
        <v>7</v>
      </c>
      <c r="E255" t="s">
        <v>15</v>
      </c>
      <c r="F255" t="s">
        <v>5</v>
      </c>
      <c r="G255" t="s">
        <v>11</v>
      </c>
      <c r="H255" t="s">
        <v>4</v>
      </c>
    </row>
    <row r="256" spans="1:11" ht="16" x14ac:dyDescent="0.2">
      <c r="A256" t="s">
        <v>96</v>
      </c>
      <c r="B256" s="6">
        <v>1</v>
      </c>
      <c r="C256" t="s">
        <v>567</v>
      </c>
      <c r="D256" t="s">
        <v>8</v>
      </c>
      <c r="E256" t="s">
        <v>828</v>
      </c>
      <c r="F256" t="s">
        <v>17</v>
      </c>
      <c r="G256" t="s">
        <v>18</v>
      </c>
      <c r="H256" s="2" t="s">
        <v>426</v>
      </c>
    </row>
    <row r="257" spans="1:8" ht="16" x14ac:dyDescent="0.2">
      <c r="A257" t="s">
        <v>96</v>
      </c>
      <c r="B257" s="6">
        <v>0.14000000000000001</v>
      </c>
      <c r="C257" t="s">
        <v>567</v>
      </c>
      <c r="D257" t="s">
        <v>8</v>
      </c>
      <c r="E257" t="s">
        <v>828</v>
      </c>
      <c r="F257" t="s">
        <v>20</v>
      </c>
      <c r="G257" t="s">
        <v>862</v>
      </c>
      <c r="H257" s="2" t="s">
        <v>426</v>
      </c>
    </row>
    <row r="258" spans="1:8" x14ac:dyDescent="0.2">
      <c r="A258" t="s">
        <v>40</v>
      </c>
      <c r="B258" s="6">
        <v>7.5716999999999994E-4</v>
      </c>
      <c r="D258" t="s">
        <v>8</v>
      </c>
      <c r="E258" t="s">
        <v>37</v>
      </c>
      <c r="F258" t="s">
        <v>36</v>
      </c>
      <c r="G258" t="s">
        <v>759</v>
      </c>
    </row>
    <row r="259" spans="1:8" x14ac:dyDescent="0.2">
      <c r="A259" t="s">
        <v>40</v>
      </c>
      <c r="B259" s="6">
        <v>1.7899999999999998E-6</v>
      </c>
      <c r="D259" t="s">
        <v>8</v>
      </c>
      <c r="E259" t="s">
        <v>37</v>
      </c>
      <c r="F259" t="s">
        <v>36</v>
      </c>
      <c r="G259" t="s">
        <v>760</v>
      </c>
    </row>
    <row r="260" spans="1:8" x14ac:dyDescent="0.2">
      <c r="A260" t="s">
        <v>117</v>
      </c>
      <c r="B260" s="6">
        <v>8.9499999999999996E-3</v>
      </c>
      <c r="C260" t="s">
        <v>26</v>
      </c>
      <c r="D260" t="s">
        <v>8</v>
      </c>
      <c r="E260" t="s">
        <v>629</v>
      </c>
      <c r="F260" t="s">
        <v>20</v>
      </c>
      <c r="G260" t="s">
        <v>761</v>
      </c>
      <c r="H260" t="s">
        <v>118</v>
      </c>
    </row>
    <row r="261" spans="1:8" x14ac:dyDescent="0.2">
      <c r="A261" t="s">
        <v>965</v>
      </c>
      <c r="B261" s="6">
        <v>3.382384E-3</v>
      </c>
      <c r="C261" t="s">
        <v>26</v>
      </c>
      <c r="D261" t="s">
        <v>8</v>
      </c>
      <c r="E261" t="s">
        <v>629</v>
      </c>
      <c r="F261" t="s">
        <v>20</v>
      </c>
      <c r="G261" t="s">
        <v>762</v>
      </c>
      <c r="H261" t="s">
        <v>966</v>
      </c>
    </row>
    <row r="262" spans="1:8" x14ac:dyDescent="0.2">
      <c r="A262" t="s">
        <v>42</v>
      </c>
      <c r="B262" s="6">
        <v>1.9689999999999999E-2</v>
      </c>
      <c r="C262" t="s">
        <v>626</v>
      </c>
      <c r="D262" t="s">
        <v>8</v>
      </c>
      <c r="E262" t="s">
        <v>629</v>
      </c>
      <c r="F262" t="s">
        <v>20</v>
      </c>
      <c r="G262" t="s">
        <v>763</v>
      </c>
      <c r="H262" t="s">
        <v>43</v>
      </c>
    </row>
    <row r="263" spans="1:8" x14ac:dyDescent="0.2">
      <c r="A263" t="s">
        <v>603</v>
      </c>
      <c r="B263" s="6">
        <f>0.00179/1000</f>
        <v>1.79E-6</v>
      </c>
      <c r="C263" t="s">
        <v>26</v>
      </c>
      <c r="D263" t="s">
        <v>8</v>
      </c>
      <c r="E263" t="s">
        <v>629</v>
      </c>
      <c r="F263" t="s">
        <v>20</v>
      </c>
      <c r="G263" t="s">
        <v>764</v>
      </c>
      <c r="H263" t="s">
        <v>602</v>
      </c>
    </row>
    <row r="264" spans="1:8" x14ac:dyDescent="0.2">
      <c r="A264" t="s">
        <v>50</v>
      </c>
      <c r="B264" s="6">
        <f>986/1000000</f>
        <v>9.859999999999999E-4</v>
      </c>
      <c r="C264" t="s">
        <v>26</v>
      </c>
      <c r="D264" t="s">
        <v>8</v>
      </c>
      <c r="F264" t="s">
        <v>20</v>
      </c>
      <c r="G264" t="s">
        <v>1026</v>
      </c>
      <c r="H264" t="s">
        <v>53</v>
      </c>
    </row>
    <row r="265" spans="1:8" x14ac:dyDescent="0.2">
      <c r="A265" t="s">
        <v>44</v>
      </c>
      <c r="B265" s="6">
        <v>5.3699999999999989E-3</v>
      </c>
      <c r="C265" t="s">
        <v>626</v>
      </c>
      <c r="D265" t="s">
        <v>8</v>
      </c>
      <c r="E265" t="s">
        <v>629</v>
      </c>
      <c r="F265" t="s">
        <v>20</v>
      </c>
      <c r="G265" t="s">
        <v>765</v>
      </c>
      <c r="H265" t="s">
        <v>45</v>
      </c>
    </row>
    <row r="266" spans="1:8" x14ac:dyDescent="0.2">
      <c r="A266" t="s">
        <v>46</v>
      </c>
      <c r="B266" s="6">
        <v>5.3699999999999989E-3</v>
      </c>
      <c r="C266" t="s">
        <v>626</v>
      </c>
      <c r="D266" t="s">
        <v>8</v>
      </c>
      <c r="E266" t="s">
        <v>629</v>
      </c>
      <c r="F266" t="s">
        <v>20</v>
      </c>
      <c r="G266" t="s">
        <v>766</v>
      </c>
      <c r="H266" t="s">
        <v>47</v>
      </c>
    </row>
    <row r="267" spans="1:8" x14ac:dyDescent="0.2">
      <c r="A267" t="s">
        <v>48</v>
      </c>
      <c r="B267" s="6">
        <v>2.3269999999999996E-2</v>
      </c>
      <c r="C267" t="s">
        <v>26</v>
      </c>
      <c r="D267" t="s">
        <v>8</v>
      </c>
      <c r="E267" t="s">
        <v>629</v>
      </c>
      <c r="F267" t="s">
        <v>20</v>
      </c>
      <c r="G267" t="s">
        <v>763</v>
      </c>
      <c r="H267" t="s">
        <v>49</v>
      </c>
    </row>
    <row r="268" spans="1:8" x14ac:dyDescent="0.2">
      <c r="A268" t="s">
        <v>22</v>
      </c>
      <c r="B268" s="6">
        <f>0.01295781*43</f>
        <v>0.55718582999999999</v>
      </c>
      <c r="C268" t="s">
        <v>26</v>
      </c>
      <c r="D268" t="s">
        <v>19</v>
      </c>
      <c r="E268" t="s">
        <v>629</v>
      </c>
      <c r="F268" t="s">
        <v>20</v>
      </c>
      <c r="G268" t="s">
        <v>767</v>
      </c>
      <c r="H268" t="s">
        <v>23</v>
      </c>
    </row>
    <row r="269" spans="1:8" x14ac:dyDescent="0.2">
      <c r="A269" t="s">
        <v>646</v>
      </c>
      <c r="B269" s="6">
        <v>7.464300000000001E-3</v>
      </c>
      <c r="C269" t="s">
        <v>619</v>
      </c>
      <c r="D269" t="s">
        <v>29</v>
      </c>
      <c r="E269" t="s">
        <v>632</v>
      </c>
      <c r="F269" t="s">
        <v>20</v>
      </c>
      <c r="G269" t="s">
        <v>762</v>
      </c>
      <c r="H269" t="s">
        <v>648</v>
      </c>
    </row>
    <row r="270" spans="1:8" x14ac:dyDescent="0.2">
      <c r="A270" t="s">
        <v>646</v>
      </c>
      <c r="B270" s="6">
        <v>1.9407179999999997E-3</v>
      </c>
      <c r="C270" t="s">
        <v>619</v>
      </c>
      <c r="D270" t="s">
        <v>29</v>
      </c>
      <c r="E270" t="s">
        <v>632</v>
      </c>
      <c r="F270" t="s">
        <v>20</v>
      </c>
      <c r="G270" t="s">
        <v>768</v>
      </c>
      <c r="H270" t="s">
        <v>648</v>
      </c>
    </row>
    <row r="271" spans="1:8" x14ac:dyDescent="0.2">
      <c r="A271" t="s">
        <v>769</v>
      </c>
      <c r="B271" s="6">
        <v>3.923859E-3</v>
      </c>
      <c r="C271" t="s">
        <v>567</v>
      </c>
      <c r="D271" t="s">
        <v>8</v>
      </c>
      <c r="E271" t="s">
        <v>629</v>
      </c>
      <c r="F271" t="s">
        <v>20</v>
      </c>
      <c r="G271" t="s">
        <v>762</v>
      </c>
      <c r="H271" t="s">
        <v>770</v>
      </c>
    </row>
    <row r="272" spans="1:8" x14ac:dyDescent="0.2">
      <c r="A272" t="s">
        <v>352</v>
      </c>
      <c r="B272" s="6">
        <f>50/1000</f>
        <v>0.05</v>
      </c>
      <c r="C272" t="s">
        <v>567</v>
      </c>
      <c r="D272" t="s">
        <v>41</v>
      </c>
      <c r="F272" t="s">
        <v>20</v>
      </c>
      <c r="G272" t="s">
        <v>841</v>
      </c>
      <c r="H272" t="s">
        <v>353</v>
      </c>
    </row>
    <row r="273" spans="1:7" x14ac:dyDescent="0.2">
      <c r="A273" t="s">
        <v>108</v>
      </c>
      <c r="B273" s="6">
        <f>17.9*(1-B253)</f>
        <v>15.393999999999998</v>
      </c>
      <c r="D273" t="s">
        <v>19</v>
      </c>
      <c r="E273" t="s">
        <v>112</v>
      </c>
      <c r="F273" t="s">
        <v>36</v>
      </c>
      <c r="G273" t="s">
        <v>790</v>
      </c>
    </row>
    <row r="274" spans="1:7" x14ac:dyDescent="0.2">
      <c r="A274" t="s">
        <v>1029</v>
      </c>
      <c r="B274" s="6">
        <f>0.444*(44/12)*(1-B253)</f>
        <v>1.40008</v>
      </c>
      <c r="D274" t="s">
        <v>8</v>
      </c>
      <c r="E274" t="s">
        <v>1030</v>
      </c>
      <c r="F274" t="s">
        <v>36</v>
      </c>
      <c r="G274" t="s">
        <v>867</v>
      </c>
    </row>
    <row r="275" spans="1:7" x14ac:dyDescent="0.2">
      <c r="A275" t="s">
        <v>194</v>
      </c>
      <c r="B275" s="6">
        <f>1/(7129/10000)</f>
        <v>1.4027212792818067</v>
      </c>
      <c r="D275" t="s">
        <v>113</v>
      </c>
      <c r="E275" t="s">
        <v>114</v>
      </c>
      <c r="F275" t="s">
        <v>36</v>
      </c>
      <c r="G275" t="s">
        <v>851</v>
      </c>
    </row>
    <row r="276" spans="1:7" x14ac:dyDescent="0.2">
      <c r="A276" t="s">
        <v>195</v>
      </c>
      <c r="B276" s="6">
        <f>1/(7129/10000)</f>
        <v>1.4027212792818067</v>
      </c>
      <c r="D276" t="s">
        <v>115</v>
      </c>
      <c r="E276" t="s">
        <v>114</v>
      </c>
      <c r="F276" t="s">
        <v>36</v>
      </c>
      <c r="G276" t="s">
        <v>847</v>
      </c>
    </row>
    <row r="277" spans="1:7" x14ac:dyDescent="0.2">
      <c r="A277" t="s">
        <v>196</v>
      </c>
      <c r="B277" s="6">
        <f>1/(7129/10000)</f>
        <v>1.4027212792818067</v>
      </c>
      <c r="D277" t="s">
        <v>115</v>
      </c>
      <c r="E277" t="s">
        <v>114</v>
      </c>
      <c r="F277" t="s">
        <v>36</v>
      </c>
      <c r="G277" t="s">
        <v>847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574</v>
      </c>
    </row>
    <row r="282" spans="1:7" x14ac:dyDescent="0.2">
      <c r="A282" t="s">
        <v>111</v>
      </c>
      <c r="B282" s="6">
        <f>B283/2</f>
        <v>0.47991081325301199</v>
      </c>
      <c r="D282" t="s">
        <v>115</v>
      </c>
      <c r="E282" t="s">
        <v>114</v>
      </c>
      <c r="F282" t="s">
        <v>36</v>
      </c>
      <c r="G282" t="s">
        <v>574</v>
      </c>
    </row>
    <row r="283" spans="1:7" x14ac:dyDescent="0.2">
      <c r="A283" t="s">
        <v>109</v>
      </c>
      <c r="B283" s="6">
        <v>0.95982162650602398</v>
      </c>
      <c r="D283" t="s">
        <v>113</v>
      </c>
      <c r="E283" t="s">
        <v>114</v>
      </c>
      <c r="F283" t="s">
        <v>36</v>
      </c>
      <c r="G283" t="s">
        <v>575</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1" spans="1:7" ht="16" x14ac:dyDescent="0.2">
      <c r="A331" s="1" t="s">
        <v>1</v>
      </c>
      <c r="B331" s="71" t="s">
        <v>846</v>
      </c>
    </row>
    <row r="332" spans="1:7" x14ac:dyDescent="0.2">
      <c r="A332" t="s">
        <v>2</v>
      </c>
      <c r="B332" s="6" t="s">
        <v>567</v>
      </c>
    </row>
    <row r="333" spans="1:7" x14ac:dyDescent="0.2">
      <c r="A333" t="s">
        <v>3</v>
      </c>
      <c r="B333" s="6">
        <v>1</v>
      </c>
    </row>
    <row r="334" spans="1:7" ht="16" x14ac:dyDescent="0.2">
      <c r="A334" t="s">
        <v>4</v>
      </c>
      <c r="B334" s="72" t="s">
        <v>1009</v>
      </c>
    </row>
    <row r="335" spans="1:7" x14ac:dyDescent="0.2">
      <c r="A335" t="s">
        <v>5</v>
      </c>
      <c r="B335" s="6" t="s">
        <v>6</v>
      </c>
    </row>
    <row r="336" spans="1:7" x14ac:dyDescent="0.2">
      <c r="A336" t="s">
        <v>7</v>
      </c>
      <c r="B336" s="6" t="s">
        <v>8</v>
      </c>
    </row>
    <row r="337" spans="1:8" x14ac:dyDescent="0.2">
      <c r="A337" t="s">
        <v>9</v>
      </c>
      <c r="B337" s="6" t="s">
        <v>627</v>
      </c>
    </row>
    <row r="338" spans="1:8" x14ac:dyDescent="0.2">
      <c r="A338" t="s">
        <v>11</v>
      </c>
      <c r="B338" s="6" t="s">
        <v>827</v>
      </c>
    </row>
    <row r="339" spans="1:8" x14ac:dyDescent="0.2">
      <c r="A339" t="s">
        <v>492</v>
      </c>
      <c r="B339" s="70">
        <f>Summary!O51</f>
        <v>0.81339920454860881</v>
      </c>
    </row>
    <row r="340" spans="1:8" ht="16" x14ac:dyDescent="0.2">
      <c r="A340" s="1" t="s">
        <v>12</v>
      </c>
    </row>
    <row r="341" spans="1:8" x14ac:dyDescent="0.2">
      <c r="A341" t="s">
        <v>13</v>
      </c>
      <c r="B341" s="6" t="s">
        <v>14</v>
      </c>
      <c r="C341" t="s">
        <v>2</v>
      </c>
      <c r="D341" t="s">
        <v>7</v>
      </c>
      <c r="E341" t="s">
        <v>15</v>
      </c>
      <c r="F341" t="s">
        <v>5</v>
      </c>
      <c r="G341" t="s">
        <v>11</v>
      </c>
      <c r="H341" t="s">
        <v>4</v>
      </c>
    </row>
    <row r="342" spans="1:8" ht="16" x14ac:dyDescent="0.2">
      <c r="A342" s="2" t="s">
        <v>846</v>
      </c>
      <c r="B342" s="6">
        <v>1</v>
      </c>
      <c r="C342" t="s">
        <v>567</v>
      </c>
      <c r="D342" t="s">
        <v>8</v>
      </c>
      <c r="E342" t="s">
        <v>828</v>
      </c>
      <c r="F342" t="s">
        <v>17</v>
      </c>
      <c r="G342" t="s">
        <v>18</v>
      </c>
      <c r="H342" s="72" t="s">
        <v>1009</v>
      </c>
    </row>
    <row r="343" spans="1:8" ht="16" x14ac:dyDescent="0.2">
      <c r="A343" t="s">
        <v>96</v>
      </c>
      <c r="B343" s="6">
        <f>31.1168/B273</f>
        <v>2.0213589710276736</v>
      </c>
      <c r="C343" t="s">
        <v>567</v>
      </c>
      <c r="D343" t="s">
        <v>8</v>
      </c>
      <c r="E343" t="s">
        <v>629</v>
      </c>
      <c r="F343" t="s">
        <v>20</v>
      </c>
      <c r="G343" t="s">
        <v>829</v>
      </c>
      <c r="H343" s="2" t="s">
        <v>426</v>
      </c>
    </row>
    <row r="344" spans="1:8" x14ac:dyDescent="0.2">
      <c r="A344" t="s">
        <v>254</v>
      </c>
      <c r="B344" s="6">
        <v>4.3500600000000002E-3</v>
      </c>
      <c r="C344" t="s">
        <v>567</v>
      </c>
      <c r="D344" t="s">
        <v>8</v>
      </c>
      <c r="E344" t="s">
        <v>629</v>
      </c>
      <c r="F344" t="s">
        <v>20</v>
      </c>
      <c r="G344" t="s">
        <v>630</v>
      </c>
      <c r="H344" t="s">
        <v>256</v>
      </c>
    </row>
    <row r="345" spans="1:8" x14ac:dyDescent="0.2">
      <c r="A345" t="s">
        <v>631</v>
      </c>
      <c r="B345" s="6">
        <v>6.2462400000000002</v>
      </c>
      <c r="C345" t="s">
        <v>567</v>
      </c>
      <c r="D345" t="s">
        <v>19</v>
      </c>
      <c r="E345" t="s">
        <v>632</v>
      </c>
      <c r="F345" t="s">
        <v>20</v>
      </c>
      <c r="G345" t="s">
        <v>633</v>
      </c>
      <c r="H345" t="s">
        <v>634</v>
      </c>
    </row>
    <row r="346" spans="1:8" x14ac:dyDescent="0.2">
      <c r="A346" t="s">
        <v>635</v>
      </c>
      <c r="B346" s="6">
        <v>1.8914896000000003E-3</v>
      </c>
      <c r="C346" t="s">
        <v>567</v>
      </c>
      <c r="D346" t="s">
        <v>8</v>
      </c>
      <c r="E346" t="s">
        <v>629</v>
      </c>
      <c r="F346" t="s">
        <v>20</v>
      </c>
      <c r="G346" t="s">
        <v>636</v>
      </c>
      <c r="H346" t="s">
        <v>637</v>
      </c>
    </row>
    <row r="347" spans="1:8" x14ac:dyDescent="0.2">
      <c r="A347" t="s">
        <v>386</v>
      </c>
      <c r="B347" s="6">
        <v>7.1877520000000012E-3</v>
      </c>
      <c r="C347" t="s">
        <v>26</v>
      </c>
      <c r="D347" t="s">
        <v>8</v>
      </c>
      <c r="E347" t="s">
        <v>629</v>
      </c>
      <c r="F347" t="s">
        <v>20</v>
      </c>
      <c r="G347" t="s">
        <v>638</v>
      </c>
      <c r="H347" t="s">
        <v>387</v>
      </c>
    </row>
    <row r="348" spans="1:8" x14ac:dyDescent="0.2">
      <c r="A348" t="s">
        <v>252</v>
      </c>
      <c r="B348" s="6">
        <v>2.2696960000000003E-3</v>
      </c>
      <c r="C348" t="s">
        <v>567</v>
      </c>
      <c r="D348" t="s">
        <v>8</v>
      </c>
      <c r="E348" t="s">
        <v>629</v>
      </c>
      <c r="F348" t="s">
        <v>20</v>
      </c>
      <c r="G348" t="s">
        <v>639</v>
      </c>
      <c r="H348" t="s">
        <v>253</v>
      </c>
    </row>
    <row r="349" spans="1:8" x14ac:dyDescent="0.2">
      <c r="A349" t="s">
        <v>100</v>
      </c>
      <c r="B349" s="6">
        <v>0.29172000000000003</v>
      </c>
      <c r="C349" t="s">
        <v>619</v>
      </c>
      <c r="D349" t="s">
        <v>41</v>
      </c>
      <c r="E349" t="s">
        <v>632</v>
      </c>
      <c r="F349" t="s">
        <v>20</v>
      </c>
      <c r="G349" t="s">
        <v>640</v>
      </c>
      <c r="H349" t="s">
        <v>103</v>
      </c>
    </row>
    <row r="350" spans="1:8" x14ac:dyDescent="0.2">
      <c r="A350" t="s">
        <v>100</v>
      </c>
      <c r="B350" s="6">
        <v>8.0079999999999998E-2</v>
      </c>
      <c r="C350" t="s">
        <v>619</v>
      </c>
      <c r="D350" t="s">
        <v>41</v>
      </c>
      <c r="E350" t="s">
        <v>632</v>
      </c>
      <c r="F350" t="s">
        <v>20</v>
      </c>
      <c r="G350" t="s">
        <v>830</v>
      </c>
      <c r="H350" t="s">
        <v>103</v>
      </c>
    </row>
    <row r="351" spans="1:8" x14ac:dyDescent="0.2">
      <c r="A351" t="s">
        <v>97</v>
      </c>
      <c r="B351" s="6">
        <v>0.16302000000000003</v>
      </c>
      <c r="C351" t="s">
        <v>567</v>
      </c>
      <c r="D351" t="s">
        <v>41</v>
      </c>
      <c r="E351" t="s">
        <v>632</v>
      </c>
      <c r="F351" t="s">
        <v>20</v>
      </c>
      <c r="G351" t="s">
        <v>641</v>
      </c>
      <c r="H351" t="s">
        <v>98</v>
      </c>
    </row>
    <row r="352" spans="1:8" x14ac:dyDescent="0.2">
      <c r="A352" t="s">
        <v>352</v>
      </c>
      <c r="B352" s="6">
        <v>0.31459999999999999</v>
      </c>
      <c r="C352" t="s">
        <v>567</v>
      </c>
      <c r="D352" t="s">
        <v>41</v>
      </c>
      <c r="E352" t="s">
        <v>632</v>
      </c>
      <c r="F352" t="s">
        <v>20</v>
      </c>
      <c r="G352" t="s">
        <v>831</v>
      </c>
      <c r="H352" t="s">
        <v>353</v>
      </c>
    </row>
    <row r="353" spans="1:8" x14ac:dyDescent="0.2">
      <c r="A353" t="s">
        <v>352</v>
      </c>
      <c r="B353" s="6">
        <v>0.35178000000000004</v>
      </c>
      <c r="C353" t="s">
        <v>567</v>
      </c>
      <c r="D353" t="s">
        <v>41</v>
      </c>
      <c r="E353" t="s">
        <v>632</v>
      </c>
      <c r="F353" t="s">
        <v>20</v>
      </c>
      <c r="G353" t="s">
        <v>642</v>
      </c>
      <c r="H353" t="s">
        <v>353</v>
      </c>
    </row>
    <row r="354" spans="1:8" x14ac:dyDescent="0.2">
      <c r="A354" t="s">
        <v>352</v>
      </c>
      <c r="B354" s="6">
        <v>0.1716</v>
      </c>
      <c r="C354" t="s">
        <v>567</v>
      </c>
      <c r="D354" t="s">
        <v>41</v>
      </c>
      <c r="E354" t="s">
        <v>632</v>
      </c>
      <c r="F354" t="s">
        <v>20</v>
      </c>
      <c r="G354" t="s">
        <v>643</v>
      </c>
      <c r="H354" t="s">
        <v>353</v>
      </c>
    </row>
    <row r="355" spans="1:8" x14ac:dyDescent="0.2">
      <c r="A355" t="s">
        <v>976</v>
      </c>
      <c r="B355" s="6">
        <v>1.19262</v>
      </c>
      <c r="C355" t="s">
        <v>26</v>
      </c>
      <c r="D355" t="s">
        <v>41</v>
      </c>
      <c r="E355" t="s">
        <v>632</v>
      </c>
      <c r="F355" t="s">
        <v>20</v>
      </c>
      <c r="G355" t="s">
        <v>644</v>
      </c>
      <c r="H355" t="s">
        <v>977</v>
      </c>
    </row>
    <row r="356" spans="1:8" x14ac:dyDescent="0.2">
      <c r="A356" t="s">
        <v>967</v>
      </c>
      <c r="B356" s="6">
        <v>7.5658440000000004E-3</v>
      </c>
      <c r="C356" t="s">
        <v>567</v>
      </c>
      <c r="D356" t="s">
        <v>8</v>
      </c>
      <c r="E356" t="s">
        <v>629</v>
      </c>
      <c r="F356" t="s">
        <v>20</v>
      </c>
      <c r="G356" t="s">
        <v>645</v>
      </c>
      <c r="H356" t="s">
        <v>968</v>
      </c>
    </row>
    <row r="357" spans="1:8" x14ac:dyDescent="0.2">
      <c r="A357" t="s">
        <v>646</v>
      </c>
      <c r="B357" s="6">
        <v>0.18883150000000004</v>
      </c>
      <c r="C357" t="s">
        <v>619</v>
      </c>
      <c r="D357" t="s">
        <v>29</v>
      </c>
      <c r="E357" t="s">
        <v>632</v>
      </c>
      <c r="F357" t="s">
        <v>20</v>
      </c>
      <c r="G357" t="s">
        <v>647</v>
      </c>
      <c r="H357" t="s">
        <v>648</v>
      </c>
    </row>
    <row r="358" spans="1:8" x14ac:dyDescent="0.2">
      <c r="A358" t="s">
        <v>646</v>
      </c>
      <c r="B358" s="6">
        <v>3.3711392000000007E-2</v>
      </c>
      <c r="C358" t="s">
        <v>619</v>
      </c>
      <c r="D358" t="s">
        <v>29</v>
      </c>
      <c r="E358" t="s">
        <v>632</v>
      </c>
      <c r="F358" t="s">
        <v>20</v>
      </c>
      <c r="G358" t="s">
        <v>649</v>
      </c>
      <c r="H358" t="s">
        <v>648</v>
      </c>
    </row>
    <row r="359" spans="1:8" x14ac:dyDescent="0.2">
      <c r="A359" t="s">
        <v>646</v>
      </c>
      <c r="B359" s="6">
        <v>4.6750704000000001E-3</v>
      </c>
      <c r="C359" t="s">
        <v>619</v>
      </c>
      <c r="D359" t="s">
        <v>29</v>
      </c>
      <c r="E359" t="s">
        <v>632</v>
      </c>
      <c r="F359" t="s">
        <v>20</v>
      </c>
      <c r="G359" t="s">
        <v>650</v>
      </c>
      <c r="H359" t="s">
        <v>648</v>
      </c>
    </row>
    <row r="360" spans="1:8" x14ac:dyDescent="0.2">
      <c r="A360" t="s">
        <v>265</v>
      </c>
      <c r="B360" s="6">
        <f>('Cozzolini 2018'!B343*'Cozzolini 2018'!B274*(1+B257))-Parameters!$B$13</f>
        <v>1.3122732656983251</v>
      </c>
      <c r="D360" t="s">
        <v>8</v>
      </c>
      <c r="E360" t="s">
        <v>37</v>
      </c>
      <c r="F360" t="s">
        <v>36</v>
      </c>
      <c r="G360" t="s">
        <v>651</v>
      </c>
    </row>
    <row r="362" spans="1:8" ht="16" x14ac:dyDescent="0.2">
      <c r="A362" s="1" t="s">
        <v>1</v>
      </c>
      <c r="B362" s="71" t="s">
        <v>826</v>
      </c>
    </row>
    <row r="363" spans="1:8" x14ac:dyDescent="0.2">
      <c r="A363" t="s">
        <v>2</v>
      </c>
      <c r="B363" s="6" t="s">
        <v>567</v>
      </c>
    </row>
    <row r="364" spans="1:8" x14ac:dyDescent="0.2">
      <c r="A364" t="s">
        <v>3</v>
      </c>
      <c r="B364" s="6">
        <v>1</v>
      </c>
    </row>
    <row r="365" spans="1:8" ht="16" x14ac:dyDescent="0.2">
      <c r="A365" t="s">
        <v>4</v>
      </c>
      <c r="B365" s="72" t="s">
        <v>337</v>
      </c>
    </row>
    <row r="366" spans="1:8" x14ac:dyDescent="0.2">
      <c r="A366" t="s">
        <v>9</v>
      </c>
      <c r="B366" s="6" t="s">
        <v>627</v>
      </c>
    </row>
    <row r="367" spans="1:8" x14ac:dyDescent="0.2">
      <c r="A367" t="s">
        <v>5</v>
      </c>
      <c r="B367" s="6" t="s">
        <v>6</v>
      </c>
    </row>
    <row r="368" spans="1:8" x14ac:dyDescent="0.2">
      <c r="A368" t="s">
        <v>7</v>
      </c>
      <c r="B368" s="6" t="s">
        <v>8</v>
      </c>
    </row>
    <row r="369" spans="1:11" x14ac:dyDescent="0.2">
      <c r="A369" t="s">
        <v>11</v>
      </c>
      <c r="B369" s="6" t="s">
        <v>625</v>
      </c>
    </row>
    <row r="370" spans="1:11" ht="16" x14ac:dyDescent="0.2">
      <c r="A370" s="1" t="s">
        <v>12</v>
      </c>
    </row>
    <row r="371" spans="1:11" x14ac:dyDescent="0.2">
      <c r="A371" t="s">
        <v>13</v>
      </c>
      <c r="B371" s="6" t="s">
        <v>14</v>
      </c>
      <c r="C371" t="s">
        <v>2</v>
      </c>
      <c r="D371" t="s">
        <v>7</v>
      </c>
      <c r="E371" t="s">
        <v>15</v>
      </c>
      <c r="F371" t="s">
        <v>5</v>
      </c>
      <c r="G371" t="s">
        <v>338</v>
      </c>
      <c r="H371" t="s">
        <v>339</v>
      </c>
      <c r="I371" t="s">
        <v>16</v>
      </c>
      <c r="J371" t="s">
        <v>11</v>
      </c>
      <c r="K371" t="s">
        <v>4</v>
      </c>
    </row>
    <row r="372" spans="1:11" x14ac:dyDescent="0.2">
      <c r="A372" t="s">
        <v>826</v>
      </c>
      <c r="B372" s="6">
        <v>1</v>
      </c>
      <c r="C372" t="s">
        <v>567</v>
      </c>
      <c r="D372" t="s">
        <v>8</v>
      </c>
      <c r="F372" t="s">
        <v>17</v>
      </c>
      <c r="I372">
        <v>100</v>
      </c>
      <c r="J372" t="s">
        <v>18</v>
      </c>
      <c r="K372" t="s">
        <v>337</v>
      </c>
    </row>
    <row r="373" spans="1:11" ht="16" x14ac:dyDescent="0.2">
      <c r="A373" s="2" t="s">
        <v>846</v>
      </c>
      <c r="B373" s="6">
        <v>1.00057</v>
      </c>
      <c r="C373" t="s">
        <v>567</v>
      </c>
      <c r="D373" t="s">
        <v>8</v>
      </c>
      <c r="F373" t="s">
        <v>20</v>
      </c>
      <c r="K373" s="72" t="s">
        <v>1009</v>
      </c>
    </row>
    <row r="374" spans="1:11" x14ac:dyDescent="0.2">
      <c r="A374" t="s">
        <v>28</v>
      </c>
      <c r="B374" s="6">
        <v>6.7000000000000002E-3</v>
      </c>
      <c r="C374" t="s">
        <v>567</v>
      </c>
      <c r="D374" t="s">
        <v>29</v>
      </c>
      <c r="F374" t="s">
        <v>20</v>
      </c>
      <c r="K374" t="s">
        <v>30</v>
      </c>
    </row>
    <row r="375" spans="1:11" x14ac:dyDescent="0.2">
      <c r="A375" t="s">
        <v>340</v>
      </c>
      <c r="B375" s="6">
        <v>-1.6799999999999999E-4</v>
      </c>
      <c r="C375" t="s">
        <v>619</v>
      </c>
      <c r="D375" t="s">
        <v>8</v>
      </c>
      <c r="F375" t="s">
        <v>20</v>
      </c>
      <c r="K375" t="s">
        <v>341</v>
      </c>
    </row>
    <row r="376" spans="1:11" x14ac:dyDescent="0.2">
      <c r="A376" t="s">
        <v>342</v>
      </c>
      <c r="B376" s="6">
        <v>5.8399999999999999E-4</v>
      </c>
      <c r="C376" t="s">
        <v>626</v>
      </c>
      <c r="D376" t="s">
        <v>19</v>
      </c>
      <c r="F376" t="s">
        <v>20</v>
      </c>
      <c r="K376" t="s">
        <v>343</v>
      </c>
    </row>
    <row r="377" spans="1:11" x14ac:dyDescent="0.2">
      <c r="A377" t="s">
        <v>344</v>
      </c>
      <c r="B377" s="6">
        <v>2.5999999999999998E-10</v>
      </c>
      <c r="C377" t="s">
        <v>567</v>
      </c>
      <c r="D377" t="s">
        <v>7</v>
      </c>
      <c r="F377" t="s">
        <v>20</v>
      </c>
      <c r="K377" t="s">
        <v>345</v>
      </c>
    </row>
    <row r="378" spans="1:11" x14ac:dyDescent="0.2">
      <c r="A378" t="s">
        <v>346</v>
      </c>
      <c r="B378" s="6">
        <v>-6.2700000000000001E-6</v>
      </c>
      <c r="C378" t="s">
        <v>626</v>
      </c>
      <c r="D378" t="s">
        <v>8</v>
      </c>
      <c r="F378" t="s">
        <v>20</v>
      </c>
      <c r="K378" t="s">
        <v>347</v>
      </c>
    </row>
    <row r="379" spans="1:11" x14ac:dyDescent="0.2">
      <c r="A379" t="s">
        <v>348</v>
      </c>
      <c r="B379" s="6">
        <v>-7.4999999999999993E-5</v>
      </c>
      <c r="C379" t="s">
        <v>619</v>
      </c>
      <c r="D379" t="s">
        <v>121</v>
      </c>
      <c r="F379" t="s">
        <v>20</v>
      </c>
      <c r="K379" t="s">
        <v>349</v>
      </c>
    </row>
    <row r="380" spans="1:11" x14ac:dyDescent="0.2">
      <c r="A380" t="s">
        <v>350</v>
      </c>
      <c r="B380" s="6">
        <v>6.8900000000000005E-4</v>
      </c>
      <c r="C380" t="s">
        <v>619</v>
      </c>
      <c r="D380" t="s">
        <v>8</v>
      </c>
      <c r="F380" t="s">
        <v>20</v>
      </c>
      <c r="K380" t="s">
        <v>351</v>
      </c>
    </row>
    <row r="381" spans="1:11" x14ac:dyDescent="0.2">
      <c r="A381" t="s">
        <v>100</v>
      </c>
      <c r="B381" s="6">
        <v>3.3599999999999998E-2</v>
      </c>
      <c r="C381" t="s">
        <v>619</v>
      </c>
      <c r="D381" t="s">
        <v>41</v>
      </c>
      <c r="F381" t="s">
        <v>20</v>
      </c>
      <c r="K381" t="s">
        <v>103</v>
      </c>
    </row>
    <row r="382" spans="1:11" x14ac:dyDescent="0.2">
      <c r="A382" t="s">
        <v>352</v>
      </c>
      <c r="B382" s="6">
        <v>3.2599999999999997E-2</v>
      </c>
      <c r="C382" t="s">
        <v>567</v>
      </c>
      <c r="D382" t="s">
        <v>41</v>
      </c>
      <c r="F382" t="s">
        <v>20</v>
      </c>
      <c r="K382" t="s">
        <v>353</v>
      </c>
    </row>
    <row r="383" spans="1:11" x14ac:dyDescent="0.2">
      <c r="A383" t="s">
        <v>354</v>
      </c>
      <c r="B383" s="6">
        <v>-6.8899999999999999E-7</v>
      </c>
      <c r="C383" t="s">
        <v>619</v>
      </c>
      <c r="D383" t="s">
        <v>121</v>
      </c>
      <c r="F383" t="s">
        <v>20</v>
      </c>
      <c r="K383" t="s">
        <v>355</v>
      </c>
    </row>
    <row r="384" spans="1:11" ht="16.25" customHeight="1" x14ac:dyDescent="0.2">
      <c r="A384" s="1"/>
      <c r="B384" s="71"/>
    </row>
    <row r="385" spans="1:8" ht="16" x14ac:dyDescent="0.2">
      <c r="A385" s="1" t="s">
        <v>1</v>
      </c>
      <c r="B385" s="71" t="s">
        <v>857</v>
      </c>
    </row>
    <row r="386" spans="1:8" x14ac:dyDescent="0.2">
      <c r="A386" t="s">
        <v>2</v>
      </c>
      <c r="B386" s="6" t="s">
        <v>567</v>
      </c>
    </row>
    <row r="387" spans="1:8" x14ac:dyDescent="0.2">
      <c r="A387" t="s">
        <v>3</v>
      </c>
      <c r="B387" s="6">
        <v>1</v>
      </c>
    </row>
    <row r="388" spans="1:8" x14ac:dyDescent="0.2">
      <c r="A388" t="s">
        <v>4</v>
      </c>
      <c r="B388" s="6" t="s">
        <v>656</v>
      </c>
    </row>
    <row r="389" spans="1:8" x14ac:dyDescent="0.2">
      <c r="A389" t="s">
        <v>5</v>
      </c>
      <c r="B389" s="6" t="s">
        <v>6</v>
      </c>
    </row>
    <row r="390" spans="1:8" x14ac:dyDescent="0.2">
      <c r="A390" t="s">
        <v>7</v>
      </c>
      <c r="B390" s="6" t="s">
        <v>8</v>
      </c>
    </row>
    <row r="391" spans="1:8" x14ac:dyDescent="0.2">
      <c r="A391" t="s">
        <v>858</v>
      </c>
      <c r="B391" s="6">
        <v>80.760000000000005</v>
      </c>
    </row>
    <row r="392" spans="1:8" x14ac:dyDescent="0.2">
      <c r="A392" t="s">
        <v>836</v>
      </c>
      <c r="B392" s="6">
        <v>16.3</v>
      </c>
      <c r="D392" s="6"/>
    </row>
    <row r="393" spans="1:8" x14ac:dyDescent="0.2">
      <c r="A393" t="s">
        <v>842</v>
      </c>
      <c r="B393" s="73">
        <v>0.75</v>
      </c>
    </row>
    <row r="394" spans="1:8" x14ac:dyDescent="0.2">
      <c r="A394" t="s">
        <v>9</v>
      </c>
      <c r="B394" s="6" t="s">
        <v>627</v>
      </c>
    </row>
    <row r="395" spans="1:8" ht="16" x14ac:dyDescent="0.2">
      <c r="A395" s="1" t="s">
        <v>12</v>
      </c>
    </row>
    <row r="396" spans="1:8" x14ac:dyDescent="0.2">
      <c r="A396" t="s">
        <v>13</v>
      </c>
      <c r="B396" s="6" t="s">
        <v>14</v>
      </c>
      <c r="C396" t="s">
        <v>2</v>
      </c>
      <c r="D396" t="s">
        <v>7</v>
      </c>
      <c r="E396" t="s">
        <v>15</v>
      </c>
      <c r="F396" t="s">
        <v>5</v>
      </c>
      <c r="G396" t="s">
        <v>11</v>
      </c>
      <c r="H396" t="s">
        <v>4</v>
      </c>
    </row>
    <row r="397" spans="1:8" x14ac:dyDescent="0.2">
      <c r="A397" t="s">
        <v>857</v>
      </c>
      <c r="B397" s="6">
        <v>1</v>
      </c>
      <c r="C397" t="s">
        <v>567</v>
      </c>
      <c r="D397" t="s">
        <v>8</v>
      </c>
      <c r="E397" t="s">
        <v>655</v>
      </c>
      <c r="F397" t="s">
        <v>17</v>
      </c>
      <c r="G397" t="s">
        <v>797</v>
      </c>
      <c r="H397" t="s">
        <v>656</v>
      </c>
    </row>
    <row r="398" spans="1:8" x14ac:dyDescent="0.2">
      <c r="A398" t="s">
        <v>857</v>
      </c>
      <c r="B398" s="6">
        <v>0.14000000000000001</v>
      </c>
      <c r="C398" t="s">
        <v>567</v>
      </c>
      <c r="D398" t="s">
        <v>8</v>
      </c>
      <c r="E398" t="s">
        <v>655</v>
      </c>
      <c r="F398" t="s">
        <v>20</v>
      </c>
      <c r="G398" t="s">
        <v>859</v>
      </c>
      <c r="H398" t="s">
        <v>656</v>
      </c>
    </row>
    <row r="399" spans="1:8" x14ac:dyDescent="0.2">
      <c r="A399" t="s">
        <v>42</v>
      </c>
      <c r="B399" s="6">
        <v>1.42625E-3</v>
      </c>
      <c r="C399" t="s">
        <v>626</v>
      </c>
      <c r="D399" t="s">
        <v>8</v>
      </c>
      <c r="E399" t="s">
        <v>629</v>
      </c>
      <c r="F399" t="s">
        <v>20</v>
      </c>
      <c r="G399" t="s">
        <v>798</v>
      </c>
      <c r="H399" t="s">
        <v>43</v>
      </c>
    </row>
    <row r="400" spans="1:8" x14ac:dyDescent="0.2">
      <c r="A400" t="s">
        <v>603</v>
      </c>
      <c r="B400" s="6">
        <f>0.00020375/1000</f>
        <v>2.0374999999999998E-7</v>
      </c>
      <c r="C400" t="s">
        <v>26</v>
      </c>
      <c r="D400" t="s">
        <v>8</v>
      </c>
      <c r="E400" t="s">
        <v>629</v>
      </c>
      <c r="F400" t="s">
        <v>20</v>
      </c>
      <c r="G400" t="s">
        <v>799</v>
      </c>
      <c r="H400" t="s">
        <v>602</v>
      </c>
    </row>
    <row r="401" spans="1:8" x14ac:dyDescent="0.2">
      <c r="A401" t="s">
        <v>44</v>
      </c>
      <c r="B401" s="6">
        <v>6.1124999999999992E-4</v>
      </c>
      <c r="C401" t="s">
        <v>626</v>
      </c>
      <c r="D401" t="s">
        <v>8</v>
      </c>
      <c r="E401" t="s">
        <v>629</v>
      </c>
      <c r="F401" t="s">
        <v>20</v>
      </c>
      <c r="G401" t="s">
        <v>800</v>
      </c>
      <c r="H401" t="s">
        <v>45</v>
      </c>
    </row>
    <row r="402" spans="1:8" x14ac:dyDescent="0.2">
      <c r="A402" t="s">
        <v>46</v>
      </c>
      <c r="B402" s="6">
        <v>1.0594999999999999E-3</v>
      </c>
      <c r="C402" t="s">
        <v>626</v>
      </c>
      <c r="D402" t="s">
        <v>8</v>
      </c>
      <c r="E402" t="s">
        <v>629</v>
      </c>
      <c r="F402" t="s">
        <v>20</v>
      </c>
      <c r="G402" t="s">
        <v>801</v>
      </c>
      <c r="H402" t="s">
        <v>47</v>
      </c>
    </row>
    <row r="403" spans="1:8" x14ac:dyDescent="0.2">
      <c r="A403" t="s">
        <v>48</v>
      </c>
      <c r="B403" s="6">
        <v>4.4010000000000004E-3</v>
      </c>
      <c r="C403" t="s">
        <v>26</v>
      </c>
      <c r="D403" t="s">
        <v>8</v>
      </c>
      <c r="E403" t="s">
        <v>629</v>
      </c>
      <c r="F403" t="s">
        <v>20</v>
      </c>
      <c r="G403" t="s">
        <v>802</v>
      </c>
      <c r="H403" t="s">
        <v>49</v>
      </c>
    </row>
    <row r="404" spans="1:8" x14ac:dyDescent="0.2">
      <c r="A404" t="s">
        <v>803</v>
      </c>
      <c r="B404" s="6">
        <v>4.0750000000000008E-5</v>
      </c>
      <c r="C404" t="s">
        <v>26</v>
      </c>
      <c r="D404" t="s">
        <v>8</v>
      </c>
      <c r="E404" t="s">
        <v>629</v>
      </c>
      <c r="F404" t="s">
        <v>20</v>
      </c>
      <c r="G404" t="s">
        <v>804</v>
      </c>
      <c r="H404" t="s">
        <v>805</v>
      </c>
    </row>
    <row r="405" spans="1:8" x14ac:dyDescent="0.2">
      <c r="A405" t="s">
        <v>22</v>
      </c>
      <c r="B405" s="6">
        <f>0.0105*B392</f>
        <v>0.17115000000000002</v>
      </c>
      <c r="C405" t="s">
        <v>26</v>
      </c>
      <c r="D405" t="s">
        <v>19</v>
      </c>
      <c r="E405" t="s">
        <v>629</v>
      </c>
      <c r="F405" t="s">
        <v>20</v>
      </c>
      <c r="G405" t="s">
        <v>806</v>
      </c>
      <c r="H405" t="s">
        <v>23</v>
      </c>
    </row>
    <row r="406" spans="1:8" x14ac:dyDescent="0.2">
      <c r="A406" t="s">
        <v>646</v>
      </c>
      <c r="B406" s="6">
        <v>4.3048300000000008E-3</v>
      </c>
      <c r="C406" t="s">
        <v>619</v>
      </c>
      <c r="D406" t="s">
        <v>29</v>
      </c>
      <c r="E406" t="s">
        <v>632</v>
      </c>
      <c r="F406" t="s">
        <v>20</v>
      </c>
      <c r="G406" t="s">
        <v>807</v>
      </c>
      <c r="H406" t="s">
        <v>648</v>
      </c>
    </row>
    <row r="407" spans="1:8" x14ac:dyDescent="0.2">
      <c r="A407" t="s">
        <v>646</v>
      </c>
      <c r="B407" s="6">
        <v>2.4449999999999997E-3</v>
      </c>
      <c r="C407" t="s">
        <v>619</v>
      </c>
      <c r="D407" t="s">
        <v>29</v>
      </c>
      <c r="E407" t="s">
        <v>632</v>
      </c>
      <c r="F407" t="s">
        <v>20</v>
      </c>
      <c r="G407" t="s">
        <v>808</v>
      </c>
      <c r="H407" t="s">
        <v>648</v>
      </c>
    </row>
    <row r="408" spans="1:8" x14ac:dyDescent="0.2">
      <c r="A408" t="s">
        <v>108</v>
      </c>
      <c r="B408" s="6">
        <v>4.0750000000000002</v>
      </c>
      <c r="D408" t="s">
        <v>19</v>
      </c>
      <c r="E408" t="s">
        <v>112</v>
      </c>
      <c r="F408" t="s">
        <v>36</v>
      </c>
      <c r="G408" t="s">
        <v>790</v>
      </c>
    </row>
    <row r="409" spans="1:8" x14ac:dyDescent="0.2">
      <c r="A409" t="s">
        <v>352</v>
      </c>
      <c r="B409" s="6">
        <f>50/1000</f>
        <v>0.05</v>
      </c>
      <c r="C409" t="s">
        <v>567</v>
      </c>
      <c r="D409" t="s">
        <v>41</v>
      </c>
      <c r="F409" t="s">
        <v>20</v>
      </c>
      <c r="G409" t="s">
        <v>841</v>
      </c>
      <c r="H409" t="s">
        <v>353</v>
      </c>
    </row>
    <row r="410" spans="1:8" x14ac:dyDescent="0.2">
      <c r="A410" t="s">
        <v>1029</v>
      </c>
      <c r="B410" s="6">
        <f>0.445*(44/12)*(1-B393)</f>
        <v>0.40791666666666665</v>
      </c>
      <c r="D410" t="s">
        <v>8</v>
      </c>
      <c r="E410" t="s">
        <v>1030</v>
      </c>
      <c r="F410" t="s">
        <v>36</v>
      </c>
      <c r="G410" t="s">
        <v>866</v>
      </c>
    </row>
    <row r="411" spans="1:8" x14ac:dyDescent="0.2">
      <c r="A411" t="s">
        <v>194</v>
      </c>
      <c r="B411" s="6">
        <f>(1/(($B$391*1000)/10000))*0.6</f>
        <v>7.4294205052005929E-2</v>
      </c>
      <c r="D411" t="s">
        <v>113</v>
      </c>
      <c r="E411" t="s">
        <v>114</v>
      </c>
      <c r="F411" t="s">
        <v>36</v>
      </c>
      <c r="G411" t="s">
        <v>938</v>
      </c>
    </row>
    <row r="412" spans="1:8" x14ac:dyDescent="0.2">
      <c r="A412" t="s">
        <v>195</v>
      </c>
      <c r="B412" s="6">
        <f>1/(($B$391*1000)/10000)</f>
        <v>0.12382367508667656</v>
      </c>
      <c r="D412" t="s">
        <v>115</v>
      </c>
      <c r="E412" t="s">
        <v>114</v>
      </c>
      <c r="F412" t="s">
        <v>36</v>
      </c>
      <c r="G412" t="s">
        <v>847</v>
      </c>
    </row>
    <row r="413" spans="1:8" x14ac:dyDescent="0.2">
      <c r="A413" t="s">
        <v>196</v>
      </c>
      <c r="B413" s="6">
        <f>1/(($B$391*1000)/10000)</f>
        <v>0.12382367508667656</v>
      </c>
      <c r="D413" t="s">
        <v>115</v>
      </c>
      <c r="E413" t="s">
        <v>114</v>
      </c>
      <c r="F413" t="s">
        <v>36</v>
      </c>
      <c r="G413" t="s">
        <v>847</v>
      </c>
    </row>
    <row r="414" spans="1:8" x14ac:dyDescent="0.2">
      <c r="A414" t="s">
        <v>40</v>
      </c>
      <c r="B414" s="6">
        <v>5.1222750000000004E-5</v>
      </c>
      <c r="D414" t="s">
        <v>8</v>
      </c>
      <c r="E414" t="s">
        <v>37</v>
      </c>
      <c r="F414" t="s">
        <v>36</v>
      </c>
      <c r="G414" t="s">
        <v>796</v>
      </c>
    </row>
    <row r="415" spans="1:8" x14ac:dyDescent="0.2">
      <c r="A415" t="s">
        <v>40</v>
      </c>
      <c r="B415" s="6">
        <v>1.2225E-7</v>
      </c>
      <c r="D415" t="s">
        <v>8</v>
      </c>
      <c r="E415" t="s">
        <v>37</v>
      </c>
      <c r="F415" t="s">
        <v>36</v>
      </c>
      <c r="G415" t="s">
        <v>778</v>
      </c>
    </row>
    <row r="416" spans="1:8" x14ac:dyDescent="0.2">
      <c r="A416" t="s">
        <v>193</v>
      </c>
      <c r="B416" s="6">
        <v>4.0750000000000004E-8</v>
      </c>
      <c r="D416" t="s">
        <v>8</v>
      </c>
      <c r="E416" t="s">
        <v>37</v>
      </c>
      <c r="F416" t="s">
        <v>36</v>
      </c>
      <c r="G416" t="s">
        <v>778</v>
      </c>
    </row>
    <row r="417" spans="1:8" x14ac:dyDescent="0.2">
      <c r="A417" t="s">
        <v>120</v>
      </c>
      <c r="B417" s="6">
        <v>1.9784999999999998E-3</v>
      </c>
      <c r="C417" t="s">
        <v>958</v>
      </c>
      <c r="D417" t="s">
        <v>121</v>
      </c>
      <c r="F417" t="s">
        <v>20</v>
      </c>
      <c r="G417" t="s">
        <v>942</v>
      </c>
      <c r="H417" t="s">
        <v>122</v>
      </c>
    </row>
    <row r="418" spans="1:8" x14ac:dyDescent="0.2">
      <c r="A418" t="s">
        <v>960</v>
      </c>
      <c r="B418" s="6">
        <v>6.8171999999999998E-3</v>
      </c>
      <c r="C418" t="s">
        <v>26</v>
      </c>
      <c r="D418" t="s">
        <v>8</v>
      </c>
      <c r="F418" t="s">
        <v>20</v>
      </c>
      <c r="G418" t="s">
        <v>942</v>
      </c>
      <c r="H418" t="s">
        <v>886</v>
      </c>
    </row>
    <row r="419" spans="1:8" x14ac:dyDescent="0.2">
      <c r="A419" t="s">
        <v>887</v>
      </c>
      <c r="B419" s="6">
        <v>1.43E-5</v>
      </c>
      <c r="C419" t="s">
        <v>26</v>
      </c>
      <c r="D419" t="s">
        <v>8</v>
      </c>
      <c r="F419" t="s">
        <v>20</v>
      </c>
      <c r="G419" t="s">
        <v>942</v>
      </c>
      <c r="H419" t="s">
        <v>888</v>
      </c>
    </row>
    <row r="420" spans="1:8" x14ac:dyDescent="0.2">
      <c r="A420" t="s">
        <v>172</v>
      </c>
      <c r="B420" s="6">
        <v>3.3252789015899998E-3</v>
      </c>
      <c r="D420" t="s">
        <v>8</v>
      </c>
      <c r="E420" t="s">
        <v>179</v>
      </c>
      <c r="F420" t="s">
        <v>36</v>
      </c>
      <c r="G420" t="s">
        <v>942</v>
      </c>
    </row>
    <row r="421" spans="1:8" x14ac:dyDescent="0.2">
      <c r="A421" t="s">
        <v>127</v>
      </c>
      <c r="B421" s="6">
        <v>2.19634408602E-3</v>
      </c>
      <c r="D421" t="s">
        <v>8</v>
      </c>
      <c r="E421" t="s">
        <v>169</v>
      </c>
      <c r="F421" t="s">
        <v>36</v>
      </c>
      <c r="G421" t="s">
        <v>942</v>
      </c>
    </row>
    <row r="422" spans="1:8" x14ac:dyDescent="0.2">
      <c r="A422" t="s">
        <v>126</v>
      </c>
      <c r="B422" s="6">
        <v>1.19387096774E-3</v>
      </c>
      <c r="D422" t="s">
        <v>121</v>
      </c>
      <c r="E422" t="s">
        <v>169</v>
      </c>
      <c r="F422" t="s">
        <v>36</v>
      </c>
      <c r="G422" t="s">
        <v>942</v>
      </c>
    </row>
    <row r="423" spans="1:8" x14ac:dyDescent="0.2">
      <c r="A423" t="s">
        <v>126</v>
      </c>
      <c r="B423" s="6">
        <v>6.2769892473099999E-4</v>
      </c>
      <c r="D423" t="s">
        <v>121</v>
      </c>
      <c r="E423" t="s">
        <v>171</v>
      </c>
      <c r="F423" t="s">
        <v>36</v>
      </c>
      <c r="G423" t="s">
        <v>942</v>
      </c>
    </row>
    <row r="424" spans="1:8" x14ac:dyDescent="0.2">
      <c r="A424" t="s">
        <v>325</v>
      </c>
      <c r="B424" s="6">
        <v>5.3903225806499998E-4</v>
      </c>
      <c r="D424" t="s">
        <v>8</v>
      </c>
      <c r="E424" t="s">
        <v>169</v>
      </c>
      <c r="F424" t="s">
        <v>36</v>
      </c>
      <c r="G424" t="s">
        <v>942</v>
      </c>
    </row>
    <row r="425" spans="1:8" x14ac:dyDescent="0.2">
      <c r="A425" t="s">
        <v>126</v>
      </c>
      <c r="B425" s="6">
        <v>1.5692473118299999E-4</v>
      </c>
      <c r="D425" t="s">
        <v>121</v>
      </c>
      <c r="E425" t="s">
        <v>179</v>
      </c>
      <c r="F425" t="s">
        <v>36</v>
      </c>
      <c r="G425" t="s">
        <v>942</v>
      </c>
    </row>
    <row r="426" spans="1:8" x14ac:dyDescent="0.2">
      <c r="A426" t="s">
        <v>38</v>
      </c>
      <c r="B426" s="6">
        <v>7.6040860215099995E-5</v>
      </c>
      <c r="D426" t="s">
        <v>8</v>
      </c>
      <c r="E426" t="s">
        <v>169</v>
      </c>
      <c r="F426" t="s">
        <v>36</v>
      </c>
      <c r="G426" t="s">
        <v>942</v>
      </c>
    </row>
    <row r="427" spans="1:8" x14ac:dyDescent="0.2">
      <c r="A427" t="s">
        <v>174</v>
      </c>
      <c r="B427" s="6">
        <v>4.6911827957000003E-6</v>
      </c>
      <c r="D427" t="s">
        <v>8</v>
      </c>
      <c r="E427" t="s">
        <v>171</v>
      </c>
      <c r="F427" t="s">
        <v>36</v>
      </c>
      <c r="G427" t="s">
        <v>942</v>
      </c>
    </row>
    <row r="428" spans="1:8" x14ac:dyDescent="0.2">
      <c r="A428" t="s">
        <v>910</v>
      </c>
      <c r="B428" s="6">
        <v>2.45779249578E-6</v>
      </c>
      <c r="D428" t="s">
        <v>8</v>
      </c>
      <c r="E428" t="s">
        <v>170</v>
      </c>
      <c r="F428" t="s">
        <v>36</v>
      </c>
      <c r="G428" t="s">
        <v>942</v>
      </c>
    </row>
    <row r="429" spans="1:8" x14ac:dyDescent="0.2">
      <c r="A429" t="s">
        <v>173</v>
      </c>
      <c r="B429" s="6">
        <v>1.77150537634E-6</v>
      </c>
      <c r="D429" t="s">
        <v>8</v>
      </c>
      <c r="E429" t="s">
        <v>171</v>
      </c>
      <c r="F429" t="s">
        <v>36</v>
      </c>
      <c r="G429" t="s">
        <v>942</v>
      </c>
    </row>
    <row r="430" spans="1:8" x14ac:dyDescent="0.2">
      <c r="A430" t="s">
        <v>174</v>
      </c>
      <c r="B430" s="6">
        <v>1.3898924731199999E-6</v>
      </c>
      <c r="D430" t="s">
        <v>8</v>
      </c>
      <c r="E430" t="s">
        <v>179</v>
      </c>
      <c r="F430" t="s">
        <v>36</v>
      </c>
      <c r="G430" t="s">
        <v>942</v>
      </c>
    </row>
    <row r="431" spans="1:8" x14ac:dyDescent="0.2">
      <c r="A431" t="s">
        <v>939</v>
      </c>
      <c r="B431" s="6">
        <v>1.2234344867999999E-6</v>
      </c>
      <c r="D431" t="s">
        <v>8</v>
      </c>
      <c r="E431" t="s">
        <v>170</v>
      </c>
      <c r="F431" t="s">
        <v>36</v>
      </c>
      <c r="G431" t="s">
        <v>942</v>
      </c>
    </row>
    <row r="432" spans="1:8" x14ac:dyDescent="0.2">
      <c r="A432" t="s">
        <v>920</v>
      </c>
      <c r="B432" s="6">
        <v>1.0486581315400001E-6</v>
      </c>
      <c r="D432" t="s">
        <v>8</v>
      </c>
      <c r="E432" t="s">
        <v>170</v>
      </c>
      <c r="F432" t="s">
        <v>36</v>
      </c>
      <c r="G432" t="s">
        <v>942</v>
      </c>
    </row>
    <row r="433" spans="1:7" x14ac:dyDescent="0.2">
      <c r="A433" t="s">
        <v>922</v>
      </c>
      <c r="B433" s="6">
        <v>1.0049640427199999E-6</v>
      </c>
      <c r="D433" t="s">
        <v>8</v>
      </c>
      <c r="E433" t="s">
        <v>170</v>
      </c>
      <c r="F433" t="s">
        <v>36</v>
      </c>
      <c r="G433" t="s">
        <v>942</v>
      </c>
    </row>
    <row r="434" spans="1:7" x14ac:dyDescent="0.2">
      <c r="A434" t="s">
        <v>940</v>
      </c>
      <c r="B434" s="6">
        <v>7.9523241641499996E-7</v>
      </c>
      <c r="D434" t="s">
        <v>8</v>
      </c>
      <c r="E434" t="s">
        <v>170</v>
      </c>
      <c r="F434" t="s">
        <v>36</v>
      </c>
      <c r="G434" t="s">
        <v>942</v>
      </c>
    </row>
    <row r="435" spans="1:7" x14ac:dyDescent="0.2">
      <c r="A435" t="s">
        <v>941</v>
      </c>
      <c r="B435" s="6">
        <v>6.2045606115800001E-7</v>
      </c>
      <c r="D435" t="s">
        <v>8</v>
      </c>
      <c r="E435" t="s">
        <v>170</v>
      </c>
      <c r="F435" t="s">
        <v>36</v>
      </c>
      <c r="G435" t="s">
        <v>942</v>
      </c>
    </row>
    <row r="436" spans="1:7" x14ac:dyDescent="0.2">
      <c r="A436" t="s">
        <v>206</v>
      </c>
      <c r="B436" s="6">
        <v>1.8708602150499999E-7</v>
      </c>
      <c r="D436" t="s">
        <v>8</v>
      </c>
      <c r="E436" t="s">
        <v>179</v>
      </c>
      <c r="F436" t="s">
        <v>36</v>
      </c>
      <c r="G436" t="s">
        <v>942</v>
      </c>
    </row>
    <row r="437" spans="1:7" x14ac:dyDescent="0.2">
      <c r="A437" t="s">
        <v>206</v>
      </c>
      <c r="B437" s="6">
        <v>1.71623655914E-7</v>
      </c>
      <c r="D437" t="s">
        <v>8</v>
      </c>
      <c r="E437" t="s">
        <v>171</v>
      </c>
      <c r="F437" t="s">
        <v>36</v>
      </c>
      <c r="G437" t="s">
        <v>942</v>
      </c>
    </row>
    <row r="438" spans="1:7" x14ac:dyDescent="0.2">
      <c r="A438" t="s">
        <v>199</v>
      </c>
      <c r="B438" s="6">
        <v>1.2674193548400001E-7</v>
      </c>
      <c r="D438" t="s">
        <v>8</v>
      </c>
      <c r="E438" t="s">
        <v>179</v>
      </c>
      <c r="F438" t="s">
        <v>36</v>
      </c>
      <c r="G438" t="s">
        <v>942</v>
      </c>
    </row>
    <row r="439" spans="1:7" x14ac:dyDescent="0.2">
      <c r="A439" t="s">
        <v>199</v>
      </c>
      <c r="B439" s="6">
        <v>8.7936559139799999E-8</v>
      </c>
      <c r="D439" t="s">
        <v>8</v>
      </c>
      <c r="E439" t="s">
        <v>171</v>
      </c>
      <c r="F439" t="s">
        <v>36</v>
      </c>
      <c r="G439" t="s">
        <v>942</v>
      </c>
    </row>
    <row r="440" spans="1:7" x14ac:dyDescent="0.2">
      <c r="A440" t="s">
        <v>200</v>
      </c>
      <c r="B440" s="6">
        <v>7.6317204301099996E-8</v>
      </c>
      <c r="D440" t="s">
        <v>8</v>
      </c>
      <c r="E440" t="s">
        <v>171</v>
      </c>
      <c r="F440" t="s">
        <v>36</v>
      </c>
      <c r="G440" t="s">
        <v>942</v>
      </c>
    </row>
    <row r="441" spans="1:7" x14ac:dyDescent="0.2">
      <c r="A441" t="s">
        <v>202</v>
      </c>
      <c r="B441" s="6">
        <v>7.5112903225800003E-8</v>
      </c>
      <c r="D441" t="s">
        <v>8</v>
      </c>
      <c r="E441" t="s">
        <v>171</v>
      </c>
      <c r="F441" t="s">
        <v>36</v>
      </c>
      <c r="G441" t="s">
        <v>942</v>
      </c>
    </row>
    <row r="442" spans="1:7" x14ac:dyDescent="0.2">
      <c r="A442" t="s">
        <v>145</v>
      </c>
      <c r="B442" s="6">
        <v>3.7513440859999997E-8</v>
      </c>
      <c r="D442" t="s">
        <v>8</v>
      </c>
      <c r="E442" t="s">
        <v>170</v>
      </c>
      <c r="F442" t="s">
        <v>36</v>
      </c>
      <c r="G442" t="s">
        <v>942</v>
      </c>
    </row>
    <row r="443" spans="1:7" x14ac:dyDescent="0.2">
      <c r="A443" t="s">
        <v>168</v>
      </c>
      <c r="B443" s="6">
        <v>3.3570967741900001E-8</v>
      </c>
      <c r="D443" t="s">
        <v>8</v>
      </c>
      <c r="E443" t="s">
        <v>171</v>
      </c>
      <c r="F443" t="s">
        <v>36</v>
      </c>
      <c r="G443" t="s">
        <v>942</v>
      </c>
    </row>
    <row r="444" spans="1:7" x14ac:dyDescent="0.2">
      <c r="A444" t="s">
        <v>200</v>
      </c>
      <c r="B444" s="6">
        <v>2.23989247312E-8</v>
      </c>
      <c r="D444" t="s">
        <v>8</v>
      </c>
      <c r="E444" t="s">
        <v>179</v>
      </c>
      <c r="F444" t="s">
        <v>36</v>
      </c>
      <c r="G444" t="s">
        <v>942</v>
      </c>
    </row>
    <row r="445" spans="1:7" x14ac:dyDescent="0.2">
      <c r="A445" t="s">
        <v>168</v>
      </c>
      <c r="B445" s="6">
        <v>1.69247311828E-9</v>
      </c>
      <c r="D445" t="s">
        <v>8</v>
      </c>
      <c r="E445" t="s">
        <v>179</v>
      </c>
      <c r="F445" t="s">
        <v>36</v>
      </c>
      <c r="G445" t="s">
        <v>942</v>
      </c>
    </row>
    <row r="446" spans="1:7" x14ac:dyDescent="0.2">
      <c r="A446" t="s">
        <v>198</v>
      </c>
      <c r="B446" s="6">
        <v>8.2931182795700005E-10</v>
      </c>
      <c r="D446" t="s">
        <v>8</v>
      </c>
      <c r="E446" t="s">
        <v>171</v>
      </c>
      <c r="F446" t="s">
        <v>36</v>
      </c>
      <c r="G446" t="s">
        <v>942</v>
      </c>
    </row>
    <row r="447" spans="1:7" x14ac:dyDescent="0.2">
      <c r="A447" t="s">
        <v>198</v>
      </c>
      <c r="B447" s="6">
        <v>2.8310752688199999E-10</v>
      </c>
      <c r="D447" t="s">
        <v>8</v>
      </c>
      <c r="E447" t="s">
        <v>179</v>
      </c>
      <c r="F447" t="s">
        <v>36</v>
      </c>
      <c r="G447" t="s">
        <v>942</v>
      </c>
    </row>
    <row r="448" spans="1:7" x14ac:dyDescent="0.2">
      <c r="A448" t="s">
        <v>201</v>
      </c>
      <c r="B448" s="6">
        <v>2.7364516128999998E-10</v>
      </c>
      <c r="D448" t="s">
        <v>8</v>
      </c>
      <c r="E448" t="s">
        <v>171</v>
      </c>
      <c r="F448" t="s">
        <v>36</v>
      </c>
      <c r="G448" t="s">
        <v>942</v>
      </c>
    </row>
    <row r="449" spans="1:7" x14ac:dyDescent="0.2">
      <c r="A449" t="s">
        <v>201</v>
      </c>
      <c r="B449" s="6">
        <v>9.2362365591400007E-12</v>
      </c>
      <c r="D449" t="s">
        <v>8</v>
      </c>
      <c r="E449" t="s">
        <v>179</v>
      </c>
      <c r="F449" t="s">
        <v>36</v>
      </c>
      <c r="G449" t="s">
        <v>942</v>
      </c>
    </row>
    <row r="450" spans="1:7" x14ac:dyDescent="0.2">
      <c r="A450" t="s">
        <v>202</v>
      </c>
      <c r="B450" s="6">
        <v>1.19301075269E-12</v>
      </c>
      <c r="D450" t="s">
        <v>8</v>
      </c>
      <c r="E450" t="s">
        <v>179</v>
      </c>
      <c r="F450" t="s">
        <v>36</v>
      </c>
      <c r="G450" t="s">
        <v>942</v>
      </c>
    </row>
    <row r="451" spans="1:7" x14ac:dyDescent="0.2">
      <c r="A451" t="s">
        <v>138</v>
      </c>
      <c r="B451" s="6">
        <v>-2.9698924729999901E-9</v>
      </c>
      <c r="D451" t="s">
        <v>8</v>
      </c>
      <c r="E451" t="s">
        <v>170</v>
      </c>
      <c r="F451" t="s">
        <v>36</v>
      </c>
      <c r="G451" t="s">
        <v>942</v>
      </c>
    </row>
    <row r="452" spans="1:7" x14ac:dyDescent="0.2">
      <c r="A452" t="s">
        <v>201</v>
      </c>
      <c r="B452" s="6">
        <v>-4.9112903226000004E-9</v>
      </c>
      <c r="D452" t="s">
        <v>8</v>
      </c>
      <c r="E452" t="s">
        <v>170</v>
      </c>
      <c r="F452" t="s">
        <v>36</v>
      </c>
      <c r="G452" t="s">
        <v>942</v>
      </c>
    </row>
    <row r="453" spans="1:7" x14ac:dyDescent="0.2">
      <c r="A453" t="s">
        <v>148</v>
      </c>
      <c r="B453" s="6">
        <v>-2.9689247311799999E-8</v>
      </c>
      <c r="D453" t="s">
        <v>8</v>
      </c>
      <c r="E453" t="s">
        <v>170</v>
      </c>
      <c r="F453" t="s">
        <v>36</v>
      </c>
      <c r="G453" t="s">
        <v>942</v>
      </c>
    </row>
    <row r="454" spans="1:7" x14ac:dyDescent="0.2">
      <c r="A454" t="s">
        <v>168</v>
      </c>
      <c r="B454" s="6">
        <v>-1.40606451613E-7</v>
      </c>
      <c r="D454" t="s">
        <v>8</v>
      </c>
      <c r="E454" t="s">
        <v>170</v>
      </c>
      <c r="F454" t="s">
        <v>36</v>
      </c>
      <c r="G454" t="s">
        <v>942</v>
      </c>
    </row>
    <row r="455" spans="1:7" x14ac:dyDescent="0.2">
      <c r="A455" t="s">
        <v>142</v>
      </c>
      <c r="B455" s="6">
        <v>-4.3834408601999998E-7</v>
      </c>
      <c r="D455" t="s">
        <v>8</v>
      </c>
      <c r="E455" t="s">
        <v>170</v>
      </c>
      <c r="F455" t="s">
        <v>36</v>
      </c>
      <c r="G455" t="s">
        <v>942</v>
      </c>
    </row>
    <row r="456" spans="1:7" x14ac:dyDescent="0.2">
      <c r="A456" t="s">
        <v>132</v>
      </c>
      <c r="B456" s="6">
        <v>-1.43161290323E-6</v>
      </c>
      <c r="D456" t="s">
        <v>8</v>
      </c>
      <c r="E456" t="s">
        <v>170</v>
      </c>
      <c r="F456" t="s">
        <v>36</v>
      </c>
      <c r="G456" t="s">
        <v>942</v>
      </c>
    </row>
    <row r="458" spans="1:7" ht="16" x14ac:dyDescent="0.2">
      <c r="A458" s="1" t="s">
        <v>1</v>
      </c>
      <c r="B458" s="71" t="s">
        <v>860</v>
      </c>
    </row>
    <row r="459" spans="1:7" x14ac:dyDescent="0.2">
      <c r="A459" t="s">
        <v>2</v>
      </c>
      <c r="B459" s="6" t="s">
        <v>567</v>
      </c>
    </row>
    <row r="460" spans="1:7" x14ac:dyDescent="0.2">
      <c r="A460" t="s">
        <v>3</v>
      </c>
      <c r="B460" s="6">
        <v>1</v>
      </c>
    </row>
    <row r="461" spans="1:7" x14ac:dyDescent="0.2">
      <c r="A461" t="s">
        <v>4</v>
      </c>
      <c r="B461" s="6" t="s">
        <v>1010</v>
      </c>
    </row>
    <row r="462" spans="1:7" x14ac:dyDescent="0.2">
      <c r="A462" t="s">
        <v>5</v>
      </c>
      <c r="B462" s="6" t="s">
        <v>6</v>
      </c>
    </row>
    <row r="463" spans="1:7" x14ac:dyDescent="0.2">
      <c r="A463" t="s">
        <v>9</v>
      </c>
      <c r="B463" s="6" t="s">
        <v>627</v>
      </c>
    </row>
    <row r="464" spans="1:7" x14ac:dyDescent="0.2">
      <c r="A464" t="s">
        <v>7</v>
      </c>
      <c r="B464" s="6" t="s">
        <v>8</v>
      </c>
    </row>
    <row r="465" spans="1:8" x14ac:dyDescent="0.2">
      <c r="A465" t="s">
        <v>492</v>
      </c>
      <c r="B465" s="70">
        <f>Summary!O52</f>
        <v>0.16347079589216948</v>
      </c>
    </row>
    <row r="466" spans="1:8" ht="16" x14ac:dyDescent="0.2">
      <c r="A466" s="1" t="s">
        <v>12</v>
      </c>
    </row>
    <row r="467" spans="1:8" x14ac:dyDescent="0.2">
      <c r="A467" t="s">
        <v>13</v>
      </c>
      <c r="B467" s="6" t="s">
        <v>14</v>
      </c>
      <c r="C467" t="s">
        <v>2</v>
      </c>
      <c r="D467" t="s">
        <v>7</v>
      </c>
      <c r="E467" t="s">
        <v>15</v>
      </c>
      <c r="F467" t="s">
        <v>5</v>
      </c>
      <c r="G467" t="s">
        <v>11</v>
      </c>
      <c r="H467" t="s">
        <v>4</v>
      </c>
    </row>
    <row r="468" spans="1:8" x14ac:dyDescent="0.2">
      <c r="A468" t="s">
        <v>860</v>
      </c>
      <c r="B468" s="6">
        <v>1</v>
      </c>
      <c r="C468" t="s">
        <v>567</v>
      </c>
      <c r="D468" t="s">
        <v>8</v>
      </c>
      <c r="E468" t="s">
        <v>655</v>
      </c>
      <c r="F468" t="s">
        <v>17</v>
      </c>
      <c r="G468" t="s">
        <v>18</v>
      </c>
      <c r="H468" s="6" t="s">
        <v>1010</v>
      </c>
    </row>
    <row r="469" spans="1:8" x14ac:dyDescent="0.2">
      <c r="A469" t="s">
        <v>857</v>
      </c>
      <c r="B469" s="3">
        <f>35.1616/$B$408</f>
        <v>8.6286134969325143</v>
      </c>
      <c r="C469" t="s">
        <v>567</v>
      </c>
      <c r="D469" t="s">
        <v>8</v>
      </c>
      <c r="E469" t="s">
        <v>629</v>
      </c>
      <c r="F469" t="s">
        <v>20</v>
      </c>
      <c r="G469" t="s">
        <v>18</v>
      </c>
      <c r="H469" t="s">
        <v>656</v>
      </c>
    </row>
    <row r="470" spans="1:8" x14ac:dyDescent="0.2">
      <c r="A470" t="s">
        <v>631</v>
      </c>
      <c r="B470" s="6">
        <v>1.9939199999999999</v>
      </c>
      <c r="C470" t="s">
        <v>567</v>
      </c>
      <c r="D470" t="s">
        <v>19</v>
      </c>
      <c r="E470" t="s">
        <v>632</v>
      </c>
      <c r="F470" t="s">
        <v>20</v>
      </c>
      <c r="G470" t="s">
        <v>657</v>
      </c>
      <c r="H470" t="s">
        <v>634</v>
      </c>
    </row>
    <row r="471" spans="1:8" x14ac:dyDescent="0.2">
      <c r="A471" t="s">
        <v>100</v>
      </c>
      <c r="B471" s="6">
        <v>0.27336000000000005</v>
      </c>
      <c r="C471" t="s">
        <v>619</v>
      </c>
      <c r="D471" t="s">
        <v>41</v>
      </c>
      <c r="E471" t="s">
        <v>632</v>
      </c>
      <c r="F471" t="s">
        <v>20</v>
      </c>
      <c r="G471" t="s">
        <v>640</v>
      </c>
      <c r="H471" t="s">
        <v>103</v>
      </c>
    </row>
    <row r="472" spans="1:8" x14ac:dyDescent="0.2">
      <c r="A472" t="s">
        <v>97</v>
      </c>
      <c r="B472" s="6">
        <v>0.15276000000000001</v>
      </c>
      <c r="C472" t="s">
        <v>567</v>
      </c>
      <c r="D472" t="s">
        <v>41</v>
      </c>
      <c r="E472" t="s">
        <v>632</v>
      </c>
      <c r="F472" t="s">
        <v>20</v>
      </c>
      <c r="G472" t="s">
        <v>641</v>
      </c>
      <c r="H472" t="s">
        <v>98</v>
      </c>
    </row>
    <row r="473" spans="1:8" x14ac:dyDescent="0.2">
      <c r="A473" t="s">
        <v>352</v>
      </c>
      <c r="B473" s="6">
        <v>0.36474800000000002</v>
      </c>
      <c r="C473" t="s">
        <v>567</v>
      </c>
      <c r="D473" t="s">
        <v>41</v>
      </c>
      <c r="E473" t="s">
        <v>632</v>
      </c>
      <c r="F473" t="s">
        <v>20</v>
      </c>
      <c r="G473" t="s">
        <v>662</v>
      </c>
      <c r="H473" t="s">
        <v>353</v>
      </c>
    </row>
    <row r="474" spans="1:8" x14ac:dyDescent="0.2">
      <c r="A474" t="s">
        <v>352</v>
      </c>
      <c r="B474" s="6">
        <v>0.32963999999999999</v>
      </c>
      <c r="C474" t="s">
        <v>567</v>
      </c>
      <c r="D474" t="s">
        <v>41</v>
      </c>
      <c r="E474" t="s">
        <v>632</v>
      </c>
      <c r="F474" t="s">
        <v>20</v>
      </c>
      <c r="G474" t="s">
        <v>663</v>
      </c>
      <c r="H474" t="s">
        <v>353</v>
      </c>
    </row>
    <row r="475" spans="1:8" x14ac:dyDescent="0.2">
      <c r="A475" t="s">
        <v>352</v>
      </c>
      <c r="B475" s="6">
        <v>0.1608</v>
      </c>
      <c r="C475" t="s">
        <v>567</v>
      </c>
      <c r="D475" t="s">
        <v>41</v>
      </c>
      <c r="E475" t="s">
        <v>632</v>
      </c>
      <c r="F475" t="s">
        <v>20</v>
      </c>
      <c r="G475" t="s">
        <v>664</v>
      </c>
      <c r="H475" t="s">
        <v>353</v>
      </c>
    </row>
    <row r="476" spans="1:8" x14ac:dyDescent="0.2">
      <c r="A476" t="s">
        <v>976</v>
      </c>
      <c r="B476" s="6">
        <v>1.1175600000000001</v>
      </c>
      <c r="C476" t="s">
        <v>26</v>
      </c>
      <c r="D476" t="s">
        <v>41</v>
      </c>
      <c r="E476" t="s">
        <v>632</v>
      </c>
      <c r="F476" t="s">
        <v>20</v>
      </c>
      <c r="G476" t="s">
        <v>644</v>
      </c>
      <c r="H476" t="s">
        <v>977</v>
      </c>
    </row>
    <row r="477" spans="1:8" x14ac:dyDescent="0.2">
      <c r="A477" t="s">
        <v>646</v>
      </c>
      <c r="B477" s="6">
        <v>0.21159136000000003</v>
      </c>
      <c r="C477" t="s">
        <v>619</v>
      </c>
      <c r="D477" t="s">
        <v>29</v>
      </c>
      <c r="E477" t="s">
        <v>632</v>
      </c>
      <c r="F477" t="s">
        <v>20</v>
      </c>
      <c r="G477" t="s">
        <v>657</v>
      </c>
      <c r="H477" t="s">
        <v>648</v>
      </c>
    </row>
    <row r="478" spans="1:8" x14ac:dyDescent="0.2">
      <c r="A478" t="s">
        <v>646</v>
      </c>
      <c r="B478" s="6">
        <v>3.1589696E-2</v>
      </c>
      <c r="C478" t="s">
        <v>619</v>
      </c>
      <c r="D478" t="s">
        <v>29</v>
      </c>
      <c r="E478" t="s">
        <v>632</v>
      </c>
      <c r="F478" t="s">
        <v>20</v>
      </c>
      <c r="G478" t="s">
        <v>666</v>
      </c>
      <c r="H478" t="s">
        <v>648</v>
      </c>
    </row>
    <row r="479" spans="1:8" x14ac:dyDescent="0.2">
      <c r="A479" t="s">
        <v>265</v>
      </c>
      <c r="B479" s="6">
        <f>('Cozzolini 2018'!$B$469*'Cozzolini 2018'!$B$410*(1+$B$398))-Parameters!$B$13</f>
        <v>2.0985209914110428</v>
      </c>
      <c r="D479" t="s">
        <v>8</v>
      </c>
      <c r="E479" t="s">
        <v>37</v>
      </c>
      <c r="F479" t="s">
        <v>36</v>
      </c>
    </row>
    <row r="482" spans="1:8" ht="16" x14ac:dyDescent="0.2">
      <c r="A482" s="1" t="s">
        <v>1</v>
      </c>
      <c r="B482" s="71" t="s">
        <v>1092</v>
      </c>
    </row>
    <row r="483" spans="1:8" x14ac:dyDescent="0.2">
      <c r="A483" t="s">
        <v>2</v>
      </c>
      <c r="B483" s="6" t="s">
        <v>567</v>
      </c>
    </row>
    <row r="484" spans="1:8" x14ac:dyDescent="0.2">
      <c r="A484" t="s">
        <v>3</v>
      </c>
      <c r="B484" s="6">
        <v>1</v>
      </c>
    </row>
    <row r="485" spans="1:8" x14ac:dyDescent="0.2">
      <c r="A485" t="s">
        <v>4</v>
      </c>
      <c r="B485" s="6" t="s">
        <v>1010</v>
      </c>
    </row>
    <row r="486" spans="1:8" x14ac:dyDescent="0.2">
      <c r="A486" t="s">
        <v>5</v>
      </c>
      <c r="B486" s="6" t="s">
        <v>6</v>
      </c>
    </row>
    <row r="487" spans="1:8" x14ac:dyDescent="0.2">
      <c r="A487" t="s">
        <v>9</v>
      </c>
      <c r="B487" s="6" t="s">
        <v>627</v>
      </c>
    </row>
    <row r="488" spans="1:8" x14ac:dyDescent="0.2">
      <c r="A488" t="s">
        <v>11</v>
      </c>
      <c r="B488" s="6" t="s">
        <v>1093</v>
      </c>
    </row>
    <row r="489" spans="1:8" x14ac:dyDescent="0.2">
      <c r="A489" t="s">
        <v>7</v>
      </c>
      <c r="B489" s="6" t="s">
        <v>8</v>
      </c>
    </row>
    <row r="490" spans="1:8" x14ac:dyDescent="0.2">
      <c r="A490" t="s">
        <v>492</v>
      </c>
      <c r="B490" s="70">
        <f>Summary!O76</f>
        <v>0.45749036497564666</v>
      </c>
    </row>
    <row r="491" spans="1:8" ht="16" x14ac:dyDescent="0.2">
      <c r="A491" s="1" t="s">
        <v>12</v>
      </c>
    </row>
    <row r="492" spans="1:8" x14ac:dyDescent="0.2">
      <c r="A492" t="s">
        <v>13</v>
      </c>
      <c r="B492" s="6" t="s">
        <v>14</v>
      </c>
      <c r="C492" t="s">
        <v>2</v>
      </c>
      <c r="D492" t="s">
        <v>7</v>
      </c>
      <c r="E492" t="s">
        <v>15</v>
      </c>
      <c r="F492" t="s">
        <v>5</v>
      </c>
      <c r="G492" t="s">
        <v>11</v>
      </c>
      <c r="H492" t="s">
        <v>4</v>
      </c>
    </row>
    <row r="493" spans="1:8" x14ac:dyDescent="0.2">
      <c r="A493" t="s">
        <v>1092</v>
      </c>
      <c r="B493" s="6">
        <v>1</v>
      </c>
      <c r="C493" t="s">
        <v>567</v>
      </c>
      <c r="D493" t="s">
        <v>8</v>
      </c>
      <c r="E493" t="s">
        <v>655</v>
      </c>
      <c r="F493" t="s">
        <v>17</v>
      </c>
      <c r="G493" t="s">
        <v>18</v>
      </c>
      <c r="H493" s="6" t="s">
        <v>1010</v>
      </c>
    </row>
    <row r="494" spans="1:8" x14ac:dyDescent="0.2">
      <c r="A494" t="s">
        <v>857</v>
      </c>
      <c r="B494" s="3">
        <f>35.1616/$B$408</f>
        <v>8.6286134969325143</v>
      </c>
      <c r="C494" t="s">
        <v>567</v>
      </c>
      <c r="D494" t="s">
        <v>8</v>
      </c>
      <c r="E494" t="s">
        <v>629</v>
      </c>
      <c r="F494" t="s">
        <v>20</v>
      </c>
      <c r="G494" t="s">
        <v>18</v>
      </c>
      <c r="H494" t="s">
        <v>656</v>
      </c>
    </row>
    <row r="495" spans="1:8" x14ac:dyDescent="0.2">
      <c r="A495" t="s">
        <v>631</v>
      </c>
      <c r="B495" s="6">
        <v>1.9939199999999999</v>
      </c>
      <c r="C495" t="s">
        <v>567</v>
      </c>
      <c r="D495" t="s">
        <v>19</v>
      </c>
      <c r="E495" t="s">
        <v>632</v>
      </c>
      <c r="F495" t="s">
        <v>20</v>
      </c>
      <c r="G495" t="s">
        <v>657</v>
      </c>
      <c r="H495" t="s">
        <v>634</v>
      </c>
    </row>
    <row r="496" spans="1:8" x14ac:dyDescent="0.2">
      <c r="A496" t="s">
        <v>100</v>
      </c>
      <c r="B496" s="6">
        <v>0.27336000000000005</v>
      </c>
      <c r="C496" t="s">
        <v>619</v>
      </c>
      <c r="D496" t="s">
        <v>41</v>
      </c>
      <c r="E496" t="s">
        <v>632</v>
      </c>
      <c r="F496" t="s">
        <v>20</v>
      </c>
      <c r="G496" t="s">
        <v>640</v>
      </c>
      <c r="H496" t="s">
        <v>103</v>
      </c>
    </row>
    <row r="497" spans="1:8" x14ac:dyDescent="0.2">
      <c r="A497" t="s">
        <v>97</v>
      </c>
      <c r="B497" s="6">
        <v>0.15276000000000001</v>
      </c>
      <c r="C497" t="s">
        <v>567</v>
      </c>
      <c r="D497" t="s">
        <v>41</v>
      </c>
      <c r="E497" t="s">
        <v>632</v>
      </c>
      <c r="F497" t="s">
        <v>20</v>
      </c>
      <c r="G497" t="s">
        <v>641</v>
      </c>
      <c r="H497" t="s">
        <v>98</v>
      </c>
    </row>
    <row r="498" spans="1:8" x14ac:dyDescent="0.2">
      <c r="A498" t="s">
        <v>352</v>
      </c>
      <c r="B498" s="6">
        <v>0.36474800000000002</v>
      </c>
      <c r="C498" t="s">
        <v>567</v>
      </c>
      <c r="D498" t="s">
        <v>41</v>
      </c>
      <c r="E498" t="s">
        <v>632</v>
      </c>
      <c r="F498" t="s">
        <v>20</v>
      </c>
      <c r="G498" t="s">
        <v>662</v>
      </c>
      <c r="H498" t="s">
        <v>353</v>
      </c>
    </row>
    <row r="499" spans="1:8" x14ac:dyDescent="0.2">
      <c r="A499" t="s">
        <v>352</v>
      </c>
      <c r="B499" s="6">
        <v>0.32963999999999999</v>
      </c>
      <c r="C499" t="s">
        <v>567</v>
      </c>
      <c r="D499" t="s">
        <v>41</v>
      </c>
      <c r="E499" t="s">
        <v>632</v>
      </c>
      <c r="F499" t="s">
        <v>20</v>
      </c>
      <c r="G499" t="s">
        <v>663</v>
      </c>
      <c r="H499" t="s">
        <v>353</v>
      </c>
    </row>
    <row r="500" spans="1:8" x14ac:dyDescent="0.2">
      <c r="A500" t="s">
        <v>352</v>
      </c>
      <c r="B500" s="6">
        <v>0.1608</v>
      </c>
      <c r="C500" t="s">
        <v>567</v>
      </c>
      <c r="D500" t="s">
        <v>41</v>
      </c>
      <c r="E500" t="s">
        <v>632</v>
      </c>
      <c r="F500" t="s">
        <v>20</v>
      </c>
      <c r="G500" t="s">
        <v>664</v>
      </c>
      <c r="H500" t="s">
        <v>353</v>
      </c>
    </row>
    <row r="501" spans="1:8" x14ac:dyDescent="0.2">
      <c r="A501" t="s">
        <v>976</v>
      </c>
      <c r="B501" s="6">
        <v>1.1175600000000001</v>
      </c>
      <c r="C501" t="s">
        <v>26</v>
      </c>
      <c r="D501" t="s">
        <v>41</v>
      </c>
      <c r="E501" t="s">
        <v>632</v>
      </c>
      <c r="F501" t="s">
        <v>20</v>
      </c>
      <c r="G501" t="s">
        <v>644</v>
      </c>
      <c r="H501" t="s">
        <v>977</v>
      </c>
    </row>
    <row r="502" spans="1:8" x14ac:dyDescent="0.2">
      <c r="A502" t="s">
        <v>646</v>
      </c>
      <c r="B502" s="6">
        <v>0.21159136000000003</v>
      </c>
      <c r="C502" t="s">
        <v>619</v>
      </c>
      <c r="D502" t="s">
        <v>29</v>
      </c>
      <c r="E502" t="s">
        <v>632</v>
      </c>
      <c r="F502" t="s">
        <v>20</v>
      </c>
      <c r="G502" t="s">
        <v>657</v>
      </c>
      <c r="H502" t="s">
        <v>648</v>
      </c>
    </row>
    <row r="503" spans="1:8" x14ac:dyDescent="0.2">
      <c r="A503" t="s">
        <v>646</v>
      </c>
      <c r="B503" s="6">
        <v>3.1589696E-2</v>
      </c>
      <c r="C503" t="s">
        <v>619</v>
      </c>
      <c r="D503" t="s">
        <v>29</v>
      </c>
      <c r="E503" t="s">
        <v>632</v>
      </c>
      <c r="F503" t="s">
        <v>20</v>
      </c>
      <c r="G503" t="s">
        <v>666</v>
      </c>
      <c r="H503" t="s">
        <v>648</v>
      </c>
    </row>
    <row r="504" spans="1:8" x14ac:dyDescent="0.2">
      <c r="A504" t="s">
        <v>265</v>
      </c>
      <c r="B504" s="6">
        <f>(('Cozzolini 2018'!$B$469*'Cozzolini 2018'!$B$410*(1+$B$398))-Parameters!$B$13)*(1-0.975)</f>
        <v>5.2463024785276119E-2</v>
      </c>
      <c r="D504" t="s">
        <v>8</v>
      </c>
      <c r="E504" t="s">
        <v>37</v>
      </c>
      <c r="F504" t="s">
        <v>36</v>
      </c>
    </row>
    <row r="505" spans="1:8" x14ac:dyDescent="0.2">
      <c r="A505" t="s">
        <v>646</v>
      </c>
      <c r="B505" s="6">
        <f>(('Cozzolini 2018'!$B$469*'Cozzolini 2018'!$B$410*(1+$B$398))-Parameters!$B$13)*(0.975)*(180/1000)</f>
        <v>0.368290433992638</v>
      </c>
      <c r="C505" t="s">
        <v>619</v>
      </c>
      <c r="D505" t="s">
        <v>29</v>
      </c>
      <c r="E505" t="s">
        <v>632</v>
      </c>
      <c r="F505" t="s">
        <v>20</v>
      </c>
      <c r="G505" t="s">
        <v>666</v>
      </c>
      <c r="H505" t="s">
        <v>648</v>
      </c>
    </row>
    <row r="506" spans="1:8" x14ac:dyDescent="0.2">
      <c r="A506" t="s">
        <v>1065</v>
      </c>
      <c r="B506" s="6">
        <f>(('Cozzolini 2018'!$B$469*'Cozzolini 2018'!$B$410*(1+$B$398))-Parameters!$B$13)*(0.975)</f>
        <v>2.0460579666257668</v>
      </c>
      <c r="C506" t="s">
        <v>567</v>
      </c>
      <c r="D506" t="s">
        <v>8</v>
      </c>
      <c r="F506" s="35" t="s">
        <v>20</v>
      </c>
      <c r="H506" t="s">
        <v>1065</v>
      </c>
    </row>
    <row r="508" spans="1:8" ht="16" x14ac:dyDescent="0.2">
      <c r="A508" s="1" t="s">
        <v>1</v>
      </c>
      <c r="B508" s="71" t="s">
        <v>652</v>
      </c>
    </row>
    <row r="509" spans="1:8" x14ac:dyDescent="0.2">
      <c r="A509" t="s">
        <v>2</v>
      </c>
      <c r="B509" s="6" t="s">
        <v>567</v>
      </c>
    </row>
    <row r="510" spans="1:8" x14ac:dyDescent="0.2">
      <c r="A510" t="s">
        <v>3</v>
      </c>
      <c r="B510" s="6">
        <v>1</v>
      </c>
    </row>
    <row r="511" spans="1:8" ht="16" x14ac:dyDescent="0.2">
      <c r="A511" t="s">
        <v>4</v>
      </c>
      <c r="B511" s="72" t="s">
        <v>337</v>
      </c>
    </row>
    <row r="512" spans="1:8" x14ac:dyDescent="0.2">
      <c r="A512" t="s">
        <v>9</v>
      </c>
      <c r="B512" s="6" t="s">
        <v>627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338</v>
      </c>
      <c r="H516" t="s">
        <v>339</v>
      </c>
      <c r="I516" t="s">
        <v>16</v>
      </c>
      <c r="J516" t="s">
        <v>11</v>
      </c>
      <c r="K516" t="s">
        <v>4</v>
      </c>
    </row>
    <row r="517" spans="1:11" x14ac:dyDescent="0.2">
      <c r="A517" t="s">
        <v>652</v>
      </c>
      <c r="B517" s="6">
        <v>1</v>
      </c>
      <c r="C517" t="s">
        <v>567</v>
      </c>
      <c r="D517" t="s">
        <v>8</v>
      </c>
      <c r="F517" t="s">
        <v>17</v>
      </c>
      <c r="I517">
        <v>100</v>
      </c>
      <c r="J517" t="s">
        <v>18</v>
      </c>
      <c r="K517" t="s">
        <v>337</v>
      </c>
    </row>
    <row r="518" spans="1:11" x14ac:dyDescent="0.2">
      <c r="A518" t="s">
        <v>860</v>
      </c>
      <c r="B518" s="6">
        <v>1.00057</v>
      </c>
      <c r="C518" t="s">
        <v>567</v>
      </c>
      <c r="D518" t="s">
        <v>8</v>
      </c>
      <c r="F518" t="s">
        <v>20</v>
      </c>
      <c r="K518" s="6" t="s">
        <v>1010</v>
      </c>
    </row>
    <row r="519" spans="1:11" x14ac:dyDescent="0.2">
      <c r="A519" t="s">
        <v>28</v>
      </c>
      <c r="B519" s="6">
        <v>6.7000000000000002E-3</v>
      </c>
      <c r="C519" t="s">
        <v>567</v>
      </c>
      <c r="D519" t="s">
        <v>29</v>
      </c>
      <c r="F519" t="s">
        <v>20</v>
      </c>
      <c r="K519" t="s">
        <v>30</v>
      </c>
    </row>
    <row r="520" spans="1:11" x14ac:dyDescent="0.2">
      <c r="A520" t="s">
        <v>340</v>
      </c>
      <c r="B520" s="6">
        <v>-1.6799999999999999E-4</v>
      </c>
      <c r="C520" t="s">
        <v>619</v>
      </c>
      <c r="D520" t="s">
        <v>8</v>
      </c>
      <c r="F520" t="s">
        <v>20</v>
      </c>
      <c r="K520" t="s">
        <v>341</v>
      </c>
    </row>
    <row r="521" spans="1:11" x14ac:dyDescent="0.2">
      <c r="A521" t="s">
        <v>342</v>
      </c>
      <c r="B521" s="6">
        <v>5.8399999999999999E-4</v>
      </c>
      <c r="C521" t="s">
        <v>626</v>
      </c>
      <c r="D521" t="s">
        <v>19</v>
      </c>
      <c r="F521" t="s">
        <v>20</v>
      </c>
      <c r="K521" t="s">
        <v>343</v>
      </c>
    </row>
    <row r="522" spans="1:11" x14ac:dyDescent="0.2">
      <c r="A522" t="s">
        <v>344</v>
      </c>
      <c r="B522" s="6">
        <v>2.5999999999999998E-10</v>
      </c>
      <c r="C522" t="s">
        <v>567</v>
      </c>
      <c r="D522" t="s">
        <v>7</v>
      </c>
      <c r="F522" t="s">
        <v>20</v>
      </c>
      <c r="K522" t="s">
        <v>345</v>
      </c>
    </row>
    <row r="523" spans="1:11" x14ac:dyDescent="0.2">
      <c r="A523" t="s">
        <v>346</v>
      </c>
      <c r="B523" s="6">
        <v>-6.2700000000000001E-6</v>
      </c>
      <c r="C523" t="s">
        <v>626</v>
      </c>
      <c r="D523" t="s">
        <v>8</v>
      </c>
      <c r="F523" t="s">
        <v>20</v>
      </c>
      <c r="K523" t="s">
        <v>347</v>
      </c>
    </row>
    <row r="524" spans="1:11" x14ac:dyDescent="0.2">
      <c r="A524" t="s">
        <v>348</v>
      </c>
      <c r="B524" s="6">
        <v>-7.4999999999999993E-5</v>
      </c>
      <c r="C524" t="s">
        <v>619</v>
      </c>
      <c r="D524" t="s">
        <v>121</v>
      </c>
      <c r="F524" t="s">
        <v>20</v>
      </c>
      <c r="K524" t="s">
        <v>349</v>
      </c>
    </row>
    <row r="525" spans="1:11" x14ac:dyDescent="0.2">
      <c r="A525" t="s">
        <v>350</v>
      </c>
      <c r="B525" s="6">
        <v>6.8900000000000005E-4</v>
      </c>
      <c r="C525" t="s">
        <v>619</v>
      </c>
      <c r="D525" t="s">
        <v>8</v>
      </c>
      <c r="F525" t="s">
        <v>20</v>
      </c>
      <c r="K525" t="s">
        <v>351</v>
      </c>
    </row>
    <row r="526" spans="1:11" x14ac:dyDescent="0.2">
      <c r="A526" t="s">
        <v>100</v>
      </c>
      <c r="B526" s="6">
        <v>3.3599999999999998E-2</v>
      </c>
      <c r="C526" t="s">
        <v>619</v>
      </c>
      <c r="D526" t="s">
        <v>41</v>
      </c>
      <c r="F526" t="s">
        <v>20</v>
      </c>
      <c r="K526" t="s">
        <v>103</v>
      </c>
    </row>
    <row r="527" spans="1:11" x14ac:dyDescent="0.2">
      <c r="A527" t="s">
        <v>352</v>
      </c>
      <c r="B527" s="6">
        <v>3.2599999999999997E-2</v>
      </c>
      <c r="C527" t="s">
        <v>567</v>
      </c>
      <c r="D527" t="s">
        <v>41</v>
      </c>
      <c r="F527" t="s">
        <v>20</v>
      </c>
      <c r="K527" t="s">
        <v>353</v>
      </c>
    </row>
    <row r="528" spans="1:11" x14ac:dyDescent="0.2">
      <c r="A528" t="s">
        <v>354</v>
      </c>
      <c r="B528" s="6">
        <v>-6.8899999999999999E-7</v>
      </c>
      <c r="C528" t="s">
        <v>619</v>
      </c>
      <c r="D528" t="s">
        <v>121</v>
      </c>
      <c r="F528" t="s">
        <v>20</v>
      </c>
      <c r="K528" t="s">
        <v>355</v>
      </c>
    </row>
    <row r="530" spans="1:11" ht="16" x14ac:dyDescent="0.2">
      <c r="A530" s="1" t="s">
        <v>1</v>
      </c>
      <c r="B530" s="71" t="s">
        <v>1094</v>
      </c>
    </row>
    <row r="531" spans="1:11" x14ac:dyDescent="0.2">
      <c r="A531" t="s">
        <v>2</v>
      </c>
      <c r="B531" s="6" t="s">
        <v>567</v>
      </c>
    </row>
    <row r="532" spans="1:11" x14ac:dyDescent="0.2">
      <c r="A532" t="s">
        <v>3</v>
      </c>
      <c r="B532" s="6">
        <v>1</v>
      </c>
    </row>
    <row r="533" spans="1:11" ht="16" x14ac:dyDescent="0.2">
      <c r="A533" t="s">
        <v>4</v>
      </c>
      <c r="B533" s="72" t="s">
        <v>337</v>
      </c>
    </row>
    <row r="534" spans="1:11" x14ac:dyDescent="0.2">
      <c r="A534" t="s">
        <v>9</v>
      </c>
      <c r="B534" s="6" t="s">
        <v>627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338</v>
      </c>
      <c r="H538" t="s">
        <v>339</v>
      </c>
      <c r="I538" t="s">
        <v>16</v>
      </c>
      <c r="J538" t="s">
        <v>11</v>
      </c>
      <c r="K538" t="s">
        <v>4</v>
      </c>
    </row>
    <row r="539" spans="1:11" x14ac:dyDescent="0.2">
      <c r="A539" t="s">
        <v>1094</v>
      </c>
      <c r="B539" s="6">
        <v>1</v>
      </c>
      <c r="C539" t="s">
        <v>567</v>
      </c>
      <c r="D539" t="s">
        <v>8</v>
      </c>
      <c r="F539" t="s">
        <v>17</v>
      </c>
      <c r="I539">
        <v>100</v>
      </c>
      <c r="J539" t="s">
        <v>18</v>
      </c>
      <c r="K539" t="s">
        <v>337</v>
      </c>
    </row>
    <row r="540" spans="1:11" x14ac:dyDescent="0.2">
      <c r="A540" t="s">
        <v>1092</v>
      </c>
      <c r="B540" s="6">
        <v>1.00057</v>
      </c>
      <c r="C540" t="s">
        <v>567</v>
      </c>
      <c r="D540" t="s">
        <v>8</v>
      </c>
      <c r="F540" t="s">
        <v>20</v>
      </c>
      <c r="K540" s="6" t="s">
        <v>1010</v>
      </c>
    </row>
    <row r="541" spans="1:11" x14ac:dyDescent="0.2">
      <c r="A541" t="s">
        <v>28</v>
      </c>
      <c r="B541" s="6">
        <v>6.7000000000000002E-3</v>
      </c>
      <c r="C541" t="s">
        <v>567</v>
      </c>
      <c r="D541" t="s">
        <v>29</v>
      </c>
      <c r="F541" t="s">
        <v>20</v>
      </c>
      <c r="K541" t="s">
        <v>30</v>
      </c>
    </row>
    <row r="542" spans="1:11" x14ac:dyDescent="0.2">
      <c r="A542" t="s">
        <v>340</v>
      </c>
      <c r="B542" s="6">
        <v>-1.6799999999999999E-4</v>
      </c>
      <c r="C542" t="s">
        <v>619</v>
      </c>
      <c r="D542" t="s">
        <v>8</v>
      </c>
      <c r="F542" t="s">
        <v>20</v>
      </c>
      <c r="K542" t="s">
        <v>341</v>
      </c>
    </row>
    <row r="543" spans="1:11" x14ac:dyDescent="0.2">
      <c r="A543" t="s">
        <v>342</v>
      </c>
      <c r="B543" s="6">
        <v>5.8399999999999999E-4</v>
      </c>
      <c r="C543" t="s">
        <v>626</v>
      </c>
      <c r="D543" t="s">
        <v>19</v>
      </c>
      <c r="F543" t="s">
        <v>20</v>
      </c>
      <c r="K543" t="s">
        <v>343</v>
      </c>
    </row>
    <row r="544" spans="1:11" x14ac:dyDescent="0.2">
      <c r="A544" t="s">
        <v>344</v>
      </c>
      <c r="B544" s="6">
        <v>2.5999999999999998E-10</v>
      </c>
      <c r="C544" t="s">
        <v>567</v>
      </c>
      <c r="D544" t="s">
        <v>7</v>
      </c>
      <c r="F544" t="s">
        <v>20</v>
      </c>
      <c r="K544" t="s">
        <v>345</v>
      </c>
    </row>
    <row r="545" spans="1:11" x14ac:dyDescent="0.2">
      <c r="A545" t="s">
        <v>346</v>
      </c>
      <c r="B545" s="6">
        <v>-6.2700000000000001E-6</v>
      </c>
      <c r="C545" t="s">
        <v>626</v>
      </c>
      <c r="D545" t="s">
        <v>8</v>
      </c>
      <c r="F545" t="s">
        <v>20</v>
      </c>
      <c r="K545" t="s">
        <v>347</v>
      </c>
    </row>
    <row r="546" spans="1:11" x14ac:dyDescent="0.2">
      <c r="A546" t="s">
        <v>348</v>
      </c>
      <c r="B546" s="6">
        <v>-7.4999999999999993E-5</v>
      </c>
      <c r="C546" t="s">
        <v>619</v>
      </c>
      <c r="D546" t="s">
        <v>121</v>
      </c>
      <c r="F546" t="s">
        <v>20</v>
      </c>
      <c r="K546" t="s">
        <v>349</v>
      </c>
    </row>
    <row r="547" spans="1:11" x14ac:dyDescent="0.2">
      <c r="A547" t="s">
        <v>350</v>
      </c>
      <c r="B547" s="6">
        <v>6.8900000000000005E-4</v>
      </c>
      <c r="C547" t="s">
        <v>619</v>
      </c>
      <c r="D547" t="s">
        <v>8</v>
      </c>
      <c r="F547" t="s">
        <v>20</v>
      </c>
      <c r="K547" t="s">
        <v>351</v>
      </c>
    </row>
    <row r="548" spans="1:11" x14ac:dyDescent="0.2">
      <c r="A548" t="s">
        <v>100</v>
      </c>
      <c r="B548" s="6">
        <v>3.3599999999999998E-2</v>
      </c>
      <c r="C548" t="s">
        <v>619</v>
      </c>
      <c r="D548" t="s">
        <v>41</v>
      </c>
      <c r="F548" t="s">
        <v>20</v>
      </c>
      <c r="K548" t="s">
        <v>103</v>
      </c>
    </row>
    <row r="549" spans="1:11" x14ac:dyDescent="0.2">
      <c r="A549" t="s">
        <v>352</v>
      </c>
      <c r="B549" s="6">
        <v>3.2599999999999997E-2</v>
      </c>
      <c r="C549" t="s">
        <v>567</v>
      </c>
      <c r="D549" t="s">
        <v>41</v>
      </c>
      <c r="F549" t="s">
        <v>20</v>
      </c>
      <c r="K549" t="s">
        <v>353</v>
      </c>
    </row>
    <row r="550" spans="1:11" x14ac:dyDescent="0.2">
      <c r="A550" t="s">
        <v>354</v>
      </c>
      <c r="B550" s="6">
        <v>-6.8899999999999999E-7</v>
      </c>
      <c r="C550" t="s">
        <v>619</v>
      </c>
      <c r="D550" t="s">
        <v>121</v>
      </c>
      <c r="F550" t="s">
        <v>20</v>
      </c>
      <c r="K550" t="s">
        <v>355</v>
      </c>
    </row>
    <row r="551" spans="1:11" ht="16.25" customHeight="1" x14ac:dyDescent="0.2">
      <c r="A551" s="1"/>
      <c r="B551" s="71"/>
    </row>
    <row r="552" spans="1:11" ht="16" x14ac:dyDescent="0.2">
      <c r="A552" s="1" t="s">
        <v>1</v>
      </c>
      <c r="B552" s="71" t="s">
        <v>69</v>
      </c>
    </row>
    <row r="553" spans="1:11" x14ac:dyDescent="0.2">
      <c r="A553" t="s">
        <v>2</v>
      </c>
      <c r="B553" s="6" t="s">
        <v>567</v>
      </c>
    </row>
    <row r="554" spans="1:11" x14ac:dyDescent="0.2">
      <c r="A554" t="s">
        <v>3</v>
      </c>
      <c r="B554" s="6">
        <v>1</v>
      </c>
    </row>
    <row r="555" spans="1:11" x14ac:dyDescent="0.2">
      <c r="A555" t="s">
        <v>4</v>
      </c>
      <c r="B555" s="6" t="s">
        <v>863</v>
      </c>
    </row>
    <row r="556" spans="1:11" x14ac:dyDescent="0.2">
      <c r="A556" t="s">
        <v>5</v>
      </c>
      <c r="B556" s="6" t="s">
        <v>6</v>
      </c>
    </row>
    <row r="557" spans="1:11" x14ac:dyDescent="0.2">
      <c r="A557" t="s">
        <v>7</v>
      </c>
      <c r="B557" s="6" t="s">
        <v>8</v>
      </c>
    </row>
    <row r="558" spans="1:11" x14ac:dyDescent="0.2">
      <c r="A558" t="s">
        <v>9</v>
      </c>
      <c r="B558" s="6" t="s">
        <v>627</v>
      </c>
    </row>
    <row r="559" spans="1:11" x14ac:dyDescent="0.2">
      <c r="A559" t="s">
        <v>836</v>
      </c>
      <c r="B559" s="6">
        <v>19</v>
      </c>
    </row>
    <row r="560" spans="1:11" x14ac:dyDescent="0.2">
      <c r="A560" t="s">
        <v>842</v>
      </c>
      <c r="B560" s="6">
        <v>0</v>
      </c>
    </row>
    <row r="561" spans="1:8" x14ac:dyDescent="0.2">
      <c r="A561" t="s">
        <v>11</v>
      </c>
      <c r="B561" s="6" t="s">
        <v>1036</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567</v>
      </c>
      <c r="D564" t="s">
        <v>8</v>
      </c>
      <c r="E564" t="s">
        <v>825</v>
      </c>
      <c r="F564" t="s">
        <v>17</v>
      </c>
      <c r="G564" t="s">
        <v>18</v>
      </c>
      <c r="H564" t="s">
        <v>863</v>
      </c>
    </row>
    <row r="565" spans="1:8" x14ac:dyDescent="0.2">
      <c r="A565" t="s">
        <v>69</v>
      </c>
      <c r="B565" s="6">
        <v>0.14000000000000001</v>
      </c>
      <c r="C565" t="s">
        <v>567</v>
      </c>
      <c r="D565" t="s">
        <v>8</v>
      </c>
      <c r="E565" t="s">
        <v>825</v>
      </c>
      <c r="F565" t="s">
        <v>20</v>
      </c>
      <c r="G565" t="s">
        <v>18</v>
      </c>
      <c r="H565" t="s">
        <v>863</v>
      </c>
    </row>
    <row r="566" spans="1:8" x14ac:dyDescent="0.2">
      <c r="A566" t="s">
        <v>22</v>
      </c>
      <c r="B566" s="6">
        <f>132180*Parameters!$B$3/1000</f>
        <v>0.13945728886199998</v>
      </c>
      <c r="C566" t="s">
        <v>26</v>
      </c>
      <c r="D566" t="s">
        <v>19</v>
      </c>
      <c r="F566" t="s">
        <v>20</v>
      </c>
      <c r="G566" t="s">
        <v>60</v>
      </c>
      <c r="H566" t="s">
        <v>23</v>
      </c>
    </row>
    <row r="567" spans="1:8" x14ac:dyDescent="0.2">
      <c r="A567" t="s">
        <v>97</v>
      </c>
      <c r="B567" s="6">
        <v>2</v>
      </c>
      <c r="C567" t="s">
        <v>567</v>
      </c>
      <c r="D567" t="s">
        <v>41</v>
      </c>
      <c r="E567" t="s">
        <v>629</v>
      </c>
      <c r="F567" t="s">
        <v>20</v>
      </c>
      <c r="G567" t="s">
        <v>18</v>
      </c>
      <c r="H567" t="s">
        <v>98</v>
      </c>
    </row>
    <row r="568" spans="1:8" x14ac:dyDescent="0.2">
      <c r="A568" t="s">
        <v>352</v>
      </c>
      <c r="B568" s="6">
        <v>0.5</v>
      </c>
      <c r="C568" t="s">
        <v>567</v>
      </c>
      <c r="D568" t="s">
        <v>41</v>
      </c>
      <c r="E568" t="s">
        <v>629</v>
      </c>
      <c r="F568" t="s">
        <v>20</v>
      </c>
      <c r="G568" t="s">
        <v>18</v>
      </c>
      <c r="H568" t="s">
        <v>353</v>
      </c>
    </row>
    <row r="569" spans="1:8" x14ac:dyDescent="0.2">
      <c r="A569" t="s">
        <v>108</v>
      </c>
      <c r="B569" s="6">
        <f>B559*(1-B560)</f>
        <v>19</v>
      </c>
      <c r="D569" t="s">
        <v>19</v>
      </c>
      <c r="E569" t="s">
        <v>112</v>
      </c>
      <c r="F569" t="s">
        <v>36</v>
      </c>
      <c r="G569" t="s">
        <v>790</v>
      </c>
    </row>
    <row r="570" spans="1:8" x14ac:dyDescent="0.2">
      <c r="A570" t="s">
        <v>1029</v>
      </c>
      <c r="B570" s="6">
        <f>0.496*(44/12)*(1-B560)</f>
        <v>1.8186666666666667</v>
      </c>
      <c r="D570" t="s">
        <v>8</v>
      </c>
      <c r="E570" t="s">
        <v>1030</v>
      </c>
      <c r="F570" t="s">
        <v>36</v>
      </c>
      <c r="G570" t="s">
        <v>865</v>
      </c>
    </row>
    <row r="571" spans="1:8" x14ac:dyDescent="0.2">
      <c r="A571" t="s">
        <v>211</v>
      </c>
      <c r="B571" s="6">
        <v>2.3256000000000001E-3</v>
      </c>
      <c r="D571" t="s">
        <v>121</v>
      </c>
      <c r="E571" t="s">
        <v>112</v>
      </c>
      <c r="F571" t="s">
        <v>36</v>
      </c>
      <c r="G571" t="s">
        <v>210</v>
      </c>
    </row>
    <row r="573" spans="1:8" ht="16" x14ac:dyDescent="0.2">
      <c r="A573" s="1" t="s">
        <v>1</v>
      </c>
      <c r="B573" s="71" t="s">
        <v>398</v>
      </c>
    </row>
    <row r="574" spans="1:8" x14ac:dyDescent="0.2">
      <c r="A574" t="s">
        <v>2</v>
      </c>
      <c r="B574" s="6" t="s">
        <v>567</v>
      </c>
    </row>
    <row r="575" spans="1:8" x14ac:dyDescent="0.2">
      <c r="A575" t="s">
        <v>3</v>
      </c>
      <c r="B575" s="6">
        <v>1</v>
      </c>
    </row>
    <row r="576" spans="1:8" ht="16" x14ac:dyDescent="0.2">
      <c r="A576" t="s">
        <v>4</v>
      </c>
      <c r="B576" s="72" t="s">
        <v>1011</v>
      </c>
    </row>
    <row r="577" spans="1:8" x14ac:dyDescent="0.2">
      <c r="A577" t="s">
        <v>5</v>
      </c>
      <c r="B577" s="6" t="s">
        <v>6</v>
      </c>
    </row>
    <row r="578" spans="1:8" x14ac:dyDescent="0.2">
      <c r="A578" t="s">
        <v>7</v>
      </c>
      <c r="B578" s="6" t="s">
        <v>8</v>
      </c>
    </row>
    <row r="579" spans="1:8" x14ac:dyDescent="0.2">
      <c r="A579" t="s">
        <v>9</v>
      </c>
      <c r="B579" s="6" t="s">
        <v>627</v>
      </c>
    </row>
    <row r="580" spans="1:8" x14ac:dyDescent="0.2">
      <c r="A580" t="s">
        <v>492</v>
      </c>
      <c r="B580" s="70">
        <f>Summary!O53</f>
        <v>0.21942979280863237</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398</v>
      </c>
      <c r="B583" s="6">
        <v>1</v>
      </c>
      <c r="C583" t="s">
        <v>567</v>
      </c>
      <c r="D583" t="s">
        <v>8</v>
      </c>
      <c r="E583" t="s">
        <v>677</v>
      </c>
      <c r="F583" t="s">
        <v>17</v>
      </c>
      <c r="G583" t="s">
        <v>18</v>
      </c>
      <c r="H583" s="72" t="s">
        <v>1011</v>
      </c>
    </row>
    <row r="584" spans="1:8" ht="16" x14ac:dyDescent="0.2">
      <c r="A584" s="2" t="s">
        <v>69</v>
      </c>
      <c r="B584" s="6">
        <f>58.6/B569</f>
        <v>3.0842105263157897</v>
      </c>
      <c r="C584" t="s">
        <v>567</v>
      </c>
      <c r="D584" t="s">
        <v>8</v>
      </c>
      <c r="F584" t="s">
        <v>20</v>
      </c>
      <c r="H584" t="s">
        <v>863</v>
      </c>
    </row>
    <row r="585" spans="1:8" x14ac:dyDescent="0.2">
      <c r="A585" t="s">
        <v>678</v>
      </c>
      <c r="B585" s="6">
        <v>0.13935999999999998</v>
      </c>
      <c r="C585" t="s">
        <v>567</v>
      </c>
      <c r="D585" t="s">
        <v>8</v>
      </c>
      <c r="E585" t="s">
        <v>629</v>
      </c>
      <c r="F585" t="s">
        <v>20</v>
      </c>
      <c r="G585" t="s">
        <v>18</v>
      </c>
      <c r="H585" t="s">
        <v>679</v>
      </c>
    </row>
    <row r="586" spans="1:8" x14ac:dyDescent="0.2">
      <c r="A586" t="s">
        <v>386</v>
      </c>
      <c r="B586" s="6">
        <v>2.4120000000000001E-4</v>
      </c>
      <c r="C586" t="s">
        <v>26</v>
      </c>
      <c r="D586" t="s">
        <v>8</v>
      </c>
      <c r="E586" t="s">
        <v>629</v>
      </c>
      <c r="F586" t="s">
        <v>20</v>
      </c>
      <c r="G586" t="s">
        <v>18</v>
      </c>
      <c r="H586" t="s">
        <v>387</v>
      </c>
    </row>
    <row r="587" spans="1:8" x14ac:dyDescent="0.2">
      <c r="A587" t="s">
        <v>100</v>
      </c>
      <c r="B587" s="6">
        <v>0.23315999999999998</v>
      </c>
      <c r="C587" t="s">
        <v>619</v>
      </c>
      <c r="D587" t="s">
        <v>41</v>
      </c>
      <c r="E587" t="s">
        <v>632</v>
      </c>
      <c r="F587" t="s">
        <v>20</v>
      </c>
      <c r="G587" t="s">
        <v>18</v>
      </c>
      <c r="H587" t="s">
        <v>103</v>
      </c>
    </row>
    <row r="588" spans="1:8" x14ac:dyDescent="0.2">
      <c r="A588" t="s">
        <v>97</v>
      </c>
      <c r="B588" s="6">
        <v>9.3800000000000008E-2</v>
      </c>
      <c r="C588" t="s">
        <v>567</v>
      </c>
      <c r="D588" t="s">
        <v>41</v>
      </c>
      <c r="E588" t="s">
        <v>632</v>
      </c>
      <c r="F588" t="s">
        <v>20</v>
      </c>
      <c r="G588" t="s">
        <v>18</v>
      </c>
      <c r="H588" t="s">
        <v>98</v>
      </c>
    </row>
    <row r="589" spans="1:8" x14ac:dyDescent="0.2">
      <c r="A589" t="s">
        <v>352</v>
      </c>
      <c r="B589" s="6">
        <v>2.2868976000000001</v>
      </c>
      <c r="C589" t="s">
        <v>567</v>
      </c>
      <c r="D589" t="s">
        <v>41</v>
      </c>
      <c r="E589" t="s">
        <v>632</v>
      </c>
      <c r="F589" t="s">
        <v>20</v>
      </c>
      <c r="G589" t="s">
        <v>680</v>
      </c>
      <c r="H589" t="s">
        <v>353</v>
      </c>
    </row>
    <row r="590" spans="1:8" x14ac:dyDescent="0.2">
      <c r="A590" t="s">
        <v>352</v>
      </c>
      <c r="B590" s="6">
        <v>0.20099999999999998</v>
      </c>
      <c r="C590" t="s">
        <v>567</v>
      </c>
      <c r="D590" t="s">
        <v>41</v>
      </c>
      <c r="E590" t="s">
        <v>632</v>
      </c>
      <c r="F590" t="s">
        <v>20</v>
      </c>
      <c r="G590" t="s">
        <v>18</v>
      </c>
      <c r="H590" t="s">
        <v>353</v>
      </c>
    </row>
    <row r="591" spans="1:8" x14ac:dyDescent="0.2">
      <c r="A591" t="s">
        <v>976</v>
      </c>
      <c r="B591" s="6">
        <v>0.68071999999999999</v>
      </c>
      <c r="C591" t="s">
        <v>26</v>
      </c>
      <c r="D591" t="s">
        <v>41</v>
      </c>
      <c r="E591" t="s">
        <v>632</v>
      </c>
      <c r="F591" t="s">
        <v>20</v>
      </c>
      <c r="G591" t="s">
        <v>18</v>
      </c>
      <c r="H591" t="s">
        <v>977</v>
      </c>
    </row>
    <row r="592" spans="1:8" x14ac:dyDescent="0.2">
      <c r="A592" t="s">
        <v>976</v>
      </c>
      <c r="B592" s="6">
        <v>8.819075999999999</v>
      </c>
      <c r="C592" t="s">
        <v>26</v>
      </c>
      <c r="D592" t="s">
        <v>41</v>
      </c>
      <c r="E592" t="s">
        <v>632</v>
      </c>
      <c r="F592" t="s">
        <v>20</v>
      </c>
      <c r="G592" t="s">
        <v>18</v>
      </c>
      <c r="H592" t="s">
        <v>977</v>
      </c>
    </row>
    <row r="593" spans="1:11" x14ac:dyDescent="0.2">
      <c r="A593" t="s">
        <v>646</v>
      </c>
      <c r="B593" s="6">
        <v>3.1589696E-2</v>
      </c>
      <c r="C593" t="s">
        <v>619</v>
      </c>
      <c r="D593" t="s">
        <v>29</v>
      </c>
      <c r="E593" t="s">
        <v>632</v>
      </c>
      <c r="F593" t="s">
        <v>20</v>
      </c>
      <c r="G593" t="s">
        <v>18</v>
      </c>
      <c r="H593" t="s">
        <v>648</v>
      </c>
    </row>
    <row r="594" spans="1:11" x14ac:dyDescent="0.2">
      <c r="A594" t="s">
        <v>265</v>
      </c>
      <c r="B594" s="6">
        <f>('Cozzolini 2018'!B584*'Cozzolini 2018'!B570*(1+B565))-Parameters!$B$13</f>
        <v>4.4804320000000013</v>
      </c>
      <c r="D594" t="s">
        <v>8</v>
      </c>
      <c r="E594" t="s">
        <v>37</v>
      </c>
      <c r="F594" t="s">
        <v>36</v>
      </c>
    </row>
    <row r="596" spans="1:11" ht="16" x14ac:dyDescent="0.2">
      <c r="A596" s="1" t="s">
        <v>1</v>
      </c>
      <c r="B596" s="71" t="s">
        <v>676</v>
      </c>
    </row>
    <row r="597" spans="1:11" x14ac:dyDescent="0.2">
      <c r="A597" t="s">
        <v>2</v>
      </c>
      <c r="B597" s="6" t="s">
        <v>567</v>
      </c>
    </row>
    <row r="598" spans="1:11" x14ac:dyDescent="0.2">
      <c r="A598" t="s">
        <v>3</v>
      </c>
      <c r="B598" s="6">
        <v>1</v>
      </c>
    </row>
    <row r="599" spans="1:11" ht="16" x14ac:dyDescent="0.2">
      <c r="A599" t="s">
        <v>4</v>
      </c>
      <c r="B599" s="72" t="s">
        <v>337</v>
      </c>
    </row>
    <row r="600" spans="1:11" x14ac:dyDescent="0.2">
      <c r="A600" t="s">
        <v>9</v>
      </c>
      <c r="B600" s="6" t="s">
        <v>627</v>
      </c>
    </row>
    <row r="601" spans="1:11" x14ac:dyDescent="0.2">
      <c r="A601" t="s">
        <v>5</v>
      </c>
      <c r="B601" s="6" t="s">
        <v>6</v>
      </c>
    </row>
    <row r="602" spans="1:11" x14ac:dyDescent="0.2">
      <c r="A602" t="s">
        <v>7</v>
      </c>
      <c r="B602" s="6" t="s">
        <v>8</v>
      </c>
    </row>
    <row r="603" spans="1:11" ht="16" x14ac:dyDescent="0.2">
      <c r="A603" s="1" t="s">
        <v>12</v>
      </c>
    </row>
    <row r="604" spans="1:11" x14ac:dyDescent="0.2">
      <c r="A604" t="s">
        <v>13</v>
      </c>
      <c r="B604" s="6" t="s">
        <v>14</v>
      </c>
      <c r="C604" t="s">
        <v>2</v>
      </c>
      <c r="D604" t="s">
        <v>7</v>
      </c>
      <c r="E604" t="s">
        <v>15</v>
      </c>
      <c r="F604" t="s">
        <v>5</v>
      </c>
      <c r="G604" t="s">
        <v>338</v>
      </c>
      <c r="H604" t="s">
        <v>339</v>
      </c>
      <c r="I604" t="s">
        <v>16</v>
      </c>
      <c r="J604" t="s">
        <v>11</v>
      </c>
      <c r="K604" t="s">
        <v>4</v>
      </c>
    </row>
    <row r="605" spans="1:11" x14ac:dyDescent="0.2">
      <c r="A605" t="s">
        <v>676</v>
      </c>
      <c r="B605" s="6">
        <v>1</v>
      </c>
      <c r="C605" t="s">
        <v>567</v>
      </c>
      <c r="D605" t="s">
        <v>8</v>
      </c>
      <c r="F605" t="s">
        <v>17</v>
      </c>
      <c r="I605">
        <v>100</v>
      </c>
      <c r="J605" t="s">
        <v>18</v>
      </c>
      <c r="K605" t="s">
        <v>337</v>
      </c>
    </row>
    <row r="606" spans="1:11" ht="16" x14ac:dyDescent="0.2">
      <c r="A606" s="2" t="s">
        <v>398</v>
      </c>
      <c r="B606" s="6">
        <v>1.00057</v>
      </c>
      <c r="C606" t="s">
        <v>567</v>
      </c>
      <c r="D606" t="s">
        <v>8</v>
      </c>
      <c r="F606" t="s">
        <v>20</v>
      </c>
      <c r="K606" s="72" t="s">
        <v>1011</v>
      </c>
    </row>
    <row r="607" spans="1:11" x14ac:dyDescent="0.2">
      <c r="A607" t="s">
        <v>28</v>
      </c>
      <c r="B607" s="6">
        <v>6.7000000000000002E-3</v>
      </c>
      <c r="C607" t="s">
        <v>567</v>
      </c>
      <c r="D607" t="s">
        <v>29</v>
      </c>
      <c r="F607" t="s">
        <v>20</v>
      </c>
      <c r="K607" t="s">
        <v>30</v>
      </c>
    </row>
    <row r="608" spans="1:11" x14ac:dyDescent="0.2">
      <c r="A608" t="s">
        <v>340</v>
      </c>
      <c r="B608" s="6">
        <v>-1.6799999999999999E-4</v>
      </c>
      <c r="C608" t="s">
        <v>619</v>
      </c>
      <c r="D608" t="s">
        <v>8</v>
      </c>
      <c r="F608" t="s">
        <v>20</v>
      </c>
      <c r="K608" t="s">
        <v>341</v>
      </c>
    </row>
    <row r="609" spans="1:11" x14ac:dyDescent="0.2">
      <c r="A609" t="s">
        <v>342</v>
      </c>
      <c r="B609" s="6">
        <v>5.8399999999999999E-4</v>
      </c>
      <c r="C609" t="s">
        <v>626</v>
      </c>
      <c r="D609" t="s">
        <v>19</v>
      </c>
      <c r="F609" t="s">
        <v>20</v>
      </c>
      <c r="K609" t="s">
        <v>343</v>
      </c>
    </row>
    <row r="610" spans="1:11" x14ac:dyDescent="0.2">
      <c r="A610" t="s">
        <v>344</v>
      </c>
      <c r="B610" s="6">
        <v>2.5999999999999998E-10</v>
      </c>
      <c r="C610" t="s">
        <v>567</v>
      </c>
      <c r="D610" t="s">
        <v>7</v>
      </c>
      <c r="F610" t="s">
        <v>20</v>
      </c>
      <c r="K610" t="s">
        <v>345</v>
      </c>
    </row>
    <row r="611" spans="1:11" x14ac:dyDescent="0.2">
      <c r="A611" t="s">
        <v>346</v>
      </c>
      <c r="B611" s="6">
        <v>-6.2700000000000001E-6</v>
      </c>
      <c r="C611" t="s">
        <v>626</v>
      </c>
      <c r="D611" t="s">
        <v>8</v>
      </c>
      <c r="F611" t="s">
        <v>20</v>
      </c>
      <c r="K611" t="s">
        <v>347</v>
      </c>
    </row>
    <row r="612" spans="1:11" x14ac:dyDescent="0.2">
      <c r="A612" t="s">
        <v>348</v>
      </c>
      <c r="B612" s="6">
        <v>-7.4999999999999993E-5</v>
      </c>
      <c r="C612" t="s">
        <v>619</v>
      </c>
      <c r="D612" t="s">
        <v>121</v>
      </c>
      <c r="F612" t="s">
        <v>20</v>
      </c>
      <c r="K612" t="s">
        <v>349</v>
      </c>
    </row>
    <row r="613" spans="1:11" x14ac:dyDescent="0.2">
      <c r="A613" t="s">
        <v>350</v>
      </c>
      <c r="B613" s="6">
        <v>6.8900000000000005E-4</v>
      </c>
      <c r="C613" t="s">
        <v>619</v>
      </c>
      <c r="D613" t="s">
        <v>8</v>
      </c>
      <c r="F613" t="s">
        <v>20</v>
      </c>
      <c r="K613" t="s">
        <v>351</v>
      </c>
    </row>
    <row r="614" spans="1:11" x14ac:dyDescent="0.2">
      <c r="A614" t="s">
        <v>100</v>
      </c>
      <c r="B614" s="6">
        <v>3.3599999999999998E-2</v>
      </c>
      <c r="C614" t="s">
        <v>619</v>
      </c>
      <c r="D614" t="s">
        <v>41</v>
      </c>
      <c r="F614" t="s">
        <v>20</v>
      </c>
      <c r="K614" t="s">
        <v>103</v>
      </c>
    </row>
    <row r="615" spans="1:11" x14ac:dyDescent="0.2">
      <c r="A615" t="s">
        <v>352</v>
      </c>
      <c r="B615" s="6">
        <v>3.2599999999999997E-2</v>
      </c>
      <c r="C615" t="s">
        <v>567</v>
      </c>
      <c r="D615" t="s">
        <v>41</v>
      </c>
      <c r="F615" t="s">
        <v>20</v>
      </c>
      <c r="K615" t="s">
        <v>353</v>
      </c>
    </row>
    <row r="616" spans="1:11" x14ac:dyDescent="0.2">
      <c r="A616" t="s">
        <v>354</v>
      </c>
      <c r="B616" s="6">
        <v>-6.8899999999999999E-7</v>
      </c>
      <c r="C616" t="s">
        <v>619</v>
      </c>
      <c r="D616" t="s">
        <v>121</v>
      </c>
      <c r="F616" t="s">
        <v>20</v>
      </c>
      <c r="K616" t="s">
        <v>355</v>
      </c>
    </row>
    <row r="617" spans="1:11" ht="16.25" customHeight="1" x14ac:dyDescent="0.2">
      <c r="A617" s="1"/>
      <c r="B617" s="71"/>
    </row>
    <row r="618" spans="1:11" ht="16" x14ac:dyDescent="0.2">
      <c r="A618" s="1" t="s">
        <v>1</v>
      </c>
      <c r="B618" s="71" t="s">
        <v>870</v>
      </c>
    </row>
    <row r="619" spans="1:11" x14ac:dyDescent="0.2">
      <c r="A619" t="s">
        <v>2</v>
      </c>
      <c r="B619" s="6" t="s">
        <v>567</v>
      </c>
    </row>
    <row r="620" spans="1:11" x14ac:dyDescent="0.2">
      <c r="A620" t="s">
        <v>3</v>
      </c>
      <c r="B620" s="6">
        <v>1</v>
      </c>
    </row>
    <row r="621" spans="1:11" x14ac:dyDescent="0.2">
      <c r="A621" t="s">
        <v>4</v>
      </c>
      <c r="B621" s="6" t="s">
        <v>809</v>
      </c>
    </row>
    <row r="622" spans="1:11" x14ac:dyDescent="0.2">
      <c r="A622" t="s">
        <v>9</v>
      </c>
      <c r="B622" s="6" t="s">
        <v>627</v>
      </c>
    </row>
    <row r="623" spans="1:11" x14ac:dyDescent="0.2">
      <c r="A623" t="s">
        <v>5</v>
      </c>
      <c r="B623" s="6" t="s">
        <v>6</v>
      </c>
    </row>
    <row r="624" spans="1:11" x14ac:dyDescent="0.2">
      <c r="A624" t="s">
        <v>7</v>
      </c>
      <c r="B624" s="6" t="s">
        <v>8</v>
      </c>
    </row>
    <row r="625" spans="1:8" x14ac:dyDescent="0.2">
      <c r="A625" t="s">
        <v>836</v>
      </c>
      <c r="B625" s="6">
        <v>39.6</v>
      </c>
    </row>
    <row r="626" spans="1:8" ht="16" x14ac:dyDescent="0.2">
      <c r="A626" s="1" t="s">
        <v>12</v>
      </c>
    </row>
    <row r="627" spans="1:8" x14ac:dyDescent="0.2">
      <c r="A627" t="s">
        <v>13</v>
      </c>
      <c r="B627" s="6" t="s">
        <v>14</v>
      </c>
      <c r="C627" t="s">
        <v>2</v>
      </c>
      <c r="D627" t="s">
        <v>7</v>
      </c>
      <c r="E627" t="s">
        <v>15</v>
      </c>
      <c r="F627" t="s">
        <v>5</v>
      </c>
      <c r="G627" t="s">
        <v>11</v>
      </c>
      <c r="H627" t="s">
        <v>4</v>
      </c>
    </row>
    <row r="628" spans="1:8" x14ac:dyDescent="0.2">
      <c r="A628" t="s">
        <v>870</v>
      </c>
      <c r="B628" s="6">
        <v>1</v>
      </c>
      <c r="C628" t="s">
        <v>567</v>
      </c>
      <c r="D628" t="s">
        <v>8</v>
      </c>
      <c r="E628" t="s">
        <v>697</v>
      </c>
      <c r="F628" t="s">
        <v>17</v>
      </c>
      <c r="G628" t="s">
        <v>18</v>
      </c>
      <c r="H628" t="s">
        <v>809</v>
      </c>
    </row>
    <row r="629" spans="1:8" x14ac:dyDescent="0.2">
      <c r="A629" t="s">
        <v>108</v>
      </c>
      <c r="B629" s="6">
        <v>39.6</v>
      </c>
      <c r="D629" t="s">
        <v>19</v>
      </c>
      <c r="E629" t="s">
        <v>112</v>
      </c>
      <c r="F629" t="s">
        <v>36</v>
      </c>
      <c r="G629" t="s">
        <v>790</v>
      </c>
    </row>
    <row r="630" spans="1:8" x14ac:dyDescent="0.2">
      <c r="A630" t="s">
        <v>791</v>
      </c>
      <c r="B630" s="6">
        <v>1.0246</v>
      </c>
      <c r="C630" t="s">
        <v>26</v>
      </c>
      <c r="D630" t="s">
        <v>8</v>
      </c>
      <c r="F630" t="s">
        <v>20</v>
      </c>
      <c r="G630" t="s">
        <v>792</v>
      </c>
      <c r="H630" t="s">
        <v>793</v>
      </c>
    </row>
    <row r="631" spans="1:8" x14ac:dyDescent="0.2">
      <c r="A631" t="s">
        <v>631</v>
      </c>
      <c r="B631" s="6">
        <v>0.15840000000000001</v>
      </c>
      <c r="C631" t="s">
        <v>567</v>
      </c>
      <c r="D631" t="s">
        <v>19</v>
      </c>
      <c r="E631" t="s">
        <v>629</v>
      </c>
      <c r="F631" t="s">
        <v>20</v>
      </c>
      <c r="G631" t="s">
        <v>776</v>
      </c>
      <c r="H631" t="s">
        <v>634</v>
      </c>
    </row>
    <row r="632" spans="1:8" x14ac:dyDescent="0.2">
      <c r="A632" t="s">
        <v>703</v>
      </c>
      <c r="B632" s="6">
        <v>1.2672E-3</v>
      </c>
      <c r="C632" t="s">
        <v>26</v>
      </c>
      <c r="D632" t="s">
        <v>8</v>
      </c>
      <c r="E632" t="s">
        <v>629</v>
      </c>
      <c r="F632" t="s">
        <v>20</v>
      </c>
      <c r="G632" t="s">
        <v>776</v>
      </c>
      <c r="H632" t="s">
        <v>704</v>
      </c>
    </row>
    <row r="633" spans="1:8" x14ac:dyDescent="0.2">
      <c r="A633" t="s">
        <v>386</v>
      </c>
      <c r="B633" s="6">
        <v>3.4848000000000001E-3</v>
      </c>
      <c r="C633" t="s">
        <v>26</v>
      </c>
      <c r="D633" t="s">
        <v>8</v>
      </c>
      <c r="E633" t="s">
        <v>629</v>
      </c>
      <c r="F633" t="s">
        <v>20</v>
      </c>
      <c r="G633" t="s">
        <v>776</v>
      </c>
      <c r="H633" t="s">
        <v>387</v>
      </c>
    </row>
    <row r="634" spans="1:8" x14ac:dyDescent="0.2">
      <c r="A634" t="s">
        <v>352</v>
      </c>
      <c r="B634" s="6">
        <v>0.11484</v>
      </c>
      <c r="C634" t="s">
        <v>567</v>
      </c>
      <c r="D634" t="s">
        <v>41</v>
      </c>
      <c r="E634" t="s">
        <v>632</v>
      </c>
      <c r="F634" t="s">
        <v>20</v>
      </c>
      <c r="G634" t="s">
        <v>794</v>
      </c>
      <c r="H634" t="s">
        <v>353</v>
      </c>
    </row>
    <row r="635" spans="1:8" x14ac:dyDescent="0.2">
      <c r="A635" t="s">
        <v>976</v>
      </c>
      <c r="B635" s="6">
        <v>7.4923200000000003</v>
      </c>
      <c r="C635" t="s">
        <v>26</v>
      </c>
      <c r="D635" t="s">
        <v>41</v>
      </c>
      <c r="E635" t="s">
        <v>632</v>
      </c>
      <c r="F635" t="s">
        <v>20</v>
      </c>
      <c r="G635" t="s">
        <v>795</v>
      </c>
      <c r="H635" t="s">
        <v>977</v>
      </c>
    </row>
    <row r="636" spans="1:8" x14ac:dyDescent="0.2">
      <c r="A636" t="s">
        <v>646</v>
      </c>
      <c r="B636" s="6">
        <v>9.9079200000000006E-3</v>
      </c>
      <c r="C636" t="s">
        <v>619</v>
      </c>
      <c r="D636" t="s">
        <v>29</v>
      </c>
      <c r="E636" t="s">
        <v>629</v>
      </c>
      <c r="F636" t="s">
        <v>20</v>
      </c>
      <c r="G636" t="s">
        <v>776</v>
      </c>
      <c r="H636" t="s">
        <v>648</v>
      </c>
    </row>
    <row r="637" spans="1:8" x14ac:dyDescent="0.2">
      <c r="A637" t="s">
        <v>1029</v>
      </c>
      <c r="B637" s="6">
        <f>0.52*(44/12)</f>
        <v>1.9066666666666667</v>
      </c>
      <c r="D637" t="s">
        <v>8</v>
      </c>
      <c r="E637" t="s">
        <v>1030</v>
      </c>
      <c r="F637" t="s">
        <v>36</v>
      </c>
      <c r="G637" t="s">
        <v>871</v>
      </c>
    </row>
    <row r="639" spans="1:8" ht="16" x14ac:dyDescent="0.2">
      <c r="A639" s="1" t="s">
        <v>1</v>
      </c>
      <c r="B639" s="71" t="s">
        <v>872</v>
      </c>
    </row>
    <row r="640" spans="1:8" x14ac:dyDescent="0.2">
      <c r="A640" t="s">
        <v>2</v>
      </c>
      <c r="B640" s="6" t="s">
        <v>567</v>
      </c>
    </row>
    <row r="641" spans="1:8" x14ac:dyDescent="0.2">
      <c r="A641" t="s">
        <v>3</v>
      </c>
      <c r="B641" s="6">
        <v>1</v>
      </c>
    </row>
    <row r="642" spans="1:8" ht="16" x14ac:dyDescent="0.2">
      <c r="A642" t="s">
        <v>4</v>
      </c>
      <c r="B642" s="72" t="s">
        <v>1012</v>
      </c>
    </row>
    <row r="643" spans="1:8" x14ac:dyDescent="0.2">
      <c r="A643" t="s">
        <v>5</v>
      </c>
      <c r="B643" s="6" t="s">
        <v>6</v>
      </c>
    </row>
    <row r="644" spans="1:8" x14ac:dyDescent="0.2">
      <c r="A644" t="s">
        <v>7</v>
      </c>
      <c r="B644" s="6" t="s">
        <v>8</v>
      </c>
    </row>
    <row r="645" spans="1:8" x14ac:dyDescent="0.2">
      <c r="A645" t="s">
        <v>9</v>
      </c>
      <c r="B645" s="6" t="s">
        <v>627</v>
      </c>
    </row>
    <row r="646" spans="1:8" x14ac:dyDescent="0.2">
      <c r="A646" t="s">
        <v>492</v>
      </c>
      <c r="B646" s="70">
        <f>Summary!O54</f>
        <v>1.3483271375464685</v>
      </c>
    </row>
    <row r="647" spans="1:8" ht="16" x14ac:dyDescent="0.2">
      <c r="A647" s="1" t="s">
        <v>12</v>
      </c>
    </row>
    <row r="648" spans="1:8" x14ac:dyDescent="0.2">
      <c r="A648" t="s">
        <v>13</v>
      </c>
      <c r="B648" s="6" t="s">
        <v>14</v>
      </c>
      <c r="C648" t="s">
        <v>2</v>
      </c>
      <c r="D648" t="s">
        <v>7</v>
      </c>
      <c r="E648" t="s">
        <v>15</v>
      </c>
      <c r="F648" t="s">
        <v>5</v>
      </c>
      <c r="G648" t="s">
        <v>11</v>
      </c>
      <c r="H648" t="s">
        <v>4</v>
      </c>
    </row>
    <row r="649" spans="1:8" ht="16" x14ac:dyDescent="0.2">
      <c r="A649" s="2" t="s">
        <v>872</v>
      </c>
      <c r="B649" s="6">
        <v>1</v>
      </c>
      <c r="C649" t="s">
        <v>567</v>
      </c>
      <c r="D649" t="s">
        <v>8</v>
      </c>
      <c r="E649" t="s">
        <v>697</v>
      </c>
      <c r="F649" t="s">
        <v>17</v>
      </c>
      <c r="G649" t="s">
        <v>18</v>
      </c>
      <c r="H649" s="72" t="s">
        <v>1012</v>
      </c>
    </row>
    <row r="650" spans="1:8" x14ac:dyDescent="0.2">
      <c r="A650" t="s">
        <v>870</v>
      </c>
      <c r="B650" s="6">
        <f>1/0.975</f>
        <v>1.0256410256410258</v>
      </c>
      <c r="C650" t="s">
        <v>567</v>
      </c>
      <c r="D650" t="s">
        <v>8</v>
      </c>
      <c r="E650" t="s">
        <v>629</v>
      </c>
      <c r="F650" t="s">
        <v>20</v>
      </c>
      <c r="G650" t="s">
        <v>698</v>
      </c>
      <c r="H650" t="s">
        <v>809</v>
      </c>
    </row>
    <row r="651" spans="1:8" x14ac:dyDescent="0.2">
      <c r="A651" t="s">
        <v>699</v>
      </c>
      <c r="B651" s="6">
        <v>0.11309544000000001</v>
      </c>
      <c r="C651" t="s">
        <v>26</v>
      </c>
      <c r="D651" t="s">
        <v>8</v>
      </c>
      <c r="E651" t="s">
        <v>629</v>
      </c>
      <c r="F651" t="s">
        <v>20</v>
      </c>
      <c r="G651" t="s">
        <v>700</v>
      </c>
      <c r="H651" t="s">
        <v>701</v>
      </c>
    </row>
    <row r="652" spans="1:8" x14ac:dyDescent="0.2">
      <c r="A652" t="s">
        <v>965</v>
      </c>
      <c r="B652" s="6">
        <v>7.7480160000000006E-2</v>
      </c>
      <c r="C652" t="s">
        <v>26</v>
      </c>
      <c r="D652" t="s">
        <v>8</v>
      </c>
      <c r="E652" t="s">
        <v>629</v>
      </c>
      <c r="F652" t="s">
        <v>20</v>
      </c>
      <c r="G652" t="s">
        <v>700</v>
      </c>
      <c r="H652" t="s">
        <v>966</v>
      </c>
    </row>
    <row r="653" spans="1:8" x14ac:dyDescent="0.2">
      <c r="A653" t="s">
        <v>703</v>
      </c>
      <c r="B653" s="6">
        <v>1.4508E-2</v>
      </c>
      <c r="C653" t="s">
        <v>26</v>
      </c>
      <c r="D653" t="s">
        <v>8</v>
      </c>
      <c r="E653" t="s">
        <v>629</v>
      </c>
      <c r="F653" t="s">
        <v>20</v>
      </c>
      <c r="G653" t="s">
        <v>700</v>
      </c>
      <c r="H653" t="s">
        <v>704</v>
      </c>
    </row>
    <row r="654" spans="1:8" x14ac:dyDescent="0.2">
      <c r="A654" t="s">
        <v>706</v>
      </c>
      <c r="B654" s="6">
        <v>1.3392000000000001E-2</v>
      </c>
      <c r="C654" t="s">
        <v>26</v>
      </c>
      <c r="D654" t="s">
        <v>8</v>
      </c>
      <c r="E654" t="s">
        <v>629</v>
      </c>
      <c r="F654" t="s">
        <v>20</v>
      </c>
      <c r="G654" t="s">
        <v>700</v>
      </c>
      <c r="H654" t="s">
        <v>707</v>
      </c>
    </row>
    <row r="655" spans="1:8" x14ac:dyDescent="0.2">
      <c r="A655" t="s">
        <v>969</v>
      </c>
      <c r="B655" s="6">
        <v>2.6784000000000002E-2</v>
      </c>
      <c r="C655" t="s">
        <v>567</v>
      </c>
      <c r="D655" t="s">
        <v>8</v>
      </c>
      <c r="E655" t="s">
        <v>629</v>
      </c>
      <c r="F655" t="s">
        <v>20</v>
      </c>
      <c r="G655" t="s">
        <v>700</v>
      </c>
      <c r="H655" t="s">
        <v>970</v>
      </c>
    </row>
    <row r="656" spans="1:8" x14ac:dyDescent="0.2">
      <c r="A656" t="s">
        <v>100</v>
      </c>
      <c r="B656" s="6">
        <v>0.37944000000000006</v>
      </c>
      <c r="C656" t="s">
        <v>619</v>
      </c>
      <c r="D656" t="s">
        <v>41</v>
      </c>
      <c r="E656" t="s">
        <v>632</v>
      </c>
      <c r="F656" t="s">
        <v>20</v>
      </c>
      <c r="G656" t="s">
        <v>18</v>
      </c>
      <c r="H656" t="s">
        <v>103</v>
      </c>
    </row>
    <row r="657" spans="1:8" x14ac:dyDescent="0.2">
      <c r="A657" t="s">
        <v>97</v>
      </c>
      <c r="B657" s="6">
        <v>0.15252000000000002</v>
      </c>
      <c r="C657" t="s">
        <v>567</v>
      </c>
      <c r="D657" t="s">
        <v>41</v>
      </c>
      <c r="E657" t="s">
        <v>632</v>
      </c>
      <c r="F657" t="s">
        <v>20</v>
      </c>
      <c r="G657" t="s">
        <v>18</v>
      </c>
      <c r="H657" t="s">
        <v>98</v>
      </c>
    </row>
    <row r="658" spans="1:8" x14ac:dyDescent="0.2">
      <c r="A658" t="s">
        <v>352</v>
      </c>
      <c r="B658" s="6">
        <v>0.32736000000000004</v>
      </c>
      <c r="C658" t="s">
        <v>567</v>
      </c>
      <c r="D658" t="s">
        <v>41</v>
      </c>
      <c r="E658" t="s">
        <v>632</v>
      </c>
      <c r="F658" t="s">
        <v>20</v>
      </c>
      <c r="G658" t="s">
        <v>708</v>
      </c>
      <c r="H658" t="s">
        <v>353</v>
      </c>
    </row>
    <row r="659" spans="1:8" x14ac:dyDescent="0.2">
      <c r="A659" t="s">
        <v>352</v>
      </c>
      <c r="B659" s="6">
        <v>0.15996000000000002</v>
      </c>
      <c r="C659" t="s">
        <v>567</v>
      </c>
      <c r="D659" t="s">
        <v>41</v>
      </c>
      <c r="E659" t="s">
        <v>632</v>
      </c>
      <c r="F659" t="s">
        <v>20</v>
      </c>
      <c r="G659" t="s">
        <v>709</v>
      </c>
      <c r="H659" t="s">
        <v>353</v>
      </c>
    </row>
    <row r="660" spans="1:8" x14ac:dyDescent="0.2">
      <c r="A660" t="s">
        <v>976</v>
      </c>
      <c r="B660" s="6">
        <v>1.11972</v>
      </c>
      <c r="C660" t="s">
        <v>26</v>
      </c>
      <c r="D660" t="s">
        <v>41</v>
      </c>
      <c r="E660" t="s">
        <v>632</v>
      </c>
      <c r="F660" t="s">
        <v>20</v>
      </c>
      <c r="G660" t="s">
        <v>18</v>
      </c>
      <c r="H660" t="s">
        <v>977</v>
      </c>
    </row>
    <row r="661" spans="1:8" x14ac:dyDescent="0.2">
      <c r="A661" t="s">
        <v>646</v>
      </c>
      <c r="B661" s="6">
        <v>4.2090311999999998E-2</v>
      </c>
      <c r="C661" t="s">
        <v>619</v>
      </c>
      <c r="D661" t="s">
        <v>29</v>
      </c>
      <c r="E661" t="s">
        <v>632</v>
      </c>
      <c r="F661" t="s">
        <v>20</v>
      </c>
      <c r="G661" t="s">
        <v>710</v>
      </c>
      <c r="H661" t="s">
        <v>648</v>
      </c>
    </row>
    <row r="662" spans="1:8" x14ac:dyDescent="0.2">
      <c r="A662" t="s">
        <v>646</v>
      </c>
      <c r="B662" s="6">
        <v>8.6869440000000003E-3</v>
      </c>
      <c r="C662" t="s">
        <v>619</v>
      </c>
      <c r="D662" t="s">
        <v>29</v>
      </c>
      <c r="E662" t="s">
        <v>632</v>
      </c>
      <c r="F662" t="s">
        <v>20</v>
      </c>
      <c r="G662" t="s">
        <v>711</v>
      </c>
      <c r="H662" t="s">
        <v>648</v>
      </c>
    </row>
    <row r="663" spans="1:8" x14ac:dyDescent="0.2">
      <c r="A663" t="s">
        <v>646</v>
      </c>
      <c r="B663" s="6">
        <v>3.5161440000000002E-2</v>
      </c>
      <c r="C663" t="s">
        <v>619</v>
      </c>
      <c r="D663" t="s">
        <v>29</v>
      </c>
      <c r="E663" t="s">
        <v>632</v>
      </c>
      <c r="F663" t="s">
        <v>20</v>
      </c>
      <c r="G663" t="s">
        <v>712</v>
      </c>
      <c r="H663" t="s">
        <v>648</v>
      </c>
    </row>
    <row r="664" spans="1:8" x14ac:dyDescent="0.2">
      <c r="A664" t="s">
        <v>1029</v>
      </c>
      <c r="B664" s="6">
        <f>Parameters!$B$14-(B650*B637)</f>
        <v>0.89444444444444415</v>
      </c>
      <c r="D664" t="s">
        <v>8</v>
      </c>
      <c r="E664" t="s">
        <v>1030</v>
      </c>
      <c r="F664" t="s">
        <v>36</v>
      </c>
    </row>
    <row r="667" spans="1:8" ht="16" x14ac:dyDescent="0.2">
      <c r="A667" s="1" t="s">
        <v>1</v>
      </c>
      <c r="B667" s="71" t="s">
        <v>1100</v>
      </c>
    </row>
    <row r="668" spans="1:8" x14ac:dyDescent="0.2">
      <c r="A668" t="s">
        <v>2</v>
      </c>
      <c r="B668" s="6" t="s">
        <v>567</v>
      </c>
    </row>
    <row r="669" spans="1:8" x14ac:dyDescent="0.2">
      <c r="A669" t="s">
        <v>3</v>
      </c>
      <c r="B669" s="6">
        <v>1</v>
      </c>
    </row>
    <row r="670" spans="1:8" ht="16" x14ac:dyDescent="0.2">
      <c r="A670" t="s">
        <v>4</v>
      </c>
      <c r="B670" s="72" t="s">
        <v>1012</v>
      </c>
    </row>
    <row r="671" spans="1:8" x14ac:dyDescent="0.2">
      <c r="A671" t="s">
        <v>5</v>
      </c>
      <c r="B671" s="6" t="s">
        <v>6</v>
      </c>
    </row>
    <row r="672" spans="1:8" x14ac:dyDescent="0.2">
      <c r="A672" t="s">
        <v>7</v>
      </c>
      <c r="B672" s="6" t="s">
        <v>8</v>
      </c>
    </row>
    <row r="673" spans="1:8" x14ac:dyDescent="0.2">
      <c r="A673" t="s">
        <v>9</v>
      </c>
      <c r="B673" s="6" t="s">
        <v>627</v>
      </c>
    </row>
    <row r="674" spans="1:8" x14ac:dyDescent="0.2">
      <c r="A674" t="s">
        <v>11</v>
      </c>
      <c r="B674" s="6" t="s">
        <v>1101</v>
      </c>
    </row>
    <row r="675" spans="1:8" x14ac:dyDescent="0.2">
      <c r="A675" t="s">
        <v>492</v>
      </c>
      <c r="B675" s="70">
        <f>Summary!O82</f>
        <v>1.3483271375464685</v>
      </c>
    </row>
    <row r="676" spans="1:8" ht="16" x14ac:dyDescent="0.2">
      <c r="A676" s="1" t="s">
        <v>12</v>
      </c>
    </row>
    <row r="677" spans="1:8" x14ac:dyDescent="0.2">
      <c r="A677" t="s">
        <v>13</v>
      </c>
      <c r="B677" s="6" t="s">
        <v>14</v>
      </c>
      <c r="C677" t="s">
        <v>2</v>
      </c>
      <c r="D677" t="s">
        <v>7</v>
      </c>
      <c r="E677" t="s">
        <v>15</v>
      </c>
      <c r="F677" t="s">
        <v>5</v>
      </c>
      <c r="G677" t="s">
        <v>11</v>
      </c>
      <c r="H677" t="s">
        <v>4</v>
      </c>
    </row>
    <row r="678" spans="1:8" ht="16" x14ac:dyDescent="0.2">
      <c r="A678" s="2" t="s">
        <v>1100</v>
      </c>
      <c r="B678" s="6">
        <v>1</v>
      </c>
      <c r="C678" t="s">
        <v>567</v>
      </c>
      <c r="D678" t="s">
        <v>8</v>
      </c>
      <c r="E678" t="s">
        <v>697</v>
      </c>
      <c r="F678" t="s">
        <v>17</v>
      </c>
      <c r="G678" t="s">
        <v>18</v>
      </c>
      <c r="H678" s="72" t="s">
        <v>1012</v>
      </c>
    </row>
    <row r="679" spans="1:8" x14ac:dyDescent="0.2">
      <c r="A679" t="s">
        <v>870</v>
      </c>
      <c r="B679" s="6">
        <f>1/0.975</f>
        <v>1.0256410256410258</v>
      </c>
      <c r="C679" t="s">
        <v>567</v>
      </c>
      <c r="D679" t="s">
        <v>8</v>
      </c>
      <c r="E679" t="s">
        <v>629</v>
      </c>
      <c r="F679" t="s">
        <v>20</v>
      </c>
      <c r="G679" t="s">
        <v>698</v>
      </c>
      <c r="H679" t="s">
        <v>809</v>
      </c>
    </row>
    <row r="680" spans="1:8" x14ac:dyDescent="0.2">
      <c r="A680" t="s">
        <v>699</v>
      </c>
      <c r="B680" s="6">
        <v>0.11309544000000001</v>
      </c>
      <c r="C680" t="s">
        <v>26</v>
      </c>
      <c r="D680" t="s">
        <v>8</v>
      </c>
      <c r="E680" t="s">
        <v>629</v>
      </c>
      <c r="F680" t="s">
        <v>20</v>
      </c>
      <c r="G680" t="s">
        <v>700</v>
      </c>
      <c r="H680" t="s">
        <v>701</v>
      </c>
    </row>
    <row r="681" spans="1:8" x14ac:dyDescent="0.2">
      <c r="A681" t="s">
        <v>965</v>
      </c>
      <c r="B681" s="6">
        <v>7.7480160000000006E-2</v>
      </c>
      <c r="C681" t="s">
        <v>26</v>
      </c>
      <c r="D681" t="s">
        <v>8</v>
      </c>
      <c r="E681" t="s">
        <v>629</v>
      </c>
      <c r="F681" t="s">
        <v>20</v>
      </c>
      <c r="G681" t="s">
        <v>700</v>
      </c>
      <c r="H681" t="s">
        <v>966</v>
      </c>
    </row>
    <row r="682" spans="1:8" x14ac:dyDescent="0.2">
      <c r="A682" t="s">
        <v>703</v>
      </c>
      <c r="B682" s="6">
        <v>1.4508E-2</v>
      </c>
      <c r="C682" t="s">
        <v>26</v>
      </c>
      <c r="D682" t="s">
        <v>8</v>
      </c>
      <c r="E682" t="s">
        <v>629</v>
      </c>
      <c r="F682" t="s">
        <v>20</v>
      </c>
      <c r="G682" t="s">
        <v>700</v>
      </c>
      <c r="H682" t="s">
        <v>704</v>
      </c>
    </row>
    <row r="683" spans="1:8" x14ac:dyDescent="0.2">
      <c r="A683" t="s">
        <v>706</v>
      </c>
      <c r="B683" s="6">
        <v>1.3392000000000001E-2</v>
      </c>
      <c r="C683" t="s">
        <v>26</v>
      </c>
      <c r="D683" t="s">
        <v>8</v>
      </c>
      <c r="E683" t="s">
        <v>629</v>
      </c>
      <c r="F683" t="s">
        <v>20</v>
      </c>
      <c r="G683" t="s">
        <v>700</v>
      </c>
      <c r="H683" t="s">
        <v>707</v>
      </c>
    </row>
    <row r="684" spans="1:8" x14ac:dyDescent="0.2">
      <c r="A684" t="s">
        <v>969</v>
      </c>
      <c r="B684" s="6">
        <v>2.6784000000000002E-2</v>
      </c>
      <c r="C684" t="s">
        <v>567</v>
      </c>
      <c r="D684" t="s">
        <v>8</v>
      </c>
      <c r="E684" t="s">
        <v>629</v>
      </c>
      <c r="F684" t="s">
        <v>20</v>
      </c>
      <c r="G684" t="s">
        <v>700</v>
      </c>
      <c r="H684" t="s">
        <v>970</v>
      </c>
    </row>
    <row r="685" spans="1:8" x14ac:dyDescent="0.2">
      <c r="A685" t="s">
        <v>100</v>
      </c>
      <c r="B685" s="6">
        <v>0.37944000000000006</v>
      </c>
      <c r="C685" t="s">
        <v>619</v>
      </c>
      <c r="D685" t="s">
        <v>41</v>
      </c>
      <c r="E685" t="s">
        <v>632</v>
      </c>
      <c r="F685" t="s">
        <v>20</v>
      </c>
      <c r="G685" t="s">
        <v>18</v>
      </c>
      <c r="H685" t="s">
        <v>103</v>
      </c>
    </row>
    <row r="686" spans="1:8" x14ac:dyDescent="0.2">
      <c r="A686" t="s">
        <v>97</v>
      </c>
      <c r="B686" s="6">
        <v>0.15252000000000002</v>
      </c>
      <c r="C686" t="s">
        <v>567</v>
      </c>
      <c r="D686" t="s">
        <v>41</v>
      </c>
      <c r="E686" t="s">
        <v>632</v>
      </c>
      <c r="F686" t="s">
        <v>20</v>
      </c>
      <c r="G686" t="s">
        <v>18</v>
      </c>
      <c r="H686" t="s">
        <v>98</v>
      </c>
    </row>
    <row r="687" spans="1:8" x14ac:dyDescent="0.2">
      <c r="A687" t="s">
        <v>352</v>
      </c>
      <c r="B687" s="6">
        <v>0.32736000000000004</v>
      </c>
      <c r="C687" t="s">
        <v>567</v>
      </c>
      <c r="D687" t="s">
        <v>41</v>
      </c>
      <c r="E687" t="s">
        <v>632</v>
      </c>
      <c r="F687" t="s">
        <v>20</v>
      </c>
      <c r="G687" t="s">
        <v>708</v>
      </c>
      <c r="H687" t="s">
        <v>353</v>
      </c>
    </row>
    <row r="688" spans="1:8" x14ac:dyDescent="0.2">
      <c r="A688" t="s">
        <v>352</v>
      </c>
      <c r="B688" s="6">
        <v>0.15996000000000002</v>
      </c>
      <c r="C688" t="s">
        <v>567</v>
      </c>
      <c r="D688" t="s">
        <v>41</v>
      </c>
      <c r="E688" t="s">
        <v>632</v>
      </c>
      <c r="F688" t="s">
        <v>20</v>
      </c>
      <c r="G688" t="s">
        <v>709</v>
      </c>
      <c r="H688" t="s">
        <v>353</v>
      </c>
    </row>
    <row r="689" spans="1:8" x14ac:dyDescent="0.2">
      <c r="A689" t="s">
        <v>976</v>
      </c>
      <c r="B689" s="6">
        <v>1.11972</v>
      </c>
      <c r="C689" t="s">
        <v>26</v>
      </c>
      <c r="D689" t="s">
        <v>41</v>
      </c>
      <c r="E689" t="s">
        <v>632</v>
      </c>
      <c r="F689" t="s">
        <v>20</v>
      </c>
      <c r="G689" t="s">
        <v>18</v>
      </c>
      <c r="H689" t="s">
        <v>977</v>
      </c>
    </row>
    <row r="690" spans="1:8" x14ac:dyDescent="0.2">
      <c r="A690" t="s">
        <v>646</v>
      </c>
      <c r="B690" s="6">
        <v>4.2090311999999998E-2</v>
      </c>
      <c r="C690" t="s">
        <v>619</v>
      </c>
      <c r="D690" t="s">
        <v>29</v>
      </c>
      <c r="E690" t="s">
        <v>632</v>
      </c>
      <c r="F690" t="s">
        <v>20</v>
      </c>
      <c r="G690" t="s">
        <v>710</v>
      </c>
      <c r="H690" t="s">
        <v>648</v>
      </c>
    </row>
    <row r="691" spans="1:8" x14ac:dyDescent="0.2">
      <c r="A691" t="s">
        <v>646</v>
      </c>
      <c r="B691" s="6">
        <v>8.6869440000000003E-3</v>
      </c>
      <c r="C691" t="s">
        <v>619</v>
      </c>
      <c r="D691" t="s">
        <v>29</v>
      </c>
      <c r="E691" t="s">
        <v>632</v>
      </c>
      <c r="F691" t="s">
        <v>20</v>
      </c>
      <c r="G691" t="s">
        <v>711</v>
      </c>
      <c r="H691" t="s">
        <v>648</v>
      </c>
    </row>
    <row r="692" spans="1:8" x14ac:dyDescent="0.2">
      <c r="A692" t="s">
        <v>646</v>
      </c>
      <c r="B692" s="6">
        <v>3.5161440000000002E-2</v>
      </c>
      <c r="C692" t="s">
        <v>619</v>
      </c>
      <c r="D692" t="s">
        <v>29</v>
      </c>
      <c r="E692" t="s">
        <v>632</v>
      </c>
      <c r="F692" t="s">
        <v>20</v>
      </c>
      <c r="G692" t="s">
        <v>712</v>
      </c>
      <c r="H692" t="s">
        <v>648</v>
      </c>
    </row>
    <row r="693" spans="1:8" x14ac:dyDescent="0.2">
      <c r="A693" t="s">
        <v>1029</v>
      </c>
      <c r="B693" s="6">
        <f>(Parameters!$B$14-(B650*B637))*(1-0.975)</f>
        <v>2.2361111111111123E-2</v>
      </c>
      <c r="D693" t="s">
        <v>8</v>
      </c>
      <c r="E693" t="s">
        <v>1030</v>
      </c>
      <c r="F693" t="s">
        <v>36</v>
      </c>
    </row>
    <row r="694" spans="1:8" x14ac:dyDescent="0.2">
      <c r="A694" t="s">
        <v>646</v>
      </c>
      <c r="B694" s="6">
        <f>(Parameters!$B$14-(B650*B637))*(0.975)*(180/1000)</f>
        <v>0.15697499999999992</v>
      </c>
      <c r="C694" t="s">
        <v>619</v>
      </c>
      <c r="D694" t="s">
        <v>29</v>
      </c>
      <c r="E694" t="s">
        <v>632</v>
      </c>
      <c r="F694" t="s">
        <v>20</v>
      </c>
      <c r="G694" t="s">
        <v>712</v>
      </c>
      <c r="H694" t="s">
        <v>648</v>
      </c>
    </row>
    <row r="695" spans="1:8" x14ac:dyDescent="0.2">
      <c r="A695" t="s">
        <v>1065</v>
      </c>
      <c r="B695" s="6">
        <f>(Parameters!$B$14-(B650*B637))*(0.975)</f>
        <v>0.87208333333333299</v>
      </c>
      <c r="C695" t="s">
        <v>567</v>
      </c>
      <c r="D695" t="s">
        <v>8</v>
      </c>
      <c r="F695" s="35" t="s">
        <v>20</v>
      </c>
      <c r="H695" t="s">
        <v>1065</v>
      </c>
    </row>
    <row r="697" spans="1:8" ht="16" x14ac:dyDescent="0.2">
      <c r="A697" s="1" t="s">
        <v>1</v>
      </c>
      <c r="B697" s="71" t="s">
        <v>695</v>
      </c>
    </row>
    <row r="698" spans="1:8" x14ac:dyDescent="0.2">
      <c r="A698" t="s">
        <v>2</v>
      </c>
      <c r="B698" s="6" t="s">
        <v>567</v>
      </c>
    </row>
    <row r="699" spans="1:8" x14ac:dyDescent="0.2">
      <c r="A699" t="s">
        <v>3</v>
      </c>
      <c r="B699" s="6">
        <v>1</v>
      </c>
    </row>
    <row r="700" spans="1:8" ht="16" x14ac:dyDescent="0.2">
      <c r="A700" t="s">
        <v>4</v>
      </c>
      <c r="B700" s="72" t="s">
        <v>696</v>
      </c>
    </row>
    <row r="701" spans="1:8" x14ac:dyDescent="0.2">
      <c r="A701" t="s">
        <v>9</v>
      </c>
      <c r="B701" s="6" t="s">
        <v>627</v>
      </c>
    </row>
    <row r="702" spans="1:8" x14ac:dyDescent="0.2">
      <c r="A702" t="s">
        <v>5</v>
      </c>
      <c r="B702" s="6" t="s">
        <v>6</v>
      </c>
    </row>
    <row r="703" spans="1:8" x14ac:dyDescent="0.2">
      <c r="A703" t="s">
        <v>7</v>
      </c>
      <c r="B703" s="6" t="s">
        <v>8</v>
      </c>
    </row>
    <row r="704" spans="1:8" ht="16" x14ac:dyDescent="0.2">
      <c r="A704" s="1" t="s">
        <v>12</v>
      </c>
    </row>
    <row r="705" spans="1:11" x14ac:dyDescent="0.2">
      <c r="A705" t="s">
        <v>13</v>
      </c>
      <c r="B705" s="6" t="s">
        <v>14</v>
      </c>
      <c r="C705" t="s">
        <v>2</v>
      </c>
      <c r="D705" t="s">
        <v>7</v>
      </c>
      <c r="E705" t="s">
        <v>15</v>
      </c>
      <c r="F705" t="s">
        <v>5</v>
      </c>
      <c r="G705" t="s">
        <v>338</v>
      </c>
      <c r="H705" t="s">
        <v>339</v>
      </c>
      <c r="I705" t="s">
        <v>16</v>
      </c>
      <c r="J705" t="s">
        <v>11</v>
      </c>
      <c r="K705" t="s">
        <v>4</v>
      </c>
    </row>
    <row r="706" spans="1:11" x14ac:dyDescent="0.2">
      <c r="A706" t="s">
        <v>695</v>
      </c>
      <c r="B706" s="6">
        <v>1</v>
      </c>
      <c r="C706" t="s">
        <v>567</v>
      </c>
      <c r="D706" t="s">
        <v>8</v>
      </c>
      <c r="F706" t="s">
        <v>17</v>
      </c>
      <c r="I706">
        <v>100</v>
      </c>
      <c r="J706" t="s">
        <v>18</v>
      </c>
      <c r="K706" t="s">
        <v>696</v>
      </c>
    </row>
    <row r="707" spans="1:11" ht="16" x14ac:dyDescent="0.2">
      <c r="A707" s="2" t="s">
        <v>872</v>
      </c>
      <c r="B707" s="6">
        <v>1.00057</v>
      </c>
      <c r="C707" t="s">
        <v>567</v>
      </c>
      <c r="D707" t="s">
        <v>8</v>
      </c>
      <c r="F707" t="s">
        <v>20</v>
      </c>
      <c r="K707" s="72" t="s">
        <v>1012</v>
      </c>
    </row>
    <row r="708" spans="1:11" x14ac:dyDescent="0.2">
      <c r="A708" t="s">
        <v>28</v>
      </c>
      <c r="B708" s="6">
        <v>6.7000000000000002E-3</v>
      </c>
      <c r="C708" t="s">
        <v>567</v>
      </c>
      <c r="D708" t="s">
        <v>29</v>
      </c>
      <c r="F708" t="s">
        <v>20</v>
      </c>
      <c r="K708" t="s">
        <v>30</v>
      </c>
    </row>
    <row r="709" spans="1:11" x14ac:dyDescent="0.2">
      <c r="A709" t="s">
        <v>340</v>
      </c>
      <c r="B709" s="6">
        <v>-1.6799999999999999E-4</v>
      </c>
      <c r="C709" t="s">
        <v>619</v>
      </c>
      <c r="D709" t="s">
        <v>8</v>
      </c>
      <c r="F709" t="s">
        <v>20</v>
      </c>
      <c r="K709" t="s">
        <v>341</v>
      </c>
    </row>
    <row r="710" spans="1:11" x14ac:dyDescent="0.2">
      <c r="A710" t="s">
        <v>342</v>
      </c>
      <c r="B710" s="6">
        <v>5.8399999999999999E-4</v>
      </c>
      <c r="C710" t="s">
        <v>626</v>
      </c>
      <c r="D710" t="s">
        <v>19</v>
      </c>
      <c r="F710" t="s">
        <v>20</v>
      </c>
      <c r="K710" t="s">
        <v>343</v>
      </c>
    </row>
    <row r="711" spans="1:11" x14ac:dyDescent="0.2">
      <c r="A711" t="s">
        <v>344</v>
      </c>
      <c r="B711" s="6">
        <v>2.5999999999999998E-10</v>
      </c>
      <c r="C711" t="s">
        <v>567</v>
      </c>
      <c r="D711" t="s">
        <v>7</v>
      </c>
      <c r="F711" t="s">
        <v>20</v>
      </c>
      <c r="K711" t="s">
        <v>345</v>
      </c>
    </row>
    <row r="712" spans="1:11" x14ac:dyDescent="0.2">
      <c r="A712" t="s">
        <v>346</v>
      </c>
      <c r="B712" s="6">
        <v>-6.2700000000000001E-6</v>
      </c>
      <c r="C712" t="s">
        <v>626</v>
      </c>
      <c r="D712" t="s">
        <v>8</v>
      </c>
      <c r="F712" t="s">
        <v>20</v>
      </c>
      <c r="K712" t="s">
        <v>347</v>
      </c>
    </row>
    <row r="713" spans="1:11" x14ac:dyDescent="0.2">
      <c r="A713" t="s">
        <v>348</v>
      </c>
      <c r="B713" s="6">
        <v>-7.4999999999999993E-5</v>
      </c>
      <c r="C713" t="s">
        <v>619</v>
      </c>
      <c r="D713" t="s">
        <v>121</v>
      </c>
      <c r="F713" t="s">
        <v>20</v>
      </c>
      <c r="K713" t="s">
        <v>349</v>
      </c>
    </row>
    <row r="714" spans="1:11" x14ac:dyDescent="0.2">
      <c r="A714" t="s">
        <v>350</v>
      </c>
      <c r="B714" s="6">
        <v>6.8900000000000005E-4</v>
      </c>
      <c r="C714" t="s">
        <v>619</v>
      </c>
      <c r="D714" t="s">
        <v>8</v>
      </c>
      <c r="F714" t="s">
        <v>20</v>
      </c>
      <c r="K714" t="s">
        <v>351</v>
      </c>
    </row>
    <row r="715" spans="1:11" x14ac:dyDescent="0.2">
      <c r="A715" t="s">
        <v>100</v>
      </c>
      <c r="B715" s="6">
        <v>3.3599999999999998E-2</v>
      </c>
      <c r="C715" t="s">
        <v>619</v>
      </c>
      <c r="D715" t="s">
        <v>41</v>
      </c>
      <c r="F715" t="s">
        <v>20</v>
      </c>
      <c r="K715" t="s">
        <v>103</v>
      </c>
    </row>
    <row r="716" spans="1:11" x14ac:dyDescent="0.2">
      <c r="A716" t="s">
        <v>352</v>
      </c>
      <c r="B716" s="6">
        <v>3.2599999999999997E-2</v>
      </c>
      <c r="C716" t="s">
        <v>567</v>
      </c>
      <c r="D716" t="s">
        <v>41</v>
      </c>
      <c r="F716" t="s">
        <v>20</v>
      </c>
      <c r="K716" t="s">
        <v>353</v>
      </c>
    </row>
    <row r="717" spans="1:11" x14ac:dyDescent="0.2">
      <c r="A717" t="s">
        <v>354</v>
      </c>
      <c r="B717" s="6">
        <v>-6.8899999999999999E-7</v>
      </c>
      <c r="C717" t="s">
        <v>619</v>
      </c>
      <c r="D717" t="s">
        <v>121</v>
      </c>
      <c r="F717" t="s">
        <v>20</v>
      </c>
      <c r="K717" t="s">
        <v>355</v>
      </c>
    </row>
    <row r="718" spans="1:11" ht="16.25" customHeight="1" x14ac:dyDescent="0.2">
      <c r="A718" s="1"/>
      <c r="B718" s="71"/>
    </row>
    <row r="719" spans="1:11" ht="16" x14ac:dyDescent="0.2">
      <c r="A719" s="1" t="s">
        <v>1</v>
      </c>
      <c r="B719" s="71" t="s">
        <v>875</v>
      </c>
    </row>
    <row r="720" spans="1:11" x14ac:dyDescent="0.2">
      <c r="A720" t="s">
        <v>2</v>
      </c>
      <c r="B720" s="6" t="s">
        <v>567</v>
      </c>
    </row>
    <row r="721" spans="1:8" x14ac:dyDescent="0.2">
      <c r="A721" t="s">
        <v>3</v>
      </c>
      <c r="B721" s="6">
        <v>1</v>
      </c>
    </row>
    <row r="722" spans="1:8" x14ac:dyDescent="0.2">
      <c r="A722" t="s">
        <v>4</v>
      </c>
      <c r="B722" s="6" t="s">
        <v>753</v>
      </c>
    </row>
    <row r="723" spans="1:8" x14ac:dyDescent="0.2">
      <c r="A723" t="s">
        <v>5</v>
      </c>
      <c r="B723" s="6" t="s">
        <v>6</v>
      </c>
    </row>
    <row r="724" spans="1:8" x14ac:dyDescent="0.2">
      <c r="A724" t="s">
        <v>7</v>
      </c>
      <c r="B724" s="6" t="s">
        <v>8</v>
      </c>
    </row>
    <row r="725" spans="1:8" x14ac:dyDescent="0.2">
      <c r="A725" t="s">
        <v>9</v>
      </c>
      <c r="B725" s="6" t="s">
        <v>627</v>
      </c>
    </row>
    <row r="726" spans="1:8" x14ac:dyDescent="0.2">
      <c r="A726" t="s">
        <v>858</v>
      </c>
      <c r="B726" s="6">
        <v>3</v>
      </c>
    </row>
    <row r="727" spans="1:8" x14ac:dyDescent="0.2">
      <c r="A727" t="s">
        <v>836</v>
      </c>
      <c r="B727" s="6">
        <f>27/0.91</f>
        <v>29.670329670329668</v>
      </c>
    </row>
    <row r="728" spans="1:8" x14ac:dyDescent="0.2">
      <c r="A728" t="s">
        <v>842</v>
      </c>
      <c r="B728" s="73">
        <v>0.15</v>
      </c>
    </row>
    <row r="729" spans="1:8" ht="16" x14ac:dyDescent="0.2">
      <c r="A729" s="1" t="s">
        <v>12</v>
      </c>
    </row>
    <row r="730" spans="1:8" x14ac:dyDescent="0.2">
      <c r="A730" t="s">
        <v>13</v>
      </c>
      <c r="B730" s="6" t="s">
        <v>14</v>
      </c>
      <c r="C730" t="s">
        <v>2</v>
      </c>
      <c r="D730" t="s">
        <v>7</v>
      </c>
      <c r="E730" t="s">
        <v>15</v>
      </c>
      <c r="F730" t="s">
        <v>5</v>
      </c>
      <c r="G730" t="s">
        <v>11</v>
      </c>
      <c r="H730" t="s">
        <v>4</v>
      </c>
    </row>
    <row r="731" spans="1:8" x14ac:dyDescent="0.2">
      <c r="A731" t="s">
        <v>875</v>
      </c>
      <c r="B731" s="6">
        <v>1</v>
      </c>
      <c r="C731" t="s">
        <v>567</v>
      </c>
      <c r="D731" t="s">
        <v>8</v>
      </c>
      <c r="E731" t="s">
        <v>714</v>
      </c>
      <c r="F731" t="s">
        <v>17</v>
      </c>
      <c r="G731" t="s">
        <v>18</v>
      </c>
      <c r="H731" t="s">
        <v>753</v>
      </c>
    </row>
    <row r="732" spans="1:8" x14ac:dyDescent="0.2">
      <c r="A732" t="s">
        <v>875</v>
      </c>
      <c r="B732" s="6">
        <v>0.14000000000000001</v>
      </c>
      <c r="C732" t="s">
        <v>567</v>
      </c>
      <c r="D732" t="s">
        <v>8</v>
      </c>
      <c r="E732" t="s">
        <v>714</v>
      </c>
      <c r="F732" t="s">
        <v>20</v>
      </c>
      <c r="H732" t="s">
        <v>753</v>
      </c>
    </row>
    <row r="733" spans="1:8" x14ac:dyDescent="0.2">
      <c r="A733" t="s">
        <v>965</v>
      </c>
      <c r="B733" s="6">
        <v>3.3196796703296701E-3</v>
      </c>
      <c r="C733" t="s">
        <v>26</v>
      </c>
      <c r="D733" t="s">
        <v>8</v>
      </c>
      <c r="E733" t="s">
        <v>629</v>
      </c>
      <c r="F733" t="s">
        <v>20</v>
      </c>
      <c r="G733" t="s">
        <v>779</v>
      </c>
      <c r="H733" t="s">
        <v>966</v>
      </c>
    </row>
    <row r="734" spans="1:8" x14ac:dyDescent="0.2">
      <c r="A734" t="s">
        <v>42</v>
      </c>
      <c r="B734" s="6">
        <v>4.6404395604395604E-2</v>
      </c>
      <c r="C734" t="s">
        <v>626</v>
      </c>
      <c r="D734" t="s">
        <v>8</v>
      </c>
      <c r="E734" t="s">
        <v>629</v>
      </c>
      <c r="F734" t="s">
        <v>20</v>
      </c>
      <c r="G734" t="s">
        <v>780</v>
      </c>
      <c r="H734" t="s">
        <v>43</v>
      </c>
    </row>
    <row r="735" spans="1:8" x14ac:dyDescent="0.2">
      <c r="A735" t="s">
        <v>603</v>
      </c>
      <c r="B735" s="6">
        <f>0.00226978021978022/1000</f>
        <v>2.26978021978022E-6</v>
      </c>
      <c r="C735" t="s">
        <v>26</v>
      </c>
      <c r="D735" t="s">
        <v>8</v>
      </c>
      <c r="E735" t="s">
        <v>629</v>
      </c>
      <c r="F735" t="s">
        <v>20</v>
      </c>
      <c r="G735" t="s">
        <v>781</v>
      </c>
      <c r="H735" t="s">
        <v>602</v>
      </c>
    </row>
    <row r="736" spans="1:8" x14ac:dyDescent="0.2">
      <c r="A736" t="s">
        <v>44</v>
      </c>
      <c r="B736" s="6">
        <v>1.0340109890109889E-2</v>
      </c>
      <c r="C736" t="s">
        <v>626</v>
      </c>
      <c r="D736" t="s">
        <v>8</v>
      </c>
      <c r="E736" t="s">
        <v>629</v>
      </c>
      <c r="F736" t="s">
        <v>20</v>
      </c>
      <c r="G736" t="s">
        <v>782</v>
      </c>
      <c r="H736" t="s">
        <v>45</v>
      </c>
    </row>
    <row r="737" spans="1:8" x14ac:dyDescent="0.2">
      <c r="A737" t="s">
        <v>46</v>
      </c>
      <c r="B737" s="6">
        <v>1.4123076923076919E-2</v>
      </c>
      <c r="C737" t="s">
        <v>626</v>
      </c>
      <c r="D737" t="s">
        <v>8</v>
      </c>
      <c r="E737" t="s">
        <v>629</v>
      </c>
      <c r="F737" t="s">
        <v>20</v>
      </c>
      <c r="G737" t="s">
        <v>783</v>
      </c>
      <c r="H737" t="s">
        <v>47</v>
      </c>
    </row>
    <row r="738" spans="1:8" x14ac:dyDescent="0.2">
      <c r="A738" t="s">
        <v>784</v>
      </c>
      <c r="B738" s="6">
        <v>9.0791208791208781E-3</v>
      </c>
      <c r="C738" t="s">
        <v>26</v>
      </c>
      <c r="D738" t="s">
        <v>8</v>
      </c>
      <c r="E738" t="s">
        <v>629</v>
      </c>
      <c r="F738" t="s">
        <v>20</v>
      </c>
      <c r="G738" t="s">
        <v>785</v>
      </c>
      <c r="H738" t="s">
        <v>786</v>
      </c>
    </row>
    <row r="739" spans="1:8" x14ac:dyDescent="0.2">
      <c r="A739" t="s">
        <v>48</v>
      </c>
      <c r="B739" s="6">
        <v>0.10214010989010987</v>
      </c>
      <c r="C739" t="s">
        <v>26</v>
      </c>
      <c r="D739" t="s">
        <v>8</v>
      </c>
      <c r="E739" t="s">
        <v>629</v>
      </c>
      <c r="F739" t="s">
        <v>20</v>
      </c>
      <c r="G739" t="s">
        <v>787</v>
      </c>
      <c r="H739" t="s">
        <v>49</v>
      </c>
    </row>
    <row r="740" spans="1:8" x14ac:dyDescent="0.2">
      <c r="A740" t="s">
        <v>22</v>
      </c>
      <c r="B740" s="6">
        <f>0.022609532967033*43</f>
        <v>0.97220991758241904</v>
      </c>
      <c r="C740" t="s">
        <v>26</v>
      </c>
      <c r="D740" t="s">
        <v>19</v>
      </c>
      <c r="E740" t="s">
        <v>629</v>
      </c>
      <c r="F740" t="s">
        <v>20</v>
      </c>
      <c r="G740" t="s">
        <v>788</v>
      </c>
      <c r="H740" t="s">
        <v>23</v>
      </c>
    </row>
    <row r="741" spans="1:8" x14ac:dyDescent="0.2">
      <c r="A741" t="s">
        <v>646</v>
      </c>
      <c r="B741" s="6">
        <v>2.1103407692307695E-2</v>
      </c>
      <c r="C741" t="s">
        <v>619</v>
      </c>
      <c r="D741" t="s">
        <v>29</v>
      </c>
      <c r="E741" t="s">
        <v>632</v>
      </c>
      <c r="F741" t="s">
        <v>20</v>
      </c>
      <c r="G741" t="s">
        <v>789</v>
      </c>
      <c r="H741" t="s">
        <v>648</v>
      </c>
    </row>
    <row r="742" spans="1:8" x14ac:dyDescent="0.2">
      <c r="A742" t="s">
        <v>769</v>
      </c>
      <c r="B742" s="6">
        <v>3.851312637362637E-3</v>
      </c>
      <c r="C742" t="s">
        <v>567</v>
      </c>
      <c r="D742" t="s">
        <v>8</v>
      </c>
      <c r="E742" t="s">
        <v>629</v>
      </c>
      <c r="F742" t="s">
        <v>20</v>
      </c>
      <c r="G742" t="s">
        <v>779</v>
      </c>
      <c r="H742" t="s">
        <v>770</v>
      </c>
    </row>
    <row r="743" spans="1:8" x14ac:dyDescent="0.2">
      <c r="A743" t="s">
        <v>50</v>
      </c>
      <c r="B743" s="6">
        <f>2099/1000000</f>
        <v>2.0990000000000002E-3</v>
      </c>
      <c r="C743" t="s">
        <v>26</v>
      </c>
      <c r="D743" t="s">
        <v>8</v>
      </c>
      <c r="F743" t="s">
        <v>20</v>
      </c>
      <c r="G743" t="s">
        <v>1026</v>
      </c>
      <c r="H743" t="s">
        <v>53</v>
      </c>
    </row>
    <row r="744" spans="1:8" x14ac:dyDescent="0.2">
      <c r="A744" t="s">
        <v>108</v>
      </c>
      <c r="B744" s="6">
        <v>25.219780219780215</v>
      </c>
      <c r="D744" t="s">
        <v>19</v>
      </c>
      <c r="E744" t="s">
        <v>112</v>
      </c>
      <c r="F744" t="s">
        <v>36</v>
      </c>
      <c r="G744" t="s">
        <v>790</v>
      </c>
    </row>
    <row r="745" spans="1:8" x14ac:dyDescent="0.2">
      <c r="A745" t="s">
        <v>40</v>
      </c>
      <c r="B745" s="6">
        <v>1.4425714285714285E-3</v>
      </c>
      <c r="C745" s="6"/>
      <c r="D745" t="s">
        <v>8</v>
      </c>
      <c r="E745" t="s">
        <v>37</v>
      </c>
      <c r="F745" t="s">
        <v>36</v>
      </c>
      <c r="G745" t="s">
        <v>777</v>
      </c>
    </row>
    <row r="746" spans="1:8" x14ac:dyDescent="0.2">
      <c r="A746" t="s">
        <v>40</v>
      </c>
      <c r="B746" s="6">
        <v>3.026373626373626E-6</v>
      </c>
      <c r="D746" t="s">
        <v>8</v>
      </c>
      <c r="E746" t="s">
        <v>37</v>
      </c>
      <c r="F746" t="s">
        <v>36</v>
      </c>
      <c r="G746" t="s">
        <v>778</v>
      </c>
    </row>
    <row r="747" spans="1:8" x14ac:dyDescent="0.2">
      <c r="A747" t="s">
        <v>1029</v>
      </c>
      <c r="B747" s="6">
        <f>0.535*(44/12)*(1-B728)</f>
        <v>1.6674166666666665</v>
      </c>
      <c r="D747" t="s">
        <v>8</v>
      </c>
      <c r="E747" t="s">
        <v>1030</v>
      </c>
      <c r="F747" t="s">
        <v>36</v>
      </c>
      <c r="G747" t="s">
        <v>876</v>
      </c>
    </row>
    <row r="748" spans="1:8" x14ac:dyDescent="0.2">
      <c r="A748" t="s">
        <v>194</v>
      </c>
      <c r="B748" s="6">
        <v>3.58</v>
      </c>
      <c r="D748" t="s">
        <v>113</v>
      </c>
      <c r="E748" t="s">
        <v>114</v>
      </c>
      <c r="F748" t="s">
        <v>36</v>
      </c>
      <c r="G748" t="s">
        <v>943</v>
      </c>
    </row>
    <row r="749" spans="1:8" x14ac:dyDescent="0.2">
      <c r="A749" t="s">
        <v>195</v>
      </c>
      <c r="B749" s="6">
        <v>3.31</v>
      </c>
      <c r="D749" t="s">
        <v>115</v>
      </c>
      <c r="E749" t="s">
        <v>114</v>
      </c>
      <c r="F749" t="s">
        <v>36</v>
      </c>
      <c r="G749" t="s">
        <v>877</v>
      </c>
    </row>
    <row r="750" spans="1:8" x14ac:dyDescent="0.2">
      <c r="A750" t="s">
        <v>196</v>
      </c>
      <c r="B750" s="6">
        <v>3.31</v>
      </c>
      <c r="D750" t="s">
        <v>115</v>
      </c>
      <c r="E750" t="s">
        <v>114</v>
      </c>
      <c r="F750" t="s">
        <v>36</v>
      </c>
      <c r="G750" t="s">
        <v>877</v>
      </c>
    </row>
    <row r="751" spans="1:8" x14ac:dyDescent="0.2">
      <c r="A751" t="s">
        <v>120</v>
      </c>
      <c r="B751" s="6">
        <v>0.27484999999999998</v>
      </c>
      <c r="C751" t="s">
        <v>958</v>
      </c>
      <c r="D751" t="s">
        <v>121</v>
      </c>
      <c r="F751" t="s">
        <v>20</v>
      </c>
      <c r="G751" t="s">
        <v>955</v>
      </c>
      <c r="H751" t="s">
        <v>122</v>
      </c>
    </row>
    <row r="752" spans="1:8" x14ac:dyDescent="0.2">
      <c r="A752" t="s">
        <v>960</v>
      </c>
      <c r="B752" s="6">
        <v>0.23088</v>
      </c>
      <c r="C752" t="s">
        <v>26</v>
      </c>
      <c r="D752" t="s">
        <v>8</v>
      </c>
      <c r="F752" t="s">
        <v>20</v>
      </c>
      <c r="G752" t="s">
        <v>955</v>
      </c>
      <c r="H752" t="s">
        <v>886</v>
      </c>
    </row>
    <row r="753" spans="1:8" x14ac:dyDescent="0.2">
      <c r="A753" t="s">
        <v>887</v>
      </c>
      <c r="B753" s="6">
        <v>1.8833999999999999E-3</v>
      </c>
      <c r="C753" t="s">
        <v>26</v>
      </c>
      <c r="D753" t="s">
        <v>8</v>
      </c>
      <c r="F753" t="s">
        <v>20</v>
      </c>
      <c r="G753" t="s">
        <v>955</v>
      </c>
      <c r="H753" t="s">
        <v>888</v>
      </c>
    </row>
    <row r="754" spans="1:8" x14ac:dyDescent="0.2">
      <c r="A754" t="s">
        <v>126</v>
      </c>
      <c r="B754" s="6">
        <v>0.21836674491491001</v>
      </c>
      <c r="D754" t="s">
        <v>121</v>
      </c>
      <c r="E754" t="s">
        <v>37</v>
      </c>
      <c r="F754" t="s">
        <v>36</v>
      </c>
      <c r="G754" t="s">
        <v>955</v>
      </c>
    </row>
    <row r="755" spans="1:8" x14ac:dyDescent="0.2">
      <c r="A755" t="s">
        <v>172</v>
      </c>
      <c r="B755" s="6">
        <v>6.9572454000000006E-2</v>
      </c>
      <c r="D755" t="s">
        <v>8</v>
      </c>
      <c r="E755" t="s">
        <v>179</v>
      </c>
      <c r="F755" t="s">
        <v>36</v>
      </c>
      <c r="G755" t="s">
        <v>955</v>
      </c>
    </row>
    <row r="756" spans="1:8" x14ac:dyDescent="0.2">
      <c r="A756" t="s">
        <v>126</v>
      </c>
      <c r="B756" s="6">
        <v>4.5185013044696201E-2</v>
      </c>
      <c r="D756" t="s">
        <v>121</v>
      </c>
      <c r="E756" t="s">
        <v>179</v>
      </c>
      <c r="F756" t="s">
        <v>36</v>
      </c>
      <c r="G756" t="s">
        <v>955</v>
      </c>
    </row>
    <row r="757" spans="1:8" x14ac:dyDescent="0.2">
      <c r="A757" t="s">
        <v>325</v>
      </c>
      <c r="B757" s="6">
        <v>2.9804000000000001E-2</v>
      </c>
      <c r="D757" t="s">
        <v>8</v>
      </c>
      <c r="E757" t="s">
        <v>169</v>
      </c>
      <c r="F757" t="s">
        <v>36</v>
      </c>
      <c r="G757" t="s">
        <v>955</v>
      </c>
    </row>
    <row r="758" spans="1:8" x14ac:dyDescent="0.2">
      <c r="A758" t="s">
        <v>126</v>
      </c>
      <c r="B758" s="6">
        <v>1.1296253261174101E-2</v>
      </c>
      <c r="D758" t="s">
        <v>121</v>
      </c>
      <c r="E758" t="s">
        <v>171</v>
      </c>
      <c r="F758" t="s">
        <v>36</v>
      </c>
      <c r="G758" t="s">
        <v>955</v>
      </c>
    </row>
    <row r="759" spans="1:8" x14ac:dyDescent="0.2">
      <c r="A759" t="s">
        <v>127</v>
      </c>
      <c r="B759" s="6">
        <v>5.1229170000000003E-3</v>
      </c>
      <c r="D759" t="s">
        <v>8</v>
      </c>
      <c r="E759" t="s">
        <v>169</v>
      </c>
      <c r="F759" t="s">
        <v>36</v>
      </c>
      <c r="G759" t="s">
        <v>955</v>
      </c>
    </row>
    <row r="760" spans="1:8" x14ac:dyDescent="0.2">
      <c r="A760" t="s">
        <v>944</v>
      </c>
      <c r="B760" s="6">
        <v>3.0517000000000001E-4</v>
      </c>
      <c r="D760" t="s">
        <v>8</v>
      </c>
      <c r="E760" t="s">
        <v>170</v>
      </c>
      <c r="F760" t="s">
        <v>36</v>
      </c>
      <c r="G760" t="s">
        <v>955</v>
      </c>
    </row>
    <row r="761" spans="1:8" x14ac:dyDescent="0.2">
      <c r="A761" t="s">
        <v>38</v>
      </c>
      <c r="B761" s="6">
        <v>3.0220239000000002E-4</v>
      </c>
      <c r="D761" t="s">
        <v>8</v>
      </c>
      <c r="E761" t="s">
        <v>169</v>
      </c>
      <c r="F761" t="s">
        <v>36</v>
      </c>
      <c r="G761" t="s">
        <v>955</v>
      </c>
    </row>
    <row r="762" spans="1:8" x14ac:dyDescent="0.2">
      <c r="A762" t="s">
        <v>174</v>
      </c>
      <c r="B762" s="6">
        <v>2.1311E-4</v>
      </c>
      <c r="D762" t="s">
        <v>8</v>
      </c>
      <c r="E762" t="s">
        <v>171</v>
      </c>
      <c r="F762" t="s">
        <v>36</v>
      </c>
      <c r="G762" t="s">
        <v>955</v>
      </c>
    </row>
    <row r="763" spans="1:8" x14ac:dyDescent="0.2">
      <c r="A763" t="s">
        <v>945</v>
      </c>
      <c r="B763" s="6">
        <v>1.3363000000000001E-4</v>
      </c>
      <c r="D763" t="s">
        <v>8</v>
      </c>
      <c r="E763" t="s">
        <v>170</v>
      </c>
      <c r="F763" t="s">
        <v>36</v>
      </c>
      <c r="G763" t="s">
        <v>955</v>
      </c>
    </row>
    <row r="764" spans="1:8" x14ac:dyDescent="0.2">
      <c r="A764" t="s">
        <v>946</v>
      </c>
      <c r="B764" s="6">
        <v>1.166E-4</v>
      </c>
      <c r="D764" t="s">
        <v>8</v>
      </c>
      <c r="E764" t="s">
        <v>170</v>
      </c>
      <c r="F764" t="s">
        <v>36</v>
      </c>
      <c r="G764" t="s">
        <v>955</v>
      </c>
    </row>
    <row r="765" spans="1:8" x14ac:dyDescent="0.2">
      <c r="A765" t="s">
        <v>895</v>
      </c>
      <c r="B765" s="6">
        <v>8.4437000000000005E-5</v>
      </c>
      <c r="D765" t="s">
        <v>8</v>
      </c>
      <c r="E765" t="s">
        <v>170</v>
      </c>
      <c r="F765" t="s">
        <v>36</v>
      </c>
      <c r="G765" t="s">
        <v>955</v>
      </c>
    </row>
    <row r="766" spans="1:8" x14ac:dyDescent="0.2">
      <c r="A766" t="s">
        <v>947</v>
      </c>
      <c r="B766" s="6">
        <v>7.9843000000000001E-5</v>
      </c>
      <c r="D766" t="s">
        <v>8</v>
      </c>
      <c r="E766" t="s">
        <v>170</v>
      </c>
      <c r="F766" t="s">
        <v>36</v>
      </c>
      <c r="G766" t="s">
        <v>955</v>
      </c>
    </row>
    <row r="767" spans="1:8" x14ac:dyDescent="0.2">
      <c r="A767" t="s">
        <v>174</v>
      </c>
      <c r="B767" s="6">
        <v>7.1031999999999993E-5</v>
      </c>
      <c r="D767" t="s">
        <v>8</v>
      </c>
      <c r="E767" t="s">
        <v>179</v>
      </c>
      <c r="F767" t="s">
        <v>36</v>
      </c>
      <c r="G767" t="s">
        <v>955</v>
      </c>
    </row>
    <row r="768" spans="1:8" x14ac:dyDescent="0.2">
      <c r="A768" t="s">
        <v>948</v>
      </c>
      <c r="B768" s="6">
        <v>5.2151999999999998E-5</v>
      </c>
      <c r="D768" t="s">
        <v>8</v>
      </c>
      <c r="E768" t="s">
        <v>170</v>
      </c>
      <c r="F768" t="s">
        <v>36</v>
      </c>
      <c r="G768" t="s">
        <v>955</v>
      </c>
    </row>
    <row r="769" spans="1:7" x14ac:dyDescent="0.2">
      <c r="A769" t="s">
        <v>949</v>
      </c>
      <c r="B769" s="6">
        <v>5.1523000000000001E-5</v>
      </c>
      <c r="D769" t="s">
        <v>8</v>
      </c>
      <c r="E769" t="s">
        <v>170</v>
      </c>
      <c r="F769" t="s">
        <v>36</v>
      </c>
      <c r="G769" t="s">
        <v>955</v>
      </c>
    </row>
    <row r="770" spans="1:7" x14ac:dyDescent="0.2">
      <c r="A770" t="s">
        <v>173</v>
      </c>
      <c r="B770" s="6">
        <v>4.1866000000000002E-5</v>
      </c>
      <c r="D770" t="s">
        <v>8</v>
      </c>
      <c r="E770" t="s">
        <v>171</v>
      </c>
      <c r="F770" t="s">
        <v>36</v>
      </c>
      <c r="G770" t="s">
        <v>955</v>
      </c>
    </row>
    <row r="771" spans="1:7" x14ac:dyDescent="0.2">
      <c r="A771" t="s">
        <v>889</v>
      </c>
      <c r="B771" s="6">
        <v>3.9734999999999998E-5</v>
      </c>
      <c r="D771" t="s">
        <v>8</v>
      </c>
      <c r="E771" t="s">
        <v>170</v>
      </c>
      <c r="F771" t="s">
        <v>36</v>
      </c>
      <c r="G771" t="s">
        <v>955</v>
      </c>
    </row>
    <row r="772" spans="1:7" x14ac:dyDescent="0.2">
      <c r="A772" t="s">
        <v>950</v>
      </c>
      <c r="B772" s="6">
        <v>1.8626000000000001E-5</v>
      </c>
      <c r="D772" t="s">
        <v>8</v>
      </c>
      <c r="E772" t="s">
        <v>170</v>
      </c>
      <c r="F772" t="s">
        <v>36</v>
      </c>
      <c r="G772" t="s">
        <v>955</v>
      </c>
    </row>
    <row r="773" spans="1:7" x14ac:dyDescent="0.2">
      <c r="A773" t="s">
        <v>951</v>
      </c>
      <c r="B773" s="6">
        <v>1.7960000000000001E-5</v>
      </c>
      <c r="D773" t="s">
        <v>8</v>
      </c>
      <c r="E773" t="s">
        <v>170</v>
      </c>
      <c r="F773" t="s">
        <v>36</v>
      </c>
      <c r="G773" t="s">
        <v>955</v>
      </c>
    </row>
    <row r="774" spans="1:7" x14ac:dyDescent="0.2">
      <c r="A774" t="s">
        <v>165</v>
      </c>
      <c r="B774" s="6">
        <f>AVERAGE(0.00000285,0.0000091)</f>
        <v>5.9749999999999995E-6</v>
      </c>
      <c r="D774" t="s">
        <v>8</v>
      </c>
      <c r="E774" t="s">
        <v>170</v>
      </c>
      <c r="F774" t="s">
        <v>36</v>
      </c>
      <c r="G774" t="s">
        <v>955</v>
      </c>
    </row>
    <row r="775" spans="1:7" x14ac:dyDescent="0.2">
      <c r="A775" t="s">
        <v>145</v>
      </c>
      <c r="B775" s="6">
        <v>7.1273000000000004E-6</v>
      </c>
      <c r="D775" t="s">
        <v>8</v>
      </c>
      <c r="E775" t="s">
        <v>170</v>
      </c>
      <c r="F775" t="s">
        <v>36</v>
      </c>
      <c r="G775" t="s">
        <v>955</v>
      </c>
    </row>
    <row r="776" spans="1:7" x14ac:dyDescent="0.2">
      <c r="A776" t="s">
        <v>908</v>
      </c>
      <c r="B776" s="6">
        <v>6.8294999999999996E-6</v>
      </c>
      <c r="D776" t="s">
        <v>8</v>
      </c>
      <c r="E776" t="s">
        <v>170</v>
      </c>
      <c r="F776" t="s">
        <v>36</v>
      </c>
      <c r="G776" t="s">
        <v>955</v>
      </c>
    </row>
    <row r="777" spans="1:7" x14ac:dyDescent="0.2">
      <c r="A777" t="s">
        <v>199</v>
      </c>
      <c r="B777" s="6">
        <v>6.4968999999999996E-6</v>
      </c>
      <c r="D777" t="s">
        <v>8</v>
      </c>
      <c r="E777" t="s">
        <v>179</v>
      </c>
      <c r="F777" t="s">
        <v>36</v>
      </c>
      <c r="G777" t="s">
        <v>955</v>
      </c>
    </row>
    <row r="778" spans="1:7" x14ac:dyDescent="0.2">
      <c r="A778" t="s">
        <v>952</v>
      </c>
      <c r="B778" s="6">
        <v>6.2086000000000002E-6</v>
      </c>
      <c r="D778" t="s">
        <v>8</v>
      </c>
      <c r="E778" t="s">
        <v>170</v>
      </c>
      <c r="F778" t="s">
        <v>36</v>
      </c>
      <c r="G778" t="s">
        <v>955</v>
      </c>
    </row>
    <row r="779" spans="1:7" x14ac:dyDescent="0.2">
      <c r="A779" t="s">
        <v>206</v>
      </c>
      <c r="B779" s="6">
        <v>5.0923999999999997E-6</v>
      </c>
      <c r="D779" t="s">
        <v>8</v>
      </c>
      <c r="E779" t="s">
        <v>179</v>
      </c>
      <c r="F779" t="s">
        <v>36</v>
      </c>
      <c r="G779" t="s">
        <v>955</v>
      </c>
    </row>
    <row r="780" spans="1:7" x14ac:dyDescent="0.2">
      <c r="A780" t="s">
        <v>953</v>
      </c>
      <c r="B780" s="6">
        <v>4.1390999999999999E-6</v>
      </c>
      <c r="D780" t="s">
        <v>8</v>
      </c>
      <c r="E780" t="s">
        <v>170</v>
      </c>
      <c r="F780" t="s">
        <v>36</v>
      </c>
      <c r="G780" t="s">
        <v>955</v>
      </c>
    </row>
    <row r="781" spans="1:7" x14ac:dyDescent="0.2">
      <c r="A781" t="s">
        <v>954</v>
      </c>
      <c r="B781" s="6">
        <v>2.3841000000000002E-6</v>
      </c>
      <c r="D781" t="s">
        <v>8</v>
      </c>
      <c r="E781" t="s">
        <v>170</v>
      </c>
      <c r="F781" t="s">
        <v>36</v>
      </c>
      <c r="G781" t="s">
        <v>955</v>
      </c>
    </row>
    <row r="782" spans="1:7" x14ac:dyDescent="0.2">
      <c r="A782" t="s">
        <v>928</v>
      </c>
      <c r="B782" s="6">
        <v>2.0488000000000002E-6</v>
      </c>
      <c r="D782" t="s">
        <v>8</v>
      </c>
      <c r="E782" t="s">
        <v>170</v>
      </c>
      <c r="F782" t="s">
        <v>36</v>
      </c>
      <c r="G782" t="s">
        <v>955</v>
      </c>
    </row>
    <row r="783" spans="1:7" x14ac:dyDescent="0.2">
      <c r="A783" t="s">
        <v>137</v>
      </c>
      <c r="B783" s="6">
        <v>2.0488000000000002E-6</v>
      </c>
      <c r="D783" t="s">
        <v>8</v>
      </c>
      <c r="E783" t="s">
        <v>170</v>
      </c>
      <c r="F783" t="s">
        <v>36</v>
      </c>
      <c r="G783" t="s">
        <v>955</v>
      </c>
    </row>
    <row r="784" spans="1:7" x14ac:dyDescent="0.2">
      <c r="A784" t="s">
        <v>148</v>
      </c>
      <c r="B784" s="6">
        <v>1.5694E-6</v>
      </c>
      <c r="D784" t="s">
        <v>8</v>
      </c>
      <c r="E784" t="s">
        <v>170</v>
      </c>
      <c r="F784" t="s">
        <v>36</v>
      </c>
      <c r="G784" t="s">
        <v>955</v>
      </c>
    </row>
    <row r="785" spans="1:7" x14ac:dyDescent="0.2">
      <c r="A785" t="s">
        <v>138</v>
      </c>
      <c r="B785" s="6">
        <v>1.2883E-6</v>
      </c>
      <c r="D785" t="s">
        <v>8</v>
      </c>
      <c r="E785" t="s">
        <v>170</v>
      </c>
      <c r="F785" t="s">
        <v>36</v>
      </c>
      <c r="G785" t="s">
        <v>955</v>
      </c>
    </row>
    <row r="786" spans="1:7" x14ac:dyDescent="0.2">
      <c r="A786" t="s">
        <v>206</v>
      </c>
      <c r="B786" s="6">
        <v>1.0187000000000001E-6</v>
      </c>
      <c r="D786" t="s">
        <v>8</v>
      </c>
      <c r="E786" t="s">
        <v>171</v>
      </c>
      <c r="F786" t="s">
        <v>36</v>
      </c>
      <c r="G786" t="s">
        <v>955</v>
      </c>
    </row>
    <row r="787" spans="1:7" x14ac:dyDescent="0.2">
      <c r="A787" t="s">
        <v>199</v>
      </c>
      <c r="B787" s="6">
        <v>9.8295000000000005E-7</v>
      </c>
      <c r="D787" t="s">
        <v>8</v>
      </c>
      <c r="E787" t="s">
        <v>171</v>
      </c>
      <c r="F787" t="s">
        <v>36</v>
      </c>
      <c r="G787" t="s">
        <v>955</v>
      </c>
    </row>
    <row r="788" spans="1:7" x14ac:dyDescent="0.2">
      <c r="A788" t="s">
        <v>200</v>
      </c>
      <c r="B788" s="6">
        <v>9.8286999999999996E-7</v>
      </c>
      <c r="D788" t="s">
        <v>8</v>
      </c>
      <c r="E788" t="s">
        <v>179</v>
      </c>
      <c r="F788" t="s">
        <v>36</v>
      </c>
      <c r="G788" t="s">
        <v>955</v>
      </c>
    </row>
    <row r="789" spans="1:7" x14ac:dyDescent="0.2">
      <c r="A789" t="s">
        <v>200</v>
      </c>
      <c r="B789" s="6">
        <v>7.3035999999999998E-7</v>
      </c>
      <c r="D789" t="s">
        <v>8</v>
      </c>
      <c r="E789" t="s">
        <v>171</v>
      </c>
      <c r="F789" t="s">
        <v>36</v>
      </c>
      <c r="G789" t="s">
        <v>955</v>
      </c>
    </row>
    <row r="790" spans="1:7" x14ac:dyDescent="0.2">
      <c r="A790" t="s">
        <v>202</v>
      </c>
      <c r="B790" s="6">
        <v>6.6466000000000002E-7</v>
      </c>
      <c r="D790" t="s">
        <v>8</v>
      </c>
      <c r="E790" t="s">
        <v>171</v>
      </c>
      <c r="F790" t="s">
        <v>36</v>
      </c>
      <c r="G790" t="s">
        <v>955</v>
      </c>
    </row>
    <row r="791" spans="1:7" x14ac:dyDescent="0.2">
      <c r="A791" t="s">
        <v>923</v>
      </c>
      <c r="B791" s="6">
        <v>5.2152000000000003E-7</v>
      </c>
      <c r="D791" t="s">
        <v>8</v>
      </c>
      <c r="E791" t="s">
        <v>170</v>
      </c>
      <c r="F791" t="s">
        <v>36</v>
      </c>
      <c r="G791" t="s">
        <v>955</v>
      </c>
    </row>
    <row r="792" spans="1:7" x14ac:dyDescent="0.2">
      <c r="A792" t="s">
        <v>142</v>
      </c>
      <c r="B792" s="6">
        <v>3.2912999999999998E-7</v>
      </c>
      <c r="D792" t="s">
        <v>8</v>
      </c>
      <c r="E792" t="s">
        <v>170</v>
      </c>
      <c r="F792" t="s">
        <v>36</v>
      </c>
      <c r="G792" t="s">
        <v>955</v>
      </c>
    </row>
    <row r="793" spans="1:7" x14ac:dyDescent="0.2">
      <c r="A793" t="s">
        <v>168</v>
      </c>
      <c r="B793" s="6">
        <v>1.2601E-7</v>
      </c>
      <c r="D793" t="s">
        <v>8</v>
      </c>
      <c r="E793" t="s">
        <v>170</v>
      </c>
      <c r="F793" t="s">
        <v>36</v>
      </c>
      <c r="G793" t="s">
        <v>955</v>
      </c>
    </row>
    <row r="794" spans="1:7" x14ac:dyDescent="0.2">
      <c r="A794" t="s">
        <v>168</v>
      </c>
      <c r="B794" s="6">
        <v>8.8442000000000005E-8</v>
      </c>
      <c r="D794" t="s">
        <v>8</v>
      </c>
      <c r="E794" t="s">
        <v>171</v>
      </c>
      <c r="F794" t="s">
        <v>36</v>
      </c>
      <c r="G794" t="s">
        <v>955</v>
      </c>
    </row>
    <row r="795" spans="1:7" x14ac:dyDescent="0.2">
      <c r="A795" t="s">
        <v>168</v>
      </c>
      <c r="B795" s="6">
        <v>2.0447000000000001E-8</v>
      </c>
      <c r="D795" t="s">
        <v>8</v>
      </c>
      <c r="E795" t="s">
        <v>179</v>
      </c>
      <c r="F795" t="s">
        <v>36</v>
      </c>
      <c r="G795" t="s">
        <v>955</v>
      </c>
    </row>
    <row r="796" spans="1:7" x14ac:dyDescent="0.2">
      <c r="A796" t="s">
        <v>198</v>
      </c>
      <c r="B796" s="6">
        <v>1.5329999999999999E-8</v>
      </c>
      <c r="D796" t="s">
        <v>8</v>
      </c>
      <c r="E796" t="s">
        <v>179</v>
      </c>
      <c r="F796" t="s">
        <v>36</v>
      </c>
      <c r="G796" t="s">
        <v>955</v>
      </c>
    </row>
    <row r="797" spans="1:7" x14ac:dyDescent="0.2">
      <c r="A797" t="s">
        <v>198</v>
      </c>
      <c r="B797" s="6">
        <v>9.7934999999999993E-9</v>
      </c>
      <c r="D797" t="s">
        <v>8</v>
      </c>
      <c r="E797" t="s">
        <v>171</v>
      </c>
      <c r="F797" t="s">
        <v>36</v>
      </c>
      <c r="G797" t="s">
        <v>955</v>
      </c>
    </row>
    <row r="798" spans="1:7" x14ac:dyDescent="0.2">
      <c r="A798" t="s">
        <v>201</v>
      </c>
      <c r="B798" s="6">
        <v>1.9653000000000001E-11</v>
      </c>
      <c r="D798" t="s">
        <v>8</v>
      </c>
      <c r="E798" t="s">
        <v>179</v>
      </c>
      <c r="F798" t="s">
        <v>36</v>
      </c>
      <c r="G798" t="s">
        <v>955</v>
      </c>
    </row>
    <row r="799" spans="1:7" x14ac:dyDescent="0.2">
      <c r="A799" t="s">
        <v>201</v>
      </c>
      <c r="B799" s="6">
        <v>1.6897000000000001E-11</v>
      </c>
      <c r="D799" t="s">
        <v>8</v>
      </c>
      <c r="E799" t="s">
        <v>171</v>
      </c>
      <c r="F799" t="s">
        <v>36</v>
      </c>
      <c r="G799" t="s">
        <v>955</v>
      </c>
    </row>
    <row r="800" spans="1:7" x14ac:dyDescent="0.2">
      <c r="A800" t="s">
        <v>201</v>
      </c>
      <c r="B800" s="6">
        <v>-4.1133000000000002E-10</v>
      </c>
      <c r="D800" t="s">
        <v>8</v>
      </c>
      <c r="E800" t="s">
        <v>170</v>
      </c>
      <c r="F800" t="s">
        <v>36</v>
      </c>
      <c r="G800" t="s">
        <v>955</v>
      </c>
    </row>
    <row r="801" spans="1:8" x14ac:dyDescent="0.2">
      <c r="A801" t="s">
        <v>132</v>
      </c>
      <c r="B801" s="6">
        <v>-3.7361000000000002E-7</v>
      </c>
      <c r="D801" t="s">
        <v>8</v>
      </c>
      <c r="E801" t="s">
        <v>170</v>
      </c>
      <c r="F801" t="s">
        <v>36</v>
      </c>
      <c r="G801" t="s">
        <v>955</v>
      </c>
    </row>
    <row r="803" spans="1:8" ht="16" x14ac:dyDescent="0.2">
      <c r="A803" s="1" t="s">
        <v>1</v>
      </c>
      <c r="B803" s="71" t="s">
        <v>752</v>
      </c>
    </row>
    <row r="804" spans="1:8" x14ac:dyDescent="0.2">
      <c r="A804" t="s">
        <v>2</v>
      </c>
      <c r="B804" s="6" t="s">
        <v>567</v>
      </c>
    </row>
    <row r="805" spans="1:8" x14ac:dyDescent="0.2">
      <c r="A805" t="s">
        <v>3</v>
      </c>
      <c r="B805" s="6">
        <v>1</v>
      </c>
    </row>
    <row r="806" spans="1:8" x14ac:dyDescent="0.2">
      <c r="A806" t="s">
        <v>4</v>
      </c>
      <c r="B806" s="6" t="s">
        <v>752</v>
      </c>
    </row>
    <row r="807" spans="1:8" x14ac:dyDescent="0.2">
      <c r="A807" t="s">
        <v>9</v>
      </c>
      <c r="B807" s="6" t="s">
        <v>627</v>
      </c>
    </row>
    <row r="808" spans="1:8" x14ac:dyDescent="0.2">
      <c r="A808" t="s">
        <v>5</v>
      </c>
      <c r="B808" s="6" t="s">
        <v>6</v>
      </c>
    </row>
    <row r="809" spans="1:8" x14ac:dyDescent="0.2">
      <c r="A809" t="s">
        <v>7</v>
      </c>
      <c r="B809" s="6" t="s">
        <v>8</v>
      </c>
    </row>
    <row r="810" spans="1:8" x14ac:dyDescent="0.2">
      <c r="A810" t="s">
        <v>864</v>
      </c>
      <c r="B810" s="6">
        <v>37</v>
      </c>
    </row>
    <row r="811" spans="1:8" ht="16" x14ac:dyDescent="0.2">
      <c r="A811" s="1" t="s">
        <v>12</v>
      </c>
    </row>
    <row r="812" spans="1:8" x14ac:dyDescent="0.2">
      <c r="A812" t="s">
        <v>13</v>
      </c>
      <c r="B812" s="6" t="s">
        <v>14</v>
      </c>
      <c r="C812" t="s">
        <v>2</v>
      </c>
      <c r="D812" t="s">
        <v>7</v>
      </c>
      <c r="E812" t="s">
        <v>15</v>
      </c>
      <c r="F812" t="s">
        <v>5</v>
      </c>
      <c r="G812" t="s">
        <v>11</v>
      </c>
      <c r="H812" t="s">
        <v>4</v>
      </c>
    </row>
    <row r="813" spans="1:8" x14ac:dyDescent="0.2">
      <c r="A813" t="s">
        <v>752</v>
      </c>
      <c r="B813" s="6">
        <v>1</v>
      </c>
      <c r="C813" t="s">
        <v>567</v>
      </c>
      <c r="D813" t="s">
        <v>8</v>
      </c>
      <c r="E813" t="s">
        <v>714</v>
      </c>
      <c r="F813" t="s">
        <v>17</v>
      </c>
      <c r="G813" t="s">
        <v>18</v>
      </c>
      <c r="H813" t="s">
        <v>752</v>
      </c>
    </row>
    <row r="814" spans="1:8" x14ac:dyDescent="0.2">
      <c r="A814" t="s">
        <v>875</v>
      </c>
      <c r="B814" s="6">
        <f>1/0.42/0.91</f>
        <v>2.6164311878597593</v>
      </c>
      <c r="C814" t="s">
        <v>567</v>
      </c>
      <c r="D814" t="s">
        <v>8</v>
      </c>
      <c r="E814" t="s">
        <v>629</v>
      </c>
      <c r="F814" t="s">
        <v>20</v>
      </c>
      <c r="G814" t="s">
        <v>754</v>
      </c>
      <c r="H814" t="s">
        <v>753</v>
      </c>
    </row>
    <row r="815" spans="1:8" x14ac:dyDescent="0.2">
      <c r="A815" t="s">
        <v>631</v>
      </c>
      <c r="B815" s="6">
        <v>2.826E-2</v>
      </c>
      <c r="C815" t="s">
        <v>567</v>
      </c>
      <c r="D815" t="s">
        <v>19</v>
      </c>
      <c r="E815" t="s">
        <v>629</v>
      </c>
      <c r="F815" t="s">
        <v>20</v>
      </c>
      <c r="G815" t="s">
        <v>755</v>
      </c>
      <c r="H815" t="s">
        <v>634</v>
      </c>
    </row>
    <row r="816" spans="1:8" x14ac:dyDescent="0.2">
      <c r="A816" t="s">
        <v>744</v>
      </c>
      <c r="B816" s="6">
        <v>3.3000000000000003E-5</v>
      </c>
      <c r="C816" t="s">
        <v>26</v>
      </c>
      <c r="D816" t="s">
        <v>8</v>
      </c>
      <c r="E816" t="s">
        <v>629</v>
      </c>
      <c r="F816" t="s">
        <v>20</v>
      </c>
      <c r="G816" t="s">
        <v>756</v>
      </c>
      <c r="H816" t="s">
        <v>745</v>
      </c>
    </row>
    <row r="817" spans="1:14" x14ac:dyDescent="0.2">
      <c r="A817" t="s">
        <v>100</v>
      </c>
      <c r="B817" s="6">
        <v>1.9900000000000001E-2</v>
      </c>
      <c r="C817" t="s">
        <v>619</v>
      </c>
      <c r="D817" t="s">
        <v>41</v>
      </c>
      <c r="E817" t="s">
        <v>632</v>
      </c>
      <c r="F817" t="s">
        <v>20</v>
      </c>
      <c r="G817" t="s">
        <v>18</v>
      </c>
      <c r="H817" t="s">
        <v>103</v>
      </c>
    </row>
    <row r="818" spans="1:14" x14ac:dyDescent="0.2">
      <c r="A818" t="s">
        <v>97</v>
      </c>
      <c r="B818" s="6">
        <v>2.4170000000000001E-2</v>
      </c>
      <c r="C818" t="s">
        <v>567</v>
      </c>
      <c r="D818" t="s">
        <v>41</v>
      </c>
      <c r="E818" t="s">
        <v>632</v>
      </c>
      <c r="F818" t="s">
        <v>20</v>
      </c>
      <c r="G818" t="s">
        <v>18</v>
      </c>
      <c r="H818" t="s">
        <v>98</v>
      </c>
    </row>
    <row r="819" spans="1:14" x14ac:dyDescent="0.2">
      <c r="A819" t="s">
        <v>352</v>
      </c>
      <c r="B819" s="6">
        <v>1.04257E-2</v>
      </c>
      <c r="C819" t="s">
        <v>567</v>
      </c>
      <c r="D819" t="s">
        <v>41</v>
      </c>
      <c r="E819" t="s">
        <v>632</v>
      </c>
      <c r="F819" t="s">
        <v>20</v>
      </c>
      <c r="G819" t="s">
        <v>757</v>
      </c>
      <c r="H819" t="s">
        <v>353</v>
      </c>
    </row>
    <row r="820" spans="1:14" x14ac:dyDescent="0.2">
      <c r="A820" t="s">
        <v>976</v>
      </c>
      <c r="B820" s="6">
        <v>0.32177499999999998</v>
      </c>
      <c r="C820" t="s">
        <v>26</v>
      </c>
      <c r="D820" t="s">
        <v>41</v>
      </c>
      <c r="E820" t="s">
        <v>632</v>
      </c>
      <c r="F820" t="s">
        <v>20</v>
      </c>
      <c r="G820" t="s">
        <v>18</v>
      </c>
      <c r="H820" t="s">
        <v>977</v>
      </c>
    </row>
    <row r="821" spans="1:14" x14ac:dyDescent="0.2">
      <c r="A821" t="s">
        <v>646</v>
      </c>
      <c r="B821" s="6">
        <v>1.7653E-3</v>
      </c>
      <c r="C821" t="s">
        <v>619</v>
      </c>
      <c r="D821" t="s">
        <v>29</v>
      </c>
      <c r="E821" t="s">
        <v>629</v>
      </c>
      <c r="F821" t="s">
        <v>20</v>
      </c>
      <c r="G821" t="s">
        <v>758</v>
      </c>
      <c r="H821" t="s">
        <v>648</v>
      </c>
    </row>
    <row r="823" spans="1:14" ht="16" x14ac:dyDescent="0.2">
      <c r="A823" s="1" t="s">
        <v>1</v>
      </c>
      <c r="B823" s="71" t="s">
        <v>715</v>
      </c>
    </row>
    <row r="824" spans="1:14" x14ac:dyDescent="0.2">
      <c r="A824" t="s">
        <v>2</v>
      </c>
      <c r="B824" s="6" t="s">
        <v>567</v>
      </c>
    </row>
    <row r="825" spans="1:14" x14ac:dyDescent="0.2">
      <c r="A825" t="s">
        <v>3</v>
      </c>
      <c r="B825" s="6">
        <v>1</v>
      </c>
    </row>
    <row r="826" spans="1:14" x14ac:dyDescent="0.2">
      <c r="A826" t="s">
        <v>4</v>
      </c>
      <c r="B826" s="6" t="s">
        <v>715</v>
      </c>
    </row>
    <row r="827" spans="1:14" x14ac:dyDescent="0.2">
      <c r="A827" t="s">
        <v>9</v>
      </c>
      <c r="B827" s="6" t="s">
        <v>627</v>
      </c>
    </row>
    <row r="828" spans="1:14" x14ac:dyDescent="0.2">
      <c r="A828" t="s">
        <v>5</v>
      </c>
      <c r="B828" s="6" t="s">
        <v>6</v>
      </c>
    </row>
    <row r="829" spans="1:14" x14ac:dyDescent="0.2">
      <c r="A829" t="s">
        <v>7</v>
      </c>
      <c r="B829" s="6" t="s">
        <v>8</v>
      </c>
    </row>
    <row r="830" spans="1:14" x14ac:dyDescent="0.2">
      <c r="A830" t="s">
        <v>864</v>
      </c>
      <c r="B830" s="6">
        <v>37</v>
      </c>
    </row>
    <row r="831" spans="1:14" ht="16" x14ac:dyDescent="0.2">
      <c r="A831" s="1" t="s">
        <v>12</v>
      </c>
    </row>
    <row r="832" spans="1:14" x14ac:dyDescent="0.2">
      <c r="A832" t="s">
        <v>13</v>
      </c>
      <c r="B832" s="6" t="s">
        <v>14</v>
      </c>
      <c r="C832" t="s">
        <v>2</v>
      </c>
      <c r="D832" t="s">
        <v>7</v>
      </c>
      <c r="E832" t="s">
        <v>15</v>
      </c>
      <c r="F832" t="s">
        <v>5</v>
      </c>
      <c r="G832" t="s">
        <v>338</v>
      </c>
      <c r="H832" t="s">
        <v>339</v>
      </c>
      <c r="I832" t="s">
        <v>16</v>
      </c>
      <c r="J832" t="s">
        <v>11</v>
      </c>
      <c r="K832" t="s">
        <v>628</v>
      </c>
      <c r="L832" t="s">
        <v>4</v>
      </c>
      <c r="M832" t="s">
        <v>653</v>
      </c>
      <c r="N832" t="s">
        <v>654</v>
      </c>
    </row>
    <row r="833" spans="1:14" x14ac:dyDescent="0.2">
      <c r="A833" t="s">
        <v>715</v>
      </c>
      <c r="B833" s="6">
        <v>1</v>
      </c>
      <c r="C833" t="s">
        <v>567</v>
      </c>
      <c r="D833" t="s">
        <v>8</v>
      </c>
      <c r="E833" t="s">
        <v>714</v>
      </c>
      <c r="F833" t="s">
        <v>17</v>
      </c>
      <c r="I833">
        <v>100</v>
      </c>
      <c r="J833" t="s">
        <v>18</v>
      </c>
      <c r="K833" t="s">
        <v>715</v>
      </c>
    </row>
    <row r="834" spans="1:14" x14ac:dyDescent="0.2">
      <c r="A834" t="s">
        <v>752</v>
      </c>
      <c r="B834" s="6">
        <v>1.0246</v>
      </c>
      <c r="C834" t="s">
        <v>567</v>
      </c>
      <c r="D834" t="s">
        <v>8</v>
      </c>
      <c r="E834" t="s">
        <v>629</v>
      </c>
      <c r="F834" t="s">
        <v>20</v>
      </c>
      <c r="G834">
        <v>0</v>
      </c>
      <c r="H834">
        <v>1.0246</v>
      </c>
      <c r="J834" t="s">
        <v>776</v>
      </c>
      <c r="K834" t="s">
        <v>752</v>
      </c>
    </row>
    <row r="835" spans="1:14" x14ac:dyDescent="0.2">
      <c r="A835" t="s">
        <v>631</v>
      </c>
      <c r="B835" s="6">
        <v>4.0000000000000001E-3</v>
      </c>
      <c r="C835" t="s">
        <v>567</v>
      </c>
      <c r="D835" t="s">
        <v>19</v>
      </c>
      <c r="E835" t="s">
        <v>629</v>
      </c>
      <c r="F835" t="s">
        <v>20</v>
      </c>
      <c r="G835">
        <v>0</v>
      </c>
      <c r="H835">
        <v>4.0000000000000001E-3</v>
      </c>
      <c r="J835" t="s">
        <v>776</v>
      </c>
      <c r="K835" t="s">
        <v>634</v>
      </c>
      <c r="L835" t="s">
        <v>634</v>
      </c>
      <c r="M835" t="s">
        <v>658</v>
      </c>
      <c r="N835" t="s">
        <v>659</v>
      </c>
    </row>
    <row r="836" spans="1:14" x14ac:dyDescent="0.2">
      <c r="A836" t="s">
        <v>703</v>
      </c>
      <c r="B836" s="6">
        <v>3.1999999999999999E-5</v>
      </c>
      <c r="C836" t="s">
        <v>26</v>
      </c>
      <c r="D836" t="s">
        <v>8</v>
      </c>
      <c r="E836" t="s">
        <v>629</v>
      </c>
      <c r="F836" t="s">
        <v>20</v>
      </c>
      <c r="G836">
        <v>0</v>
      </c>
      <c r="H836">
        <v>3.1999999999999999E-5</v>
      </c>
      <c r="J836" t="s">
        <v>776</v>
      </c>
      <c r="K836" t="s">
        <v>704</v>
      </c>
      <c r="L836" t="s">
        <v>704</v>
      </c>
      <c r="M836" t="s">
        <v>705</v>
      </c>
      <c r="N836" t="s">
        <v>659</v>
      </c>
    </row>
    <row r="837" spans="1:14" x14ac:dyDescent="0.2">
      <c r="A837" t="s">
        <v>386</v>
      </c>
      <c r="B837" s="6">
        <v>8.7999999999999998E-5</v>
      </c>
      <c r="C837" t="s">
        <v>26</v>
      </c>
      <c r="D837" t="s">
        <v>8</v>
      </c>
      <c r="E837" t="s">
        <v>629</v>
      </c>
      <c r="F837" t="s">
        <v>20</v>
      </c>
      <c r="G837">
        <v>0</v>
      </c>
      <c r="H837">
        <v>8.7999999999999998E-5</v>
      </c>
      <c r="J837" t="s">
        <v>776</v>
      </c>
      <c r="K837" t="s">
        <v>387</v>
      </c>
      <c r="L837" t="s">
        <v>387</v>
      </c>
      <c r="M837" t="s">
        <v>672</v>
      </c>
      <c r="N837" t="s">
        <v>659</v>
      </c>
    </row>
    <row r="838" spans="1:14" x14ac:dyDescent="0.2">
      <c r="A838" t="s">
        <v>646</v>
      </c>
      <c r="B838" s="6">
        <v>2.5020000000000001E-4</v>
      </c>
      <c r="C838" t="s">
        <v>619</v>
      </c>
      <c r="D838" t="s">
        <v>29</v>
      </c>
      <c r="E838" t="s">
        <v>629</v>
      </c>
      <c r="F838" t="s">
        <v>20</v>
      </c>
      <c r="G838">
        <v>0</v>
      </c>
      <c r="H838">
        <v>8.9999999999999998E-4</v>
      </c>
      <c r="J838" t="s">
        <v>776</v>
      </c>
      <c r="K838" t="s">
        <v>648</v>
      </c>
      <c r="L838" t="s">
        <v>648</v>
      </c>
      <c r="M838" t="s">
        <v>665</v>
      </c>
      <c r="N838" t="s">
        <v>659</v>
      </c>
    </row>
    <row r="840" spans="1:14" ht="16" x14ac:dyDescent="0.2">
      <c r="A840" s="1" t="s">
        <v>1</v>
      </c>
      <c r="B840" s="71" t="s">
        <v>878</v>
      </c>
    </row>
    <row r="841" spans="1:14" x14ac:dyDescent="0.2">
      <c r="A841" t="s">
        <v>2</v>
      </c>
      <c r="B841" s="6" t="s">
        <v>567</v>
      </c>
    </row>
    <row r="842" spans="1:14" x14ac:dyDescent="0.2">
      <c r="A842" t="s">
        <v>3</v>
      </c>
      <c r="B842" s="6">
        <v>1</v>
      </c>
    </row>
    <row r="843" spans="1:14" ht="16" x14ac:dyDescent="0.2">
      <c r="A843" t="s">
        <v>4</v>
      </c>
      <c r="B843" s="72" t="s">
        <v>1013</v>
      </c>
    </row>
    <row r="844" spans="1:14" x14ac:dyDescent="0.2">
      <c r="A844" t="s">
        <v>5</v>
      </c>
      <c r="B844" s="6" t="s">
        <v>6</v>
      </c>
    </row>
    <row r="845" spans="1:14" x14ac:dyDescent="0.2">
      <c r="A845" t="s">
        <v>7</v>
      </c>
      <c r="B845" s="6" t="s">
        <v>8</v>
      </c>
    </row>
    <row r="846" spans="1:14" x14ac:dyDescent="0.2">
      <c r="A846" t="s">
        <v>9</v>
      </c>
      <c r="B846" s="6" t="s">
        <v>627</v>
      </c>
    </row>
    <row r="847" spans="1:14" x14ac:dyDescent="0.2">
      <c r="A847" t="s">
        <v>492</v>
      </c>
      <c r="B847" s="70">
        <f>Summary!O55</f>
        <v>0.57471600816529522</v>
      </c>
    </row>
    <row r="848" spans="1:14" ht="16" x14ac:dyDescent="0.2">
      <c r="A848" s="1" t="s">
        <v>12</v>
      </c>
    </row>
    <row r="849" spans="1:8" x14ac:dyDescent="0.2">
      <c r="A849" t="s">
        <v>13</v>
      </c>
      <c r="B849" s="6" t="s">
        <v>14</v>
      </c>
      <c r="C849" t="s">
        <v>2</v>
      </c>
      <c r="D849" t="s">
        <v>7</v>
      </c>
      <c r="E849" t="s">
        <v>15</v>
      </c>
      <c r="F849" t="s">
        <v>5</v>
      </c>
      <c r="G849" t="s">
        <v>11</v>
      </c>
      <c r="H849" t="s">
        <v>4</v>
      </c>
    </row>
    <row r="850" spans="1:8" ht="16" x14ac:dyDescent="0.2">
      <c r="A850" s="2" t="s">
        <v>878</v>
      </c>
      <c r="B850" s="6">
        <v>1</v>
      </c>
      <c r="C850" t="s">
        <v>567</v>
      </c>
      <c r="D850" t="s">
        <v>8</v>
      </c>
      <c r="E850" t="s">
        <v>714</v>
      </c>
      <c r="F850" t="s">
        <v>17</v>
      </c>
      <c r="G850" t="s">
        <v>18</v>
      </c>
      <c r="H850" s="72" t="s">
        <v>1013</v>
      </c>
    </row>
    <row r="851" spans="1:8" x14ac:dyDescent="0.2">
      <c r="A851" t="s">
        <v>715</v>
      </c>
      <c r="B851" s="6">
        <f>37.223436/B830</f>
        <v>1.0060388108108107</v>
      </c>
      <c r="C851" t="s">
        <v>567</v>
      </c>
      <c r="D851" t="s">
        <v>8</v>
      </c>
      <c r="E851" t="s">
        <v>629</v>
      </c>
      <c r="F851" t="s">
        <v>20</v>
      </c>
      <c r="G851" t="s">
        <v>716</v>
      </c>
    </row>
    <row r="852" spans="1:8" x14ac:dyDescent="0.2">
      <c r="A852" t="s">
        <v>631</v>
      </c>
      <c r="B852" s="6">
        <v>1.2276000000000002</v>
      </c>
      <c r="C852" t="s">
        <v>567</v>
      </c>
      <c r="D852" t="s">
        <v>19</v>
      </c>
      <c r="E852" t="s">
        <v>632</v>
      </c>
      <c r="F852" t="s">
        <v>20</v>
      </c>
      <c r="G852" t="s">
        <v>717</v>
      </c>
      <c r="H852" t="s">
        <v>634</v>
      </c>
    </row>
    <row r="853" spans="1:8" x14ac:dyDescent="0.2">
      <c r="A853" t="s">
        <v>718</v>
      </c>
      <c r="B853" s="6">
        <v>3.6084000000000003E-3</v>
      </c>
      <c r="C853" t="s">
        <v>567</v>
      </c>
      <c r="D853" t="s">
        <v>8</v>
      </c>
      <c r="E853" t="s">
        <v>629</v>
      </c>
      <c r="F853" t="s">
        <v>20</v>
      </c>
      <c r="G853" t="s">
        <v>716</v>
      </c>
      <c r="H853" t="s">
        <v>719</v>
      </c>
    </row>
    <row r="854" spans="1:8" x14ac:dyDescent="0.2">
      <c r="A854" t="s">
        <v>699</v>
      </c>
      <c r="B854" s="6">
        <v>9.5284080000000007E-2</v>
      </c>
      <c r="C854" t="s">
        <v>26</v>
      </c>
      <c r="D854" t="s">
        <v>8</v>
      </c>
      <c r="E854" t="s">
        <v>629</v>
      </c>
      <c r="F854" t="s">
        <v>20</v>
      </c>
      <c r="G854" t="s">
        <v>716</v>
      </c>
      <c r="H854" t="s">
        <v>701</v>
      </c>
    </row>
    <row r="855" spans="1:8" x14ac:dyDescent="0.2">
      <c r="A855" t="s">
        <v>721</v>
      </c>
      <c r="B855" s="6">
        <v>4.2594000000000009E-3</v>
      </c>
      <c r="C855" t="s">
        <v>26</v>
      </c>
      <c r="D855" t="s">
        <v>8</v>
      </c>
      <c r="E855" t="s">
        <v>629</v>
      </c>
      <c r="F855" t="s">
        <v>20</v>
      </c>
      <c r="G855" t="s">
        <v>722</v>
      </c>
      <c r="H855" t="s">
        <v>723</v>
      </c>
    </row>
    <row r="856" spans="1:8" x14ac:dyDescent="0.2">
      <c r="A856" t="s">
        <v>100</v>
      </c>
      <c r="B856" s="6">
        <v>0.37944000000000006</v>
      </c>
      <c r="C856" t="s">
        <v>619</v>
      </c>
      <c r="D856" t="s">
        <v>41</v>
      </c>
      <c r="E856" t="s">
        <v>632</v>
      </c>
      <c r="F856" t="s">
        <v>20</v>
      </c>
      <c r="G856" t="s">
        <v>18</v>
      </c>
      <c r="H856" t="s">
        <v>103</v>
      </c>
    </row>
    <row r="857" spans="1:8" x14ac:dyDescent="0.2">
      <c r="A857" t="s">
        <v>97</v>
      </c>
      <c r="B857" s="6">
        <v>0.15252000000000002</v>
      </c>
      <c r="C857" t="s">
        <v>567</v>
      </c>
      <c r="D857" t="s">
        <v>41</v>
      </c>
      <c r="E857" t="s">
        <v>632</v>
      </c>
      <c r="F857" t="s">
        <v>20</v>
      </c>
      <c r="G857" t="s">
        <v>18</v>
      </c>
      <c r="H857" t="s">
        <v>98</v>
      </c>
    </row>
    <row r="858" spans="1:8" x14ac:dyDescent="0.2">
      <c r="A858" t="s">
        <v>352</v>
      </c>
      <c r="B858" s="6">
        <v>0.32736000000000004</v>
      </c>
      <c r="C858" t="s">
        <v>567</v>
      </c>
      <c r="D858" t="s">
        <v>41</v>
      </c>
      <c r="E858" t="s">
        <v>632</v>
      </c>
      <c r="F858" t="s">
        <v>20</v>
      </c>
      <c r="G858" t="s">
        <v>725</v>
      </c>
      <c r="H858" t="s">
        <v>353</v>
      </c>
    </row>
    <row r="859" spans="1:8" x14ac:dyDescent="0.2">
      <c r="A859" t="s">
        <v>352</v>
      </c>
      <c r="B859" s="6">
        <v>0.15996000000000002</v>
      </c>
      <c r="C859" t="s">
        <v>567</v>
      </c>
      <c r="D859" t="s">
        <v>41</v>
      </c>
      <c r="E859" t="s">
        <v>632</v>
      </c>
      <c r="F859" t="s">
        <v>20</v>
      </c>
      <c r="G859" t="s">
        <v>726</v>
      </c>
      <c r="H859" t="s">
        <v>353</v>
      </c>
    </row>
    <row r="860" spans="1:8" x14ac:dyDescent="0.2">
      <c r="A860" t="s">
        <v>976</v>
      </c>
      <c r="B860" s="6">
        <v>1.11972</v>
      </c>
      <c r="C860" t="s">
        <v>26</v>
      </c>
      <c r="D860" t="s">
        <v>41</v>
      </c>
      <c r="E860" t="s">
        <v>632</v>
      </c>
      <c r="F860" t="s">
        <v>20</v>
      </c>
      <c r="G860" t="s">
        <v>18</v>
      </c>
      <c r="H860" t="s">
        <v>977</v>
      </c>
    </row>
    <row r="861" spans="1:8" x14ac:dyDescent="0.2">
      <c r="A861" t="s">
        <v>727</v>
      </c>
      <c r="B861" s="6">
        <v>7.4400000000000013E-3</v>
      </c>
      <c r="C861" t="s">
        <v>567</v>
      </c>
      <c r="D861" t="s">
        <v>41</v>
      </c>
      <c r="E861" t="s">
        <v>632</v>
      </c>
      <c r="F861" t="s">
        <v>20</v>
      </c>
      <c r="G861" t="s">
        <v>18</v>
      </c>
      <c r="H861" t="s">
        <v>728</v>
      </c>
    </row>
    <row r="862" spans="1:8" x14ac:dyDescent="0.2">
      <c r="A862" t="s">
        <v>646</v>
      </c>
      <c r="B862" s="6">
        <v>4.1883480000000001E-2</v>
      </c>
      <c r="C862" t="s">
        <v>619</v>
      </c>
      <c r="D862" t="s">
        <v>29</v>
      </c>
      <c r="E862" t="s">
        <v>632</v>
      </c>
      <c r="F862" t="s">
        <v>20</v>
      </c>
      <c r="G862" t="s">
        <v>729</v>
      </c>
      <c r="H862" t="s">
        <v>648</v>
      </c>
    </row>
    <row r="863" spans="1:8" x14ac:dyDescent="0.2">
      <c r="A863" t="s">
        <v>646</v>
      </c>
      <c r="B863" s="6">
        <v>8.6869440000000003E-3</v>
      </c>
      <c r="C863" t="s">
        <v>619</v>
      </c>
      <c r="D863" t="s">
        <v>29</v>
      </c>
      <c r="E863" t="s">
        <v>632</v>
      </c>
      <c r="F863" t="s">
        <v>20</v>
      </c>
      <c r="G863" t="s">
        <v>730</v>
      </c>
      <c r="H863" t="s">
        <v>648</v>
      </c>
    </row>
    <row r="864" spans="1:8" x14ac:dyDescent="0.2">
      <c r="A864" t="s">
        <v>646</v>
      </c>
      <c r="B864" s="6">
        <v>3.5161440000000002E-2</v>
      </c>
      <c r="C864" t="s">
        <v>619</v>
      </c>
      <c r="D864" t="s">
        <v>29</v>
      </c>
      <c r="E864" t="s">
        <v>632</v>
      </c>
      <c r="F864" t="s">
        <v>20</v>
      </c>
      <c r="G864" t="s">
        <v>731</v>
      </c>
      <c r="H864" t="s">
        <v>648</v>
      </c>
    </row>
    <row r="865" spans="1:11" x14ac:dyDescent="0.2">
      <c r="A865" t="s">
        <v>265</v>
      </c>
      <c r="B865" s="6">
        <f>(B851*B834*B814*(1+B732)*B747)-Parameters!B14</f>
        <v>2.2765759229602005</v>
      </c>
      <c r="D865" t="s">
        <v>8</v>
      </c>
      <c r="E865" t="s">
        <v>37</v>
      </c>
      <c r="F865" t="s">
        <v>36</v>
      </c>
    </row>
    <row r="867" spans="1:11" ht="16" x14ac:dyDescent="0.2">
      <c r="A867" s="1" t="s">
        <v>1</v>
      </c>
      <c r="B867" s="71" t="s">
        <v>713</v>
      </c>
    </row>
    <row r="868" spans="1:11" x14ac:dyDescent="0.2">
      <c r="A868" t="s">
        <v>2</v>
      </c>
      <c r="B868" s="6" t="s">
        <v>567</v>
      </c>
    </row>
    <row r="869" spans="1:11" x14ac:dyDescent="0.2">
      <c r="A869" t="s">
        <v>3</v>
      </c>
      <c r="B869" s="6">
        <v>1</v>
      </c>
    </row>
    <row r="870" spans="1:11" ht="16" x14ac:dyDescent="0.2">
      <c r="A870" t="s">
        <v>4</v>
      </c>
      <c r="B870" s="72" t="s">
        <v>696</v>
      </c>
    </row>
    <row r="871" spans="1:11" x14ac:dyDescent="0.2">
      <c r="A871" t="s">
        <v>9</v>
      </c>
      <c r="B871" s="6" t="s">
        <v>627</v>
      </c>
    </row>
    <row r="872" spans="1:11" x14ac:dyDescent="0.2">
      <c r="A872" t="s">
        <v>5</v>
      </c>
      <c r="B872" s="6" t="s">
        <v>6</v>
      </c>
    </row>
    <row r="873" spans="1:11" x14ac:dyDescent="0.2">
      <c r="A873" t="s">
        <v>7</v>
      </c>
      <c r="B873" s="6" t="s">
        <v>8</v>
      </c>
    </row>
    <row r="874" spans="1:11" ht="16" x14ac:dyDescent="0.2">
      <c r="A874" s="1" t="s">
        <v>12</v>
      </c>
    </row>
    <row r="875" spans="1:11" x14ac:dyDescent="0.2">
      <c r="A875" t="s">
        <v>13</v>
      </c>
      <c r="B875" s="6" t="s">
        <v>14</v>
      </c>
      <c r="C875" t="s">
        <v>2</v>
      </c>
      <c r="D875" t="s">
        <v>7</v>
      </c>
      <c r="E875" t="s">
        <v>15</v>
      </c>
      <c r="F875" t="s">
        <v>5</v>
      </c>
      <c r="G875" t="s">
        <v>338</v>
      </c>
      <c r="H875" t="s">
        <v>339</v>
      </c>
      <c r="I875" t="s">
        <v>16</v>
      </c>
      <c r="J875" t="s">
        <v>11</v>
      </c>
      <c r="K875" t="s">
        <v>4</v>
      </c>
    </row>
    <row r="876" spans="1:11" x14ac:dyDescent="0.2">
      <c r="A876" t="s">
        <v>713</v>
      </c>
      <c r="B876" s="6">
        <v>1</v>
      </c>
      <c r="C876" t="s">
        <v>567</v>
      </c>
      <c r="D876" t="s">
        <v>8</v>
      </c>
      <c r="F876" t="s">
        <v>17</v>
      </c>
      <c r="I876">
        <v>100</v>
      </c>
      <c r="J876" t="s">
        <v>18</v>
      </c>
      <c r="K876" t="s">
        <v>696</v>
      </c>
    </row>
    <row r="877" spans="1:11" ht="16" x14ac:dyDescent="0.2">
      <c r="A877" s="2" t="s">
        <v>878</v>
      </c>
      <c r="B877" s="6">
        <v>1.00057</v>
      </c>
      <c r="C877" t="s">
        <v>567</v>
      </c>
      <c r="D877" t="s">
        <v>8</v>
      </c>
      <c r="F877" t="s">
        <v>20</v>
      </c>
      <c r="K877" s="72" t="s">
        <v>1013</v>
      </c>
    </row>
    <row r="878" spans="1:11" x14ac:dyDescent="0.2">
      <c r="A878" t="s">
        <v>28</v>
      </c>
      <c r="B878" s="6">
        <v>6.7000000000000002E-3</v>
      </c>
      <c r="C878" t="s">
        <v>567</v>
      </c>
      <c r="D878" t="s">
        <v>29</v>
      </c>
      <c r="F878" t="s">
        <v>20</v>
      </c>
      <c r="K878" t="s">
        <v>30</v>
      </c>
    </row>
    <row r="879" spans="1:11" x14ac:dyDescent="0.2">
      <c r="A879" t="s">
        <v>340</v>
      </c>
      <c r="B879" s="6">
        <v>-1.6799999999999999E-4</v>
      </c>
      <c r="C879" t="s">
        <v>619</v>
      </c>
      <c r="D879" t="s">
        <v>8</v>
      </c>
      <c r="F879" t="s">
        <v>20</v>
      </c>
      <c r="K879" t="s">
        <v>341</v>
      </c>
    </row>
    <row r="880" spans="1:11" x14ac:dyDescent="0.2">
      <c r="A880" t="s">
        <v>342</v>
      </c>
      <c r="B880" s="6">
        <v>5.8399999999999999E-4</v>
      </c>
      <c r="C880" t="s">
        <v>626</v>
      </c>
      <c r="D880" t="s">
        <v>19</v>
      </c>
      <c r="F880" t="s">
        <v>20</v>
      </c>
      <c r="K880" t="s">
        <v>343</v>
      </c>
    </row>
    <row r="881" spans="1:11" x14ac:dyDescent="0.2">
      <c r="A881" t="s">
        <v>344</v>
      </c>
      <c r="B881" s="6">
        <v>2.5999999999999998E-10</v>
      </c>
      <c r="C881" t="s">
        <v>567</v>
      </c>
      <c r="D881" t="s">
        <v>7</v>
      </c>
      <c r="F881" t="s">
        <v>20</v>
      </c>
      <c r="K881" t="s">
        <v>345</v>
      </c>
    </row>
    <row r="882" spans="1:11" x14ac:dyDescent="0.2">
      <c r="A882" t="s">
        <v>346</v>
      </c>
      <c r="B882" s="6">
        <v>-6.2700000000000001E-6</v>
      </c>
      <c r="C882" t="s">
        <v>626</v>
      </c>
      <c r="D882" t="s">
        <v>8</v>
      </c>
      <c r="F882" t="s">
        <v>20</v>
      </c>
      <c r="K882" t="s">
        <v>347</v>
      </c>
    </row>
    <row r="883" spans="1:11" x14ac:dyDescent="0.2">
      <c r="A883" t="s">
        <v>348</v>
      </c>
      <c r="B883" s="6">
        <v>-7.4999999999999993E-5</v>
      </c>
      <c r="C883" t="s">
        <v>619</v>
      </c>
      <c r="D883" t="s">
        <v>121</v>
      </c>
      <c r="F883" t="s">
        <v>20</v>
      </c>
      <c r="K883" t="s">
        <v>349</v>
      </c>
    </row>
    <row r="884" spans="1:11" x14ac:dyDescent="0.2">
      <c r="A884" t="s">
        <v>350</v>
      </c>
      <c r="B884" s="6">
        <v>6.8900000000000005E-4</v>
      </c>
      <c r="C884" t="s">
        <v>619</v>
      </c>
      <c r="D884" t="s">
        <v>8</v>
      </c>
      <c r="F884" t="s">
        <v>20</v>
      </c>
      <c r="K884" t="s">
        <v>351</v>
      </c>
    </row>
    <row r="885" spans="1:11" x14ac:dyDescent="0.2">
      <c r="A885" t="s">
        <v>100</v>
      </c>
      <c r="B885" s="6">
        <v>3.3599999999999998E-2</v>
      </c>
      <c r="C885" t="s">
        <v>619</v>
      </c>
      <c r="D885" t="s">
        <v>41</v>
      </c>
      <c r="F885" t="s">
        <v>20</v>
      </c>
      <c r="K885" t="s">
        <v>103</v>
      </c>
    </row>
    <row r="886" spans="1:11" x14ac:dyDescent="0.2">
      <c r="A886" t="s">
        <v>352</v>
      </c>
      <c r="B886" s="6">
        <v>3.2599999999999997E-2</v>
      </c>
      <c r="C886" t="s">
        <v>567</v>
      </c>
      <c r="D886" t="s">
        <v>41</v>
      </c>
      <c r="F886" t="s">
        <v>20</v>
      </c>
      <c r="K886" t="s">
        <v>353</v>
      </c>
    </row>
    <row r="887" spans="1:11" x14ac:dyDescent="0.2">
      <c r="A887" t="s">
        <v>354</v>
      </c>
      <c r="B887" s="6">
        <v>-6.8899999999999999E-7</v>
      </c>
      <c r="C887" t="s">
        <v>619</v>
      </c>
      <c r="D887" t="s">
        <v>121</v>
      </c>
      <c r="F887" t="s">
        <v>20</v>
      </c>
      <c r="K887" t="s">
        <v>355</v>
      </c>
    </row>
    <row r="888" spans="1:11" ht="16.25" customHeight="1" x14ac:dyDescent="0.2">
      <c r="A888" s="1"/>
      <c r="B888" s="71"/>
    </row>
    <row r="889" spans="1:11" ht="16" x14ac:dyDescent="0.2">
      <c r="A889" s="1" t="s">
        <v>1</v>
      </c>
      <c r="B889" s="71" t="s">
        <v>1032</v>
      </c>
    </row>
    <row r="890" spans="1:11" x14ac:dyDescent="0.2">
      <c r="A890" t="s">
        <v>2</v>
      </c>
      <c r="B890" s="6" t="s">
        <v>956</v>
      </c>
    </row>
    <row r="891" spans="1:11" x14ac:dyDescent="0.2">
      <c r="A891" t="s">
        <v>3</v>
      </c>
      <c r="B891" s="6">
        <v>1</v>
      </c>
    </row>
    <row r="892" spans="1:11" x14ac:dyDescent="0.2">
      <c r="A892" t="s">
        <v>4</v>
      </c>
      <c r="B892" s="6" t="s">
        <v>747</v>
      </c>
    </row>
    <row r="893" spans="1:11" x14ac:dyDescent="0.2">
      <c r="A893" t="s">
        <v>5</v>
      </c>
      <c r="B893" s="6" t="s">
        <v>6</v>
      </c>
    </row>
    <row r="894" spans="1:11" x14ac:dyDescent="0.2">
      <c r="A894" t="s">
        <v>7</v>
      </c>
      <c r="B894" s="6" t="s">
        <v>8</v>
      </c>
    </row>
    <row r="895" spans="1:11" x14ac:dyDescent="0.2">
      <c r="A895" t="s">
        <v>9</v>
      </c>
      <c r="B895" s="6" t="s">
        <v>627</v>
      </c>
    </row>
    <row r="896" spans="1:11" x14ac:dyDescent="0.2">
      <c r="A896" t="s">
        <v>836</v>
      </c>
      <c r="B896" s="6">
        <v>24</v>
      </c>
    </row>
    <row r="897" spans="1:8" x14ac:dyDescent="0.2">
      <c r="A897" t="s">
        <v>842</v>
      </c>
      <c r="B897" s="73">
        <v>0.08</v>
      </c>
    </row>
    <row r="898" spans="1:8" ht="16" x14ac:dyDescent="0.2">
      <c r="A898" s="1" t="s">
        <v>12</v>
      </c>
    </row>
    <row r="899" spans="1:8" x14ac:dyDescent="0.2">
      <c r="A899" t="s">
        <v>13</v>
      </c>
      <c r="B899" s="6" t="s">
        <v>14</v>
      </c>
      <c r="C899" t="s">
        <v>2</v>
      </c>
      <c r="D899" t="s">
        <v>7</v>
      </c>
      <c r="E899" t="s">
        <v>15</v>
      </c>
      <c r="F899" t="s">
        <v>5</v>
      </c>
      <c r="G899" t="s">
        <v>11</v>
      </c>
      <c r="H899" t="s">
        <v>4</v>
      </c>
    </row>
    <row r="900" spans="1:8" x14ac:dyDescent="0.2">
      <c r="A900" t="s">
        <v>1032</v>
      </c>
      <c r="B900" s="6">
        <v>1</v>
      </c>
      <c r="C900" t="s">
        <v>956</v>
      </c>
      <c r="D900" t="s">
        <v>8</v>
      </c>
      <c r="E900" t="s">
        <v>733</v>
      </c>
      <c r="F900" t="s">
        <v>17</v>
      </c>
      <c r="G900" t="s">
        <v>18</v>
      </c>
      <c r="H900" t="s">
        <v>747</v>
      </c>
    </row>
    <row r="901" spans="1:8" x14ac:dyDescent="0.2">
      <c r="A901" t="s">
        <v>1032</v>
      </c>
      <c r="B901" s="6">
        <v>0.14000000000000001</v>
      </c>
      <c r="C901" t="s">
        <v>956</v>
      </c>
      <c r="D901" t="s">
        <v>8</v>
      </c>
      <c r="E901" t="s">
        <v>733</v>
      </c>
      <c r="F901" t="s">
        <v>20</v>
      </c>
      <c r="H901" t="s">
        <v>747</v>
      </c>
    </row>
    <row r="902" spans="1:8" x14ac:dyDescent="0.2">
      <c r="A902" t="s">
        <v>771</v>
      </c>
      <c r="B902" s="6">
        <v>0.31353600000000004</v>
      </c>
      <c r="C902" t="s">
        <v>26</v>
      </c>
      <c r="D902" t="s">
        <v>8</v>
      </c>
      <c r="E902" t="s">
        <v>629</v>
      </c>
      <c r="F902" t="s">
        <v>20</v>
      </c>
      <c r="G902" t="s">
        <v>18</v>
      </c>
      <c r="H902" t="s">
        <v>772</v>
      </c>
    </row>
    <row r="903" spans="1:8" x14ac:dyDescent="0.2">
      <c r="A903" t="s">
        <v>42</v>
      </c>
      <c r="B903" s="6">
        <v>7.0656000000000017E-3</v>
      </c>
      <c r="C903" t="s">
        <v>956</v>
      </c>
      <c r="D903" t="s">
        <v>8</v>
      </c>
      <c r="E903" t="s">
        <v>629</v>
      </c>
      <c r="F903" t="s">
        <v>20</v>
      </c>
      <c r="G903" t="s">
        <v>18</v>
      </c>
      <c r="H903" t="s">
        <v>43</v>
      </c>
    </row>
    <row r="904" spans="1:8" x14ac:dyDescent="0.2">
      <c r="A904" t="s">
        <v>603</v>
      </c>
      <c r="B904" s="6">
        <f>0.001104/1000</f>
        <v>1.1039999999999999E-6</v>
      </c>
      <c r="C904" t="s">
        <v>26</v>
      </c>
      <c r="D904" t="s">
        <v>8</v>
      </c>
      <c r="E904" t="s">
        <v>629</v>
      </c>
      <c r="F904" t="s">
        <v>20</v>
      </c>
      <c r="G904" t="s">
        <v>18</v>
      </c>
      <c r="H904" t="s">
        <v>602</v>
      </c>
    </row>
    <row r="905" spans="1:8" x14ac:dyDescent="0.2">
      <c r="A905" t="s">
        <v>44</v>
      </c>
      <c r="B905" s="6">
        <v>2.2080000000000003E-3</v>
      </c>
      <c r="C905" t="s">
        <v>956</v>
      </c>
      <c r="D905" t="s">
        <v>8</v>
      </c>
      <c r="E905" t="s">
        <v>629</v>
      </c>
      <c r="F905" t="s">
        <v>20</v>
      </c>
      <c r="G905" t="s">
        <v>18</v>
      </c>
      <c r="H905" t="s">
        <v>45</v>
      </c>
    </row>
    <row r="906" spans="1:8" x14ac:dyDescent="0.2">
      <c r="A906" t="s">
        <v>46</v>
      </c>
      <c r="B906" s="6">
        <v>1.2806400000000003E-2</v>
      </c>
      <c r="C906" t="s">
        <v>956</v>
      </c>
      <c r="D906" t="s">
        <v>8</v>
      </c>
      <c r="E906" t="s">
        <v>629</v>
      </c>
      <c r="F906" t="s">
        <v>20</v>
      </c>
      <c r="G906" t="s">
        <v>18</v>
      </c>
      <c r="H906" t="s">
        <v>47</v>
      </c>
    </row>
    <row r="907" spans="1:8" x14ac:dyDescent="0.2">
      <c r="A907" t="s">
        <v>22</v>
      </c>
      <c r="B907" s="6">
        <f>0.002751168*43</f>
        <v>0.118300224</v>
      </c>
      <c r="C907" t="s">
        <v>26</v>
      </c>
      <c r="D907" t="s">
        <v>19</v>
      </c>
      <c r="E907" t="s">
        <v>629</v>
      </c>
      <c r="F907" t="s">
        <v>20</v>
      </c>
      <c r="G907" t="s">
        <v>18</v>
      </c>
      <c r="H907" t="s">
        <v>23</v>
      </c>
    </row>
    <row r="908" spans="1:8" x14ac:dyDescent="0.2">
      <c r="A908" t="s">
        <v>120</v>
      </c>
      <c r="B908" s="6">
        <v>2.7791E-2</v>
      </c>
      <c r="C908" t="s">
        <v>31</v>
      </c>
      <c r="D908" t="s">
        <v>121</v>
      </c>
      <c r="F908" t="s">
        <v>20</v>
      </c>
      <c r="G908" t="s">
        <v>957</v>
      </c>
      <c r="H908" t="s">
        <v>122</v>
      </c>
    </row>
    <row r="909" spans="1:8" x14ac:dyDescent="0.2">
      <c r="A909" t="s">
        <v>960</v>
      </c>
      <c r="B909" s="6">
        <v>5.2299999999999999E-2</v>
      </c>
      <c r="C909" t="s">
        <v>26</v>
      </c>
      <c r="D909" t="s">
        <v>8</v>
      </c>
      <c r="F909" t="s">
        <v>20</v>
      </c>
      <c r="G909" t="s">
        <v>957</v>
      </c>
      <c r="H909" t="s">
        <v>886</v>
      </c>
    </row>
    <row r="910" spans="1:8" x14ac:dyDescent="0.2">
      <c r="A910" t="s">
        <v>887</v>
      </c>
      <c r="B910" s="6">
        <v>3.0899999999999998E-4</v>
      </c>
      <c r="C910" t="s">
        <v>26</v>
      </c>
      <c r="D910" t="s">
        <v>8</v>
      </c>
      <c r="F910" t="s">
        <v>20</v>
      </c>
      <c r="G910" t="s">
        <v>957</v>
      </c>
      <c r="H910" t="s">
        <v>888</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1029</v>
      </c>
      <c r="B913" s="6">
        <f>0.506*(44/12)*(1-B897)</f>
        <v>1.7069066666666668</v>
      </c>
      <c r="D913" t="s">
        <v>8</v>
      </c>
      <c r="E913" t="s">
        <v>1030</v>
      </c>
      <c r="F913" t="s">
        <v>36</v>
      </c>
    </row>
    <row r="914" spans="1:7" x14ac:dyDescent="0.2">
      <c r="A914" t="s">
        <v>194</v>
      </c>
      <c r="B914" s="6">
        <v>0.59589999999999999</v>
      </c>
      <c r="D914" t="s">
        <v>113</v>
      </c>
      <c r="E914" t="s">
        <v>114</v>
      </c>
      <c r="F914" t="s">
        <v>36</v>
      </c>
      <c r="G914" t="s">
        <v>957</v>
      </c>
    </row>
    <row r="915" spans="1:7" x14ac:dyDescent="0.2">
      <c r="A915" t="s">
        <v>195</v>
      </c>
      <c r="B915" s="6">
        <v>2.9700000000000001E-2</v>
      </c>
      <c r="D915" t="s">
        <v>115</v>
      </c>
      <c r="E915" t="s">
        <v>114</v>
      </c>
      <c r="F915" t="s">
        <v>36</v>
      </c>
      <c r="G915" t="s">
        <v>957</v>
      </c>
    </row>
    <row r="916" spans="1:7" x14ac:dyDescent="0.2">
      <c r="A916" t="s">
        <v>196</v>
      </c>
      <c r="B916" s="6">
        <v>2.9700000000000001E-2</v>
      </c>
      <c r="D916" t="s">
        <v>115</v>
      </c>
      <c r="E916" t="s">
        <v>114</v>
      </c>
      <c r="F916" t="s">
        <v>36</v>
      </c>
      <c r="G916" t="s">
        <v>957</v>
      </c>
    </row>
    <row r="917" spans="1:7" x14ac:dyDescent="0.2">
      <c r="A917" t="s">
        <v>172</v>
      </c>
      <c r="B917" s="6">
        <v>3.4562211999600002E-2</v>
      </c>
      <c r="D917" t="s">
        <v>8</v>
      </c>
      <c r="E917" t="s">
        <v>179</v>
      </c>
      <c r="F917" t="s">
        <v>36</v>
      </c>
      <c r="G917" t="s">
        <v>957</v>
      </c>
    </row>
    <row r="918" spans="1:7" x14ac:dyDescent="0.2">
      <c r="A918" t="s">
        <v>126</v>
      </c>
      <c r="B918" s="6">
        <v>1.7925582501200001E-2</v>
      </c>
      <c r="D918" t="s">
        <v>121</v>
      </c>
      <c r="E918" t="s">
        <v>169</v>
      </c>
      <c r="F918" t="s">
        <v>36</v>
      </c>
      <c r="G918" t="s">
        <v>957</v>
      </c>
    </row>
    <row r="919" spans="1:7" x14ac:dyDescent="0.2">
      <c r="A919" t="s">
        <v>126</v>
      </c>
      <c r="B919" s="6">
        <v>7.8928911079399998E-3</v>
      </c>
      <c r="D919" t="s">
        <v>121</v>
      </c>
      <c r="E919" t="s">
        <v>171</v>
      </c>
      <c r="F919" t="s">
        <v>36</v>
      </c>
      <c r="G919" t="s">
        <v>957</v>
      </c>
    </row>
    <row r="920" spans="1:7" x14ac:dyDescent="0.2">
      <c r="A920" t="s">
        <v>325</v>
      </c>
      <c r="B920" s="6">
        <v>4.5759629101300003E-3</v>
      </c>
      <c r="D920" t="s">
        <v>8</v>
      </c>
      <c r="E920" t="s">
        <v>169</v>
      </c>
      <c r="F920" t="s">
        <v>36</v>
      </c>
      <c r="G920" t="s">
        <v>957</v>
      </c>
    </row>
    <row r="921" spans="1:7" x14ac:dyDescent="0.2">
      <c r="A921" t="s">
        <v>126</v>
      </c>
      <c r="B921" s="6">
        <v>1.9731930575399999E-3</v>
      </c>
      <c r="D921" t="s">
        <v>121</v>
      </c>
      <c r="E921" t="s">
        <v>179</v>
      </c>
      <c r="F921" t="s">
        <v>36</v>
      </c>
      <c r="G921" t="s">
        <v>957</v>
      </c>
    </row>
    <row r="922" spans="1:7" x14ac:dyDescent="0.2">
      <c r="A922" t="s">
        <v>127</v>
      </c>
      <c r="B922" s="6">
        <v>1.06799809796E-3</v>
      </c>
      <c r="D922" t="s">
        <v>8</v>
      </c>
      <c r="E922" t="s">
        <v>169</v>
      </c>
      <c r="F922" t="s">
        <v>36</v>
      </c>
      <c r="G922" t="s">
        <v>957</v>
      </c>
    </row>
    <row r="923" spans="1:7" x14ac:dyDescent="0.2">
      <c r="A923" t="s">
        <v>38</v>
      </c>
      <c r="B923" s="6">
        <v>2.1613171659499999E-4</v>
      </c>
      <c r="D923" t="s">
        <v>8</v>
      </c>
      <c r="E923" t="s">
        <v>169</v>
      </c>
      <c r="F923" t="s">
        <v>36</v>
      </c>
      <c r="G923" t="s">
        <v>957</v>
      </c>
    </row>
    <row r="924" spans="1:7" x14ac:dyDescent="0.2">
      <c r="A924" t="s">
        <v>155</v>
      </c>
      <c r="B924" s="6">
        <v>1.3671892717400001E-4</v>
      </c>
      <c r="D924" t="s">
        <v>8</v>
      </c>
      <c r="E924" t="s">
        <v>170</v>
      </c>
      <c r="F924" t="s">
        <v>36</v>
      </c>
      <c r="G924" t="s">
        <v>957</v>
      </c>
    </row>
    <row r="925" spans="1:7" x14ac:dyDescent="0.2">
      <c r="A925" t="s">
        <v>174</v>
      </c>
      <c r="B925" s="6">
        <v>4.8829053732799998E-5</v>
      </c>
      <c r="D925" t="s">
        <v>8</v>
      </c>
      <c r="E925" t="s">
        <v>171</v>
      </c>
      <c r="F925" t="s">
        <v>36</v>
      </c>
      <c r="G925" t="s">
        <v>957</v>
      </c>
    </row>
    <row r="926" spans="1:7" x14ac:dyDescent="0.2">
      <c r="A926" t="s">
        <v>173</v>
      </c>
      <c r="B926" s="6">
        <v>3.179148835E-5</v>
      </c>
      <c r="D926" t="s">
        <v>8</v>
      </c>
      <c r="E926" t="s">
        <v>171</v>
      </c>
      <c r="F926" t="s">
        <v>36</v>
      </c>
      <c r="G926" t="s">
        <v>957</v>
      </c>
    </row>
    <row r="927" spans="1:7" x14ac:dyDescent="0.2">
      <c r="A927" t="s">
        <v>165</v>
      </c>
      <c r="B927" s="6">
        <v>1.78329035444E-5</v>
      </c>
      <c r="D927" t="s">
        <v>8</v>
      </c>
      <c r="E927" t="s">
        <v>170</v>
      </c>
      <c r="F927" t="s">
        <v>36</v>
      </c>
      <c r="G927" t="s">
        <v>957</v>
      </c>
    </row>
    <row r="928" spans="1:7" x14ac:dyDescent="0.2">
      <c r="A928" t="s">
        <v>174</v>
      </c>
      <c r="B928" s="6">
        <v>1.0999167855400001E-5</v>
      </c>
      <c r="D928" t="s">
        <v>8</v>
      </c>
      <c r="E928" t="s">
        <v>179</v>
      </c>
      <c r="F928" t="s">
        <v>36</v>
      </c>
      <c r="G928" t="s">
        <v>957</v>
      </c>
    </row>
    <row r="929" spans="1:7" x14ac:dyDescent="0.2">
      <c r="A929" t="s">
        <v>206</v>
      </c>
      <c r="B929" s="6">
        <v>2.5633024251099998E-6</v>
      </c>
      <c r="D929" t="s">
        <v>8</v>
      </c>
      <c r="E929" t="s">
        <v>171</v>
      </c>
      <c r="F929" t="s">
        <v>36</v>
      </c>
      <c r="G929" t="s">
        <v>957</v>
      </c>
    </row>
    <row r="930" spans="1:7" x14ac:dyDescent="0.2">
      <c r="A930" t="s">
        <v>200</v>
      </c>
      <c r="B930" s="6">
        <v>1.76319543509E-6</v>
      </c>
      <c r="D930" t="s">
        <v>8</v>
      </c>
      <c r="E930" t="s">
        <v>171</v>
      </c>
      <c r="F930" t="s">
        <v>36</v>
      </c>
      <c r="G930" t="s">
        <v>957</v>
      </c>
    </row>
    <row r="931" spans="1:7" x14ac:dyDescent="0.2">
      <c r="A931" t="s">
        <v>206</v>
      </c>
      <c r="B931" s="6">
        <v>1.5110556348100001E-6</v>
      </c>
      <c r="D931" t="s">
        <v>8</v>
      </c>
      <c r="E931" t="s">
        <v>179</v>
      </c>
      <c r="F931" t="s">
        <v>36</v>
      </c>
      <c r="G931" t="s">
        <v>957</v>
      </c>
    </row>
    <row r="932" spans="1:7" x14ac:dyDescent="0.2">
      <c r="A932" t="s">
        <v>199</v>
      </c>
      <c r="B932" s="6">
        <v>1.0733475986699999E-6</v>
      </c>
      <c r="D932" t="s">
        <v>8</v>
      </c>
      <c r="E932" t="s">
        <v>171</v>
      </c>
      <c r="F932" t="s">
        <v>36</v>
      </c>
      <c r="G932" t="s">
        <v>957</v>
      </c>
    </row>
    <row r="933" spans="1:7" x14ac:dyDescent="0.2">
      <c r="A933" t="s">
        <v>199</v>
      </c>
      <c r="B933" s="6">
        <v>1.05515929624E-6</v>
      </c>
      <c r="D933" t="s">
        <v>8</v>
      </c>
      <c r="E933" t="s">
        <v>179</v>
      </c>
      <c r="F933" t="s">
        <v>36</v>
      </c>
      <c r="G933" t="s">
        <v>957</v>
      </c>
    </row>
    <row r="934" spans="1:7" x14ac:dyDescent="0.2">
      <c r="A934" t="s">
        <v>202</v>
      </c>
      <c r="B934" s="6">
        <v>9.2813837375200001E-7</v>
      </c>
      <c r="D934" t="s">
        <v>8</v>
      </c>
      <c r="E934" t="s">
        <v>171</v>
      </c>
      <c r="F934" t="s">
        <v>36</v>
      </c>
      <c r="G934" t="s">
        <v>957</v>
      </c>
    </row>
    <row r="935" spans="1:7" x14ac:dyDescent="0.2">
      <c r="A935" t="s">
        <v>168</v>
      </c>
      <c r="B935" s="6">
        <v>3.3541963861200002E-7</v>
      </c>
      <c r="D935" t="s">
        <v>8</v>
      </c>
      <c r="E935" t="s">
        <v>171</v>
      </c>
      <c r="F935" t="s">
        <v>36</v>
      </c>
      <c r="G935" t="s">
        <v>957</v>
      </c>
    </row>
    <row r="936" spans="1:7" x14ac:dyDescent="0.2">
      <c r="A936" t="s">
        <v>200</v>
      </c>
      <c r="B936" s="6">
        <v>2.03084878745E-7</v>
      </c>
      <c r="D936" t="s">
        <v>8</v>
      </c>
      <c r="E936" t="s">
        <v>179</v>
      </c>
      <c r="F936" t="s">
        <v>36</v>
      </c>
      <c r="G936" t="s">
        <v>957</v>
      </c>
    </row>
    <row r="937" spans="1:7" x14ac:dyDescent="0.2">
      <c r="A937" t="s">
        <v>148</v>
      </c>
      <c r="B937" s="6">
        <v>2.1173240014199999E-8</v>
      </c>
      <c r="D937" t="s">
        <v>8</v>
      </c>
      <c r="E937" t="s">
        <v>170</v>
      </c>
      <c r="F937" t="s">
        <v>36</v>
      </c>
      <c r="G937" t="s">
        <v>957</v>
      </c>
    </row>
    <row r="938" spans="1:7" x14ac:dyDescent="0.2">
      <c r="A938" t="s">
        <v>168</v>
      </c>
      <c r="B938" s="6">
        <v>1.01200665716E-8</v>
      </c>
      <c r="D938" t="s">
        <v>8</v>
      </c>
      <c r="E938" t="s">
        <v>179</v>
      </c>
      <c r="F938" t="s">
        <v>36</v>
      </c>
      <c r="G938" t="s">
        <v>957</v>
      </c>
    </row>
    <row r="939" spans="1:7" x14ac:dyDescent="0.2">
      <c r="A939" t="s">
        <v>198</v>
      </c>
      <c r="B939" s="6">
        <v>9.8817165953399997E-9</v>
      </c>
      <c r="D939" t="s">
        <v>8</v>
      </c>
      <c r="E939" t="s">
        <v>171</v>
      </c>
      <c r="F939" t="s">
        <v>36</v>
      </c>
      <c r="G939" t="s">
        <v>957</v>
      </c>
    </row>
    <row r="940" spans="1:7" x14ac:dyDescent="0.2">
      <c r="A940" t="s">
        <v>201</v>
      </c>
      <c r="B940" s="6">
        <v>3.23472420352E-9</v>
      </c>
      <c r="D940" t="s">
        <v>8</v>
      </c>
      <c r="E940" t="s">
        <v>171</v>
      </c>
      <c r="F940" t="s">
        <v>36</v>
      </c>
      <c r="G940" t="s">
        <v>957</v>
      </c>
    </row>
    <row r="941" spans="1:7" x14ac:dyDescent="0.2">
      <c r="A941" t="s">
        <v>198</v>
      </c>
      <c r="B941" s="6">
        <v>2.01575130766E-9</v>
      </c>
      <c r="D941" t="s">
        <v>8</v>
      </c>
      <c r="E941" t="s">
        <v>179</v>
      </c>
      <c r="F941" t="s">
        <v>36</v>
      </c>
      <c r="G941" t="s">
        <v>957</v>
      </c>
    </row>
    <row r="942" spans="1:7" x14ac:dyDescent="0.2">
      <c r="A942" t="s">
        <v>201</v>
      </c>
      <c r="B942" s="6">
        <v>1.2854850213999999E-10</v>
      </c>
      <c r="D942" t="s">
        <v>8</v>
      </c>
      <c r="E942" t="s">
        <v>179</v>
      </c>
      <c r="F942" t="s">
        <v>36</v>
      </c>
      <c r="G942" t="s">
        <v>957</v>
      </c>
    </row>
    <row r="943" spans="1:7" x14ac:dyDescent="0.2">
      <c r="A943" t="s">
        <v>202</v>
      </c>
      <c r="B943" s="6">
        <v>3.0712077983799998E-11</v>
      </c>
      <c r="D943" t="s">
        <v>8</v>
      </c>
      <c r="E943" t="s">
        <v>179</v>
      </c>
      <c r="F943" t="s">
        <v>36</v>
      </c>
      <c r="G943" t="s">
        <v>957</v>
      </c>
    </row>
    <row r="944" spans="1:7" x14ac:dyDescent="0.2">
      <c r="A944" t="s">
        <v>201</v>
      </c>
      <c r="B944" s="6">
        <v>-2.4576541844999999E-9</v>
      </c>
      <c r="D944" t="s">
        <v>8</v>
      </c>
      <c r="E944" t="s">
        <v>170</v>
      </c>
      <c r="F944" t="s">
        <v>36</v>
      </c>
      <c r="G944" t="s">
        <v>957</v>
      </c>
    </row>
    <row r="945" spans="1:7" x14ac:dyDescent="0.2">
      <c r="A945" t="s">
        <v>168</v>
      </c>
      <c r="B945" s="6">
        <v>-1.9346622117199999E-7</v>
      </c>
      <c r="D945" t="s">
        <v>8</v>
      </c>
      <c r="E945" t="s">
        <v>170</v>
      </c>
      <c r="F945" t="s">
        <v>36</v>
      </c>
      <c r="G945" t="s">
        <v>957</v>
      </c>
    </row>
    <row r="946" spans="1:7" x14ac:dyDescent="0.2">
      <c r="A946" t="s">
        <v>138</v>
      </c>
      <c r="B946" s="6">
        <v>-2.8501402163599999E-7</v>
      </c>
      <c r="D946" t="s">
        <v>8</v>
      </c>
      <c r="E946" t="s">
        <v>170</v>
      </c>
      <c r="F946" t="s">
        <v>36</v>
      </c>
      <c r="G946" t="s">
        <v>957</v>
      </c>
    </row>
    <row r="947" spans="1:7" x14ac:dyDescent="0.2">
      <c r="A947" t="s">
        <v>145</v>
      </c>
      <c r="B947" s="6">
        <v>-1.318800077266E-6</v>
      </c>
      <c r="D947" t="s">
        <v>8</v>
      </c>
      <c r="E947" t="s">
        <v>170</v>
      </c>
      <c r="F947" t="s">
        <v>36</v>
      </c>
      <c r="G947" t="s">
        <v>957</v>
      </c>
    </row>
    <row r="948" spans="1:7" x14ac:dyDescent="0.2">
      <c r="A948" t="s">
        <v>132</v>
      </c>
      <c r="B948" s="6">
        <v>-3.0258531770069999E-6</v>
      </c>
      <c r="D948" t="s">
        <v>8</v>
      </c>
      <c r="E948" t="s">
        <v>170</v>
      </c>
      <c r="F948" t="s">
        <v>36</v>
      </c>
      <c r="G948" t="s">
        <v>957</v>
      </c>
    </row>
    <row r="949" spans="1:7" x14ac:dyDescent="0.2">
      <c r="A949" t="s">
        <v>142</v>
      </c>
      <c r="B949" s="6">
        <v>-3.2407916964000002E-6</v>
      </c>
      <c r="D949" t="s">
        <v>8</v>
      </c>
      <c r="E949" t="s">
        <v>170</v>
      </c>
      <c r="F949" t="s">
        <v>36</v>
      </c>
      <c r="G949" t="s">
        <v>957</v>
      </c>
    </row>
    <row r="951" spans="1:7" ht="16" x14ac:dyDescent="0.2">
      <c r="A951" s="1" t="s">
        <v>1</v>
      </c>
      <c r="B951" s="71" t="s">
        <v>746</v>
      </c>
    </row>
    <row r="952" spans="1:7" x14ac:dyDescent="0.2">
      <c r="A952" t="s">
        <v>2</v>
      </c>
      <c r="B952" s="6" t="s">
        <v>956</v>
      </c>
    </row>
    <row r="953" spans="1:7" x14ac:dyDescent="0.2">
      <c r="A953" t="s">
        <v>3</v>
      </c>
      <c r="B953" s="6">
        <v>1</v>
      </c>
    </row>
    <row r="954" spans="1:7" x14ac:dyDescent="0.2">
      <c r="A954" t="s">
        <v>4</v>
      </c>
      <c r="B954" s="6" t="s">
        <v>746</v>
      </c>
    </row>
    <row r="955" spans="1:7" x14ac:dyDescent="0.2">
      <c r="A955" t="s">
        <v>5</v>
      </c>
      <c r="B955" s="6" t="s">
        <v>6</v>
      </c>
    </row>
    <row r="956" spans="1:7" x14ac:dyDescent="0.2">
      <c r="A956" t="s">
        <v>7</v>
      </c>
      <c r="B956" s="6" t="s">
        <v>8</v>
      </c>
    </row>
    <row r="957" spans="1:7" x14ac:dyDescent="0.2">
      <c r="A957" t="s">
        <v>9</v>
      </c>
      <c r="B957" s="6" t="s">
        <v>627</v>
      </c>
    </row>
    <row r="958" spans="1:7" x14ac:dyDescent="0.2">
      <c r="A958" t="s">
        <v>858</v>
      </c>
      <c r="B958" s="6">
        <v>5</v>
      </c>
    </row>
    <row r="959" spans="1:7" x14ac:dyDescent="0.2">
      <c r="A959" t="s">
        <v>836</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746</v>
      </c>
      <c r="B962" s="6">
        <v>1</v>
      </c>
      <c r="C962" s="6" t="s">
        <v>956</v>
      </c>
      <c r="D962" t="s">
        <v>8</v>
      </c>
      <c r="E962" t="s">
        <v>733</v>
      </c>
      <c r="F962" t="s">
        <v>17</v>
      </c>
      <c r="G962" t="s">
        <v>18</v>
      </c>
      <c r="H962" t="s">
        <v>746</v>
      </c>
    </row>
    <row r="963" spans="1:8" x14ac:dyDescent="0.2">
      <c r="A963" t="s">
        <v>1032</v>
      </c>
      <c r="B963" s="6">
        <f>(1.8535*B959)/B911</f>
        <v>3.1059556159420287</v>
      </c>
      <c r="C963" t="s">
        <v>956</v>
      </c>
      <c r="D963" t="s">
        <v>8</v>
      </c>
      <c r="E963" t="s">
        <v>629</v>
      </c>
      <c r="F963" t="s">
        <v>20</v>
      </c>
      <c r="G963" t="s">
        <v>18</v>
      </c>
      <c r="H963" t="s">
        <v>747</v>
      </c>
    </row>
    <row r="964" spans="1:8" x14ac:dyDescent="0.2">
      <c r="A964" t="s">
        <v>352</v>
      </c>
      <c r="B964" s="6">
        <v>0.25370900000000002</v>
      </c>
      <c r="C964" t="s">
        <v>31</v>
      </c>
      <c r="D964" t="s">
        <v>41</v>
      </c>
      <c r="E964" t="s">
        <v>632</v>
      </c>
      <c r="F964" t="s">
        <v>20</v>
      </c>
      <c r="G964" t="s">
        <v>748</v>
      </c>
      <c r="H964" t="s">
        <v>353</v>
      </c>
    </row>
    <row r="965" spans="1:8" x14ac:dyDescent="0.2">
      <c r="A965" t="s">
        <v>22</v>
      </c>
      <c r="B965" s="6">
        <f>0.0033041*43</f>
        <v>0.14207629999999999</v>
      </c>
      <c r="C965" t="s">
        <v>26</v>
      </c>
      <c r="D965" t="s">
        <v>19</v>
      </c>
      <c r="E965" t="s">
        <v>629</v>
      </c>
      <c r="F965" t="s">
        <v>20</v>
      </c>
      <c r="G965" t="s">
        <v>18</v>
      </c>
      <c r="H965" t="s">
        <v>23</v>
      </c>
    </row>
    <row r="966" spans="1:8" x14ac:dyDescent="0.2">
      <c r="A966" t="s">
        <v>1035</v>
      </c>
      <c r="B966" s="6">
        <v>6.9399641999999995E-4</v>
      </c>
      <c r="C966" t="s">
        <v>956</v>
      </c>
      <c r="D966" t="s">
        <v>29</v>
      </c>
      <c r="E966" t="s">
        <v>632</v>
      </c>
      <c r="F966" t="s">
        <v>20</v>
      </c>
      <c r="G966" t="s">
        <v>751</v>
      </c>
      <c r="H966" t="s">
        <v>648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71" t="s">
        <v>734</v>
      </c>
    </row>
    <row r="972" spans="1:8" x14ac:dyDescent="0.2">
      <c r="A972" t="s">
        <v>2</v>
      </c>
      <c r="B972" s="6" t="s">
        <v>956</v>
      </c>
    </row>
    <row r="973" spans="1:8" x14ac:dyDescent="0.2">
      <c r="A973" t="s">
        <v>3</v>
      </c>
      <c r="B973" s="6">
        <v>1</v>
      </c>
    </row>
    <row r="974" spans="1:8" x14ac:dyDescent="0.2">
      <c r="A974" t="s">
        <v>4</v>
      </c>
      <c r="B974" s="6" t="s">
        <v>734</v>
      </c>
    </row>
    <row r="975" spans="1:8" x14ac:dyDescent="0.2">
      <c r="A975" t="s">
        <v>5</v>
      </c>
      <c r="B975" s="6" t="s">
        <v>6</v>
      </c>
    </row>
    <row r="976" spans="1:8" x14ac:dyDescent="0.2">
      <c r="A976" t="s">
        <v>7</v>
      </c>
      <c r="B976" s="6" t="s">
        <v>8</v>
      </c>
    </row>
    <row r="977" spans="1:8" x14ac:dyDescent="0.2">
      <c r="A977" t="s">
        <v>9</v>
      </c>
      <c r="B977" s="6" t="s">
        <v>627</v>
      </c>
    </row>
    <row r="978" spans="1:8" x14ac:dyDescent="0.2">
      <c r="A978" t="s">
        <v>836</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734</v>
      </c>
      <c r="B981" s="6">
        <v>1</v>
      </c>
      <c r="C981" s="6" t="s">
        <v>956</v>
      </c>
      <c r="D981" t="s">
        <v>8</v>
      </c>
      <c r="E981" t="s">
        <v>733</v>
      </c>
      <c r="F981" t="s">
        <v>17</v>
      </c>
      <c r="G981" t="s">
        <v>18</v>
      </c>
      <c r="H981" t="s">
        <v>734</v>
      </c>
    </row>
    <row r="982" spans="1:8" x14ac:dyDescent="0.2">
      <c r="A982" t="s">
        <v>746</v>
      </c>
      <c r="B982" s="6">
        <v>1.0245899999999999</v>
      </c>
      <c r="C982" s="6" t="s">
        <v>956</v>
      </c>
      <c r="D982" t="s">
        <v>8</v>
      </c>
      <c r="E982" t="s">
        <v>629</v>
      </c>
      <c r="F982" t="s">
        <v>20</v>
      </c>
      <c r="G982" t="s">
        <v>18</v>
      </c>
      <c r="H982" t="s">
        <v>746</v>
      </c>
    </row>
    <row r="983" spans="1:8" x14ac:dyDescent="0.2">
      <c r="A983" t="s">
        <v>631</v>
      </c>
      <c r="B983" s="6">
        <v>0.14910999999999999</v>
      </c>
      <c r="C983" t="s">
        <v>31</v>
      </c>
      <c r="D983" t="s">
        <v>19</v>
      </c>
      <c r="E983" t="s">
        <v>632</v>
      </c>
      <c r="F983" t="s">
        <v>20</v>
      </c>
      <c r="G983" t="s">
        <v>18</v>
      </c>
      <c r="H983" t="s">
        <v>634</v>
      </c>
    </row>
    <row r="984" spans="1:8" x14ac:dyDescent="0.2">
      <c r="A984" t="s">
        <v>703</v>
      </c>
      <c r="B984" s="6">
        <v>1.1100000000000001E-3</v>
      </c>
      <c r="C984" t="s">
        <v>26</v>
      </c>
      <c r="D984" t="s">
        <v>8</v>
      </c>
      <c r="E984" t="s">
        <v>629</v>
      </c>
      <c r="F984" t="s">
        <v>20</v>
      </c>
      <c r="G984" t="s">
        <v>18</v>
      </c>
      <c r="H984" t="s">
        <v>704</v>
      </c>
    </row>
    <row r="985" spans="1:8" x14ac:dyDescent="0.2">
      <c r="A985" t="s">
        <v>386</v>
      </c>
      <c r="B985" s="6">
        <v>3.3300000000000001E-3</v>
      </c>
      <c r="C985" t="s">
        <v>26</v>
      </c>
      <c r="D985" t="s">
        <v>8</v>
      </c>
      <c r="E985" t="s">
        <v>629</v>
      </c>
      <c r="F985" t="s">
        <v>20</v>
      </c>
      <c r="G985" t="s">
        <v>18</v>
      </c>
      <c r="H985" t="s">
        <v>387</v>
      </c>
    </row>
    <row r="986" spans="1:8" x14ac:dyDescent="0.2">
      <c r="A986" t="s">
        <v>352</v>
      </c>
      <c r="B986" s="6">
        <v>0.1295</v>
      </c>
      <c r="C986" t="s">
        <v>31</v>
      </c>
      <c r="D986" t="s">
        <v>41</v>
      </c>
      <c r="E986" t="s">
        <v>632</v>
      </c>
      <c r="F986" t="s">
        <v>20</v>
      </c>
      <c r="G986" t="s">
        <v>773</v>
      </c>
      <c r="H986" t="s">
        <v>353</v>
      </c>
    </row>
    <row r="987" spans="1:8" x14ac:dyDescent="0.2">
      <c r="A987" t="s">
        <v>976</v>
      </c>
      <c r="B987" s="6">
        <v>16.287399999999998</v>
      </c>
      <c r="C987" t="s">
        <v>26</v>
      </c>
      <c r="D987" t="s">
        <v>41</v>
      </c>
      <c r="E987" t="s">
        <v>632</v>
      </c>
      <c r="F987" t="s">
        <v>20</v>
      </c>
      <c r="G987" t="s">
        <v>774</v>
      </c>
      <c r="H987" t="s">
        <v>977</v>
      </c>
    </row>
    <row r="988" spans="1:8" x14ac:dyDescent="0.2">
      <c r="A988" t="s">
        <v>1035</v>
      </c>
      <c r="B988" s="6">
        <v>9.5659799999999982E-3</v>
      </c>
      <c r="C988" t="s">
        <v>956</v>
      </c>
      <c r="D988" t="s">
        <v>29</v>
      </c>
      <c r="E988" t="s">
        <v>632</v>
      </c>
      <c r="F988" t="s">
        <v>20</v>
      </c>
      <c r="G988" t="s">
        <v>18</v>
      </c>
      <c r="H988" t="s">
        <v>648</v>
      </c>
    </row>
    <row r="989" spans="1:8" x14ac:dyDescent="0.2">
      <c r="A989" t="s">
        <v>1035</v>
      </c>
      <c r="B989" s="6">
        <v>1.8411940000000002E-2</v>
      </c>
      <c r="C989" t="s">
        <v>956</v>
      </c>
      <c r="D989" t="s">
        <v>29</v>
      </c>
      <c r="E989" t="s">
        <v>632</v>
      </c>
      <c r="F989" t="s">
        <v>20</v>
      </c>
      <c r="G989" t="s">
        <v>775</v>
      </c>
      <c r="H989" t="s">
        <v>648</v>
      </c>
    </row>
    <row r="991" spans="1:8" ht="16" x14ac:dyDescent="0.2">
      <c r="A991" s="1" t="s">
        <v>1</v>
      </c>
      <c r="B991" s="71" t="s">
        <v>881</v>
      </c>
    </row>
    <row r="992" spans="1:8" x14ac:dyDescent="0.2">
      <c r="A992" t="s">
        <v>2</v>
      </c>
      <c r="B992" s="6" t="s">
        <v>956</v>
      </c>
    </row>
    <row r="993" spans="1:14" x14ac:dyDescent="0.2">
      <c r="A993" t="s">
        <v>3</v>
      </c>
      <c r="B993" s="6">
        <v>1</v>
      </c>
    </row>
    <row r="994" spans="1:14" ht="16" x14ac:dyDescent="0.2">
      <c r="A994" t="s">
        <v>4</v>
      </c>
      <c r="B994" s="72" t="s">
        <v>1014</v>
      </c>
    </row>
    <row r="995" spans="1:14" x14ac:dyDescent="0.2">
      <c r="A995" t="s">
        <v>5</v>
      </c>
      <c r="B995" s="6" t="s">
        <v>6</v>
      </c>
    </row>
    <row r="996" spans="1:14" x14ac:dyDescent="0.2">
      <c r="A996" t="s">
        <v>7</v>
      </c>
      <c r="B996" s="6" t="s">
        <v>8</v>
      </c>
    </row>
    <row r="997" spans="1:14" x14ac:dyDescent="0.2">
      <c r="A997" t="s">
        <v>9</v>
      </c>
      <c r="B997" s="6" t="s">
        <v>627</v>
      </c>
    </row>
    <row r="998" spans="1:14" x14ac:dyDescent="0.2">
      <c r="A998" t="s">
        <v>492</v>
      </c>
      <c r="B998" s="70">
        <f>Summary!O56</f>
        <v>0.85436596277646781</v>
      </c>
    </row>
    <row r="999" spans="1:14" ht="16" x14ac:dyDescent="0.2">
      <c r="A999" s="1" t="s">
        <v>12</v>
      </c>
    </row>
    <row r="1000" spans="1:14" x14ac:dyDescent="0.2">
      <c r="A1000" t="s">
        <v>13</v>
      </c>
      <c r="B1000" s="6" t="s">
        <v>14</v>
      </c>
      <c r="C1000" t="s">
        <v>2</v>
      </c>
      <c r="D1000" t="s">
        <v>7</v>
      </c>
      <c r="E1000" t="s">
        <v>15</v>
      </c>
      <c r="F1000" t="s">
        <v>5</v>
      </c>
      <c r="G1000" t="s">
        <v>338</v>
      </c>
      <c r="H1000" t="s">
        <v>339</v>
      </c>
      <c r="I1000" t="s">
        <v>16</v>
      </c>
      <c r="J1000" t="s">
        <v>11</v>
      </c>
      <c r="K1000" t="s">
        <v>628</v>
      </c>
      <c r="L1000" t="s">
        <v>4</v>
      </c>
      <c r="M1000" t="s">
        <v>653</v>
      </c>
      <c r="N1000" t="s">
        <v>654</v>
      </c>
    </row>
    <row r="1001" spans="1:14" ht="16" x14ac:dyDescent="0.2">
      <c r="A1001" s="2" t="s">
        <v>881</v>
      </c>
      <c r="B1001" s="6">
        <v>1</v>
      </c>
      <c r="C1001" s="6" t="s">
        <v>956</v>
      </c>
      <c r="D1001" t="s">
        <v>8</v>
      </c>
      <c r="E1001" t="s">
        <v>733</v>
      </c>
      <c r="F1001" t="s">
        <v>17</v>
      </c>
      <c r="I1001">
        <v>100</v>
      </c>
      <c r="J1001" t="s">
        <v>18</v>
      </c>
      <c r="K1001" s="72" t="s">
        <v>1014</v>
      </c>
    </row>
    <row r="1002" spans="1:14" x14ac:dyDescent="0.2">
      <c r="A1002" t="s">
        <v>734</v>
      </c>
      <c r="B1002" s="6">
        <f>37.223436/B978</f>
        <v>1.0060388108108107</v>
      </c>
      <c r="C1002" s="6" t="s">
        <v>956</v>
      </c>
      <c r="D1002" t="s">
        <v>8</v>
      </c>
      <c r="E1002" t="s">
        <v>632</v>
      </c>
      <c r="F1002" t="s">
        <v>20</v>
      </c>
      <c r="G1002">
        <v>0</v>
      </c>
      <c r="H1002">
        <v>1.0006299999999999</v>
      </c>
      <c r="J1002" t="s">
        <v>18</v>
      </c>
      <c r="K1002" t="s">
        <v>734</v>
      </c>
    </row>
    <row r="1003" spans="1:14" x14ac:dyDescent="0.2">
      <c r="A1003" t="s">
        <v>631</v>
      </c>
      <c r="B1003" s="6">
        <v>1.2290000000000001</v>
      </c>
      <c r="C1003" t="s">
        <v>31</v>
      </c>
      <c r="D1003" t="s">
        <v>19</v>
      </c>
      <c r="E1003" t="s">
        <v>632</v>
      </c>
      <c r="F1003" t="s">
        <v>20</v>
      </c>
      <c r="G1003">
        <v>0</v>
      </c>
      <c r="H1003">
        <v>0.33029999999999998</v>
      </c>
      <c r="J1003" t="s">
        <v>18</v>
      </c>
      <c r="K1003" t="s">
        <v>634</v>
      </c>
      <c r="L1003" t="s">
        <v>634</v>
      </c>
      <c r="M1003" t="s">
        <v>658</v>
      </c>
      <c r="N1003" t="s">
        <v>659</v>
      </c>
    </row>
    <row r="1004" spans="1:14" x14ac:dyDescent="0.2">
      <c r="A1004" t="s">
        <v>718</v>
      </c>
      <c r="B1004" s="6">
        <v>3.7200000000000006E-3</v>
      </c>
      <c r="C1004" t="s">
        <v>31</v>
      </c>
      <c r="D1004" t="s">
        <v>8</v>
      </c>
      <c r="E1004" t="s">
        <v>632</v>
      </c>
      <c r="F1004" t="s">
        <v>20</v>
      </c>
      <c r="G1004">
        <v>0</v>
      </c>
      <c r="H1004">
        <v>1E-4</v>
      </c>
      <c r="J1004" t="s">
        <v>18</v>
      </c>
      <c r="K1004" t="s">
        <v>719</v>
      </c>
      <c r="L1004" t="s">
        <v>719</v>
      </c>
      <c r="M1004" t="s">
        <v>720</v>
      </c>
      <c r="N1004" t="s">
        <v>659</v>
      </c>
    </row>
    <row r="1005" spans="1:14" x14ac:dyDescent="0.2">
      <c r="A1005" t="s">
        <v>699</v>
      </c>
      <c r="B1005" s="6">
        <v>9.5522160000000009E-2</v>
      </c>
      <c r="C1005" t="s">
        <v>26</v>
      </c>
      <c r="D1005" t="s">
        <v>8</v>
      </c>
      <c r="E1005" t="s">
        <v>632</v>
      </c>
      <c r="F1005" t="s">
        <v>20</v>
      </c>
      <c r="G1005">
        <v>0</v>
      </c>
      <c r="H1005">
        <v>2.5677999999999999E-3</v>
      </c>
      <c r="J1005" t="s">
        <v>18</v>
      </c>
      <c r="K1005" t="s">
        <v>701</v>
      </c>
      <c r="L1005" t="s">
        <v>701</v>
      </c>
      <c r="M1005" t="s">
        <v>702</v>
      </c>
      <c r="N1005" t="s">
        <v>659</v>
      </c>
    </row>
    <row r="1006" spans="1:14" x14ac:dyDescent="0.2">
      <c r="A1006" t="s">
        <v>721</v>
      </c>
      <c r="B1006" s="6">
        <v>1.3764E-2</v>
      </c>
      <c r="C1006" t="s">
        <v>26</v>
      </c>
      <c r="D1006" t="s">
        <v>8</v>
      </c>
      <c r="E1006" t="s">
        <v>632</v>
      </c>
      <c r="F1006" t="s">
        <v>20</v>
      </c>
      <c r="G1006">
        <v>0</v>
      </c>
      <c r="H1006">
        <v>3.6999999999999999E-4</v>
      </c>
      <c r="J1006" t="s">
        <v>18</v>
      </c>
      <c r="K1006" t="s">
        <v>723</v>
      </c>
      <c r="L1006" t="s">
        <v>723</v>
      </c>
      <c r="M1006" t="s">
        <v>724</v>
      </c>
      <c r="N1006" t="s">
        <v>659</v>
      </c>
    </row>
    <row r="1007" spans="1:14" x14ac:dyDescent="0.2">
      <c r="A1007" t="s">
        <v>100</v>
      </c>
      <c r="B1007" s="6">
        <v>0.37944000000000006</v>
      </c>
      <c r="C1007" t="s">
        <v>31</v>
      </c>
      <c r="D1007" t="s">
        <v>41</v>
      </c>
      <c r="E1007" t="s">
        <v>632</v>
      </c>
      <c r="F1007" t="s">
        <v>20</v>
      </c>
      <c r="G1007">
        <v>0</v>
      </c>
      <c r="H1007">
        <v>1.0200000000000001E-2</v>
      </c>
      <c r="J1007" t="s">
        <v>18</v>
      </c>
      <c r="K1007" t="s">
        <v>103</v>
      </c>
      <c r="L1007" t="s">
        <v>103</v>
      </c>
      <c r="M1007" t="s">
        <v>660</v>
      </c>
      <c r="N1007" t="s">
        <v>659</v>
      </c>
    </row>
    <row r="1008" spans="1:14" x14ac:dyDescent="0.2">
      <c r="A1008" t="s">
        <v>97</v>
      </c>
      <c r="B1008" s="6">
        <v>0.15252000000000002</v>
      </c>
      <c r="C1008" t="s">
        <v>31</v>
      </c>
      <c r="D1008" t="s">
        <v>41</v>
      </c>
      <c r="E1008" t="s">
        <v>632</v>
      </c>
      <c r="F1008" t="s">
        <v>20</v>
      </c>
      <c r="G1008">
        <v>0</v>
      </c>
      <c r="H1008">
        <v>4.1000000000000003E-3</v>
      </c>
      <c r="J1008" t="s">
        <v>18</v>
      </c>
      <c r="K1008" t="s">
        <v>98</v>
      </c>
      <c r="L1008" t="s">
        <v>98</v>
      </c>
      <c r="M1008" t="s">
        <v>661</v>
      </c>
      <c r="N1008" t="s">
        <v>659</v>
      </c>
    </row>
    <row r="1009" spans="1:14" x14ac:dyDescent="0.2">
      <c r="A1009" t="s">
        <v>352</v>
      </c>
      <c r="B1009" s="6">
        <v>0.32736000000000004</v>
      </c>
      <c r="C1009" t="s">
        <v>31</v>
      </c>
      <c r="D1009" t="s">
        <v>41</v>
      </c>
      <c r="E1009" t="s">
        <v>632</v>
      </c>
      <c r="F1009" t="s">
        <v>20</v>
      </c>
      <c r="G1009">
        <v>0</v>
      </c>
      <c r="H1009">
        <v>8.8000000000000005E-3</v>
      </c>
      <c r="J1009" t="s">
        <v>735</v>
      </c>
      <c r="K1009" t="s">
        <v>353</v>
      </c>
      <c r="L1009" t="s">
        <v>353</v>
      </c>
      <c r="M1009" t="s">
        <v>1006</v>
      </c>
      <c r="N1009" t="s">
        <v>659</v>
      </c>
    </row>
    <row r="1010" spans="1:14" x14ac:dyDescent="0.2">
      <c r="A1010" t="s">
        <v>352</v>
      </c>
      <c r="B1010" s="6">
        <v>0.15996000000000002</v>
      </c>
      <c r="C1010" t="s">
        <v>31</v>
      </c>
      <c r="D1010" t="s">
        <v>41</v>
      </c>
      <c r="E1010" t="s">
        <v>632</v>
      </c>
      <c r="F1010" t="s">
        <v>20</v>
      </c>
      <c r="G1010">
        <v>0</v>
      </c>
      <c r="H1010">
        <v>4.3E-3</v>
      </c>
      <c r="J1010" t="s">
        <v>736</v>
      </c>
      <c r="K1010" t="s">
        <v>353</v>
      </c>
      <c r="L1010" t="s">
        <v>353</v>
      </c>
      <c r="M1010" t="s">
        <v>1006</v>
      </c>
      <c r="N1010" t="s">
        <v>659</v>
      </c>
    </row>
    <row r="1011" spans="1:14" x14ac:dyDescent="0.2">
      <c r="A1011" t="s">
        <v>976</v>
      </c>
      <c r="B1011" s="6">
        <v>1.11972</v>
      </c>
      <c r="C1011" t="s">
        <v>26</v>
      </c>
      <c r="D1011" t="s">
        <v>41</v>
      </c>
      <c r="E1011" t="s">
        <v>632</v>
      </c>
      <c r="F1011" t="s">
        <v>20</v>
      </c>
      <c r="G1011">
        <v>0</v>
      </c>
      <c r="H1011">
        <v>3.0099999999999998E-2</v>
      </c>
      <c r="J1011" t="s">
        <v>18</v>
      </c>
      <c r="K1011" t="s">
        <v>977</v>
      </c>
      <c r="L1011" t="s">
        <v>977</v>
      </c>
      <c r="M1011" t="s">
        <v>978</v>
      </c>
      <c r="N1011" t="s">
        <v>659</v>
      </c>
    </row>
    <row r="1012" spans="1:14" x14ac:dyDescent="0.2">
      <c r="A1012" t="s">
        <v>1035</v>
      </c>
      <c r="B1012" s="6">
        <v>4.1883480000000001E-2</v>
      </c>
      <c r="C1012" t="s">
        <v>956</v>
      </c>
      <c r="D1012" t="s">
        <v>29</v>
      </c>
      <c r="E1012" t="s">
        <v>632</v>
      </c>
      <c r="F1012" t="s">
        <v>20</v>
      </c>
      <c r="G1012">
        <v>0</v>
      </c>
      <c r="H1012">
        <v>4.0499999999999998E-3</v>
      </c>
      <c r="J1012" t="s">
        <v>18</v>
      </c>
      <c r="K1012" t="s">
        <v>648</v>
      </c>
      <c r="L1012" t="s">
        <v>648</v>
      </c>
      <c r="M1012" t="s">
        <v>665</v>
      </c>
      <c r="N1012" t="s">
        <v>659</v>
      </c>
    </row>
    <row r="1013" spans="1:14" x14ac:dyDescent="0.2">
      <c r="A1013" t="s">
        <v>1035</v>
      </c>
      <c r="B1013" s="6">
        <v>8.6869440000000003E-3</v>
      </c>
      <c r="C1013" t="s">
        <v>956</v>
      </c>
      <c r="D1013" t="s">
        <v>29</v>
      </c>
      <c r="E1013" t="s">
        <v>632</v>
      </c>
      <c r="F1013" t="s">
        <v>20</v>
      </c>
      <c r="G1013">
        <v>0</v>
      </c>
      <c r="H1013">
        <v>8.4000000000000003E-4</v>
      </c>
      <c r="J1013" t="s">
        <v>737</v>
      </c>
      <c r="K1013" t="s">
        <v>648</v>
      </c>
      <c r="L1013" t="s">
        <v>648</v>
      </c>
      <c r="M1013" t="s">
        <v>665</v>
      </c>
      <c r="N1013" t="s">
        <v>659</v>
      </c>
    </row>
    <row r="1014" spans="1:14" x14ac:dyDescent="0.2">
      <c r="A1014" t="s">
        <v>1035</v>
      </c>
      <c r="B1014" s="6">
        <v>3.5161440000000002E-2</v>
      </c>
      <c r="C1014" t="s">
        <v>956</v>
      </c>
      <c r="D1014" t="s">
        <v>29</v>
      </c>
      <c r="E1014" t="s">
        <v>632</v>
      </c>
      <c r="F1014" t="s">
        <v>20</v>
      </c>
      <c r="G1014">
        <v>0</v>
      </c>
      <c r="H1014">
        <v>3.3999999999999998E-3</v>
      </c>
      <c r="J1014" t="s">
        <v>738</v>
      </c>
      <c r="K1014" t="s">
        <v>648</v>
      </c>
      <c r="L1014" t="s">
        <v>648</v>
      </c>
      <c r="M1014" t="s">
        <v>665</v>
      </c>
      <c r="N1014" t="s">
        <v>659</v>
      </c>
    </row>
    <row r="1015" spans="1:14" x14ac:dyDescent="0.2">
      <c r="A1015" t="s">
        <v>265</v>
      </c>
      <c r="B1015" s="6">
        <f>(B1002*B982*B963*B913*(1+B901))-Parameters!B14</f>
        <v>3.3798088215825497</v>
      </c>
      <c r="D1015" t="s">
        <v>8</v>
      </c>
      <c r="E1015" t="s">
        <v>37</v>
      </c>
      <c r="F1015" t="s">
        <v>36</v>
      </c>
      <c r="G1015">
        <v>0</v>
      </c>
      <c r="H1015">
        <v>5.4000000000000003E-3</v>
      </c>
    </row>
    <row r="1017" spans="1:14" ht="16" x14ac:dyDescent="0.2">
      <c r="A1017" s="1" t="s">
        <v>1</v>
      </c>
      <c r="B1017" s="71" t="s">
        <v>732</v>
      </c>
    </row>
    <row r="1018" spans="1:14" x14ac:dyDescent="0.2">
      <c r="A1018" t="s">
        <v>2</v>
      </c>
      <c r="B1018" s="6" t="s">
        <v>956</v>
      </c>
    </row>
    <row r="1019" spans="1:14" x14ac:dyDescent="0.2">
      <c r="A1019" t="s">
        <v>3</v>
      </c>
      <c r="B1019" s="6">
        <v>1</v>
      </c>
    </row>
    <row r="1020" spans="1:14" ht="16" x14ac:dyDescent="0.2">
      <c r="A1020" t="s">
        <v>4</v>
      </c>
      <c r="B1020" s="72" t="s">
        <v>696</v>
      </c>
    </row>
    <row r="1021" spans="1:14" x14ac:dyDescent="0.2">
      <c r="A1021" t="s">
        <v>9</v>
      </c>
      <c r="B1021" s="6" t="s">
        <v>627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338</v>
      </c>
      <c r="H1025" t="s">
        <v>339</v>
      </c>
      <c r="I1025" t="s">
        <v>16</v>
      </c>
      <c r="J1025" t="s">
        <v>11</v>
      </c>
      <c r="K1025" t="s">
        <v>4</v>
      </c>
    </row>
    <row r="1026" spans="1:11" x14ac:dyDescent="0.2">
      <c r="A1026" t="s">
        <v>732</v>
      </c>
      <c r="B1026" s="6">
        <v>1</v>
      </c>
      <c r="C1026" s="6" t="s">
        <v>956</v>
      </c>
      <c r="D1026" t="s">
        <v>8</v>
      </c>
      <c r="F1026" t="s">
        <v>17</v>
      </c>
      <c r="I1026">
        <v>100</v>
      </c>
      <c r="J1026" t="s">
        <v>18</v>
      </c>
      <c r="K1026" t="s">
        <v>696</v>
      </c>
    </row>
    <row r="1027" spans="1:11" ht="16" x14ac:dyDescent="0.2">
      <c r="A1027" s="2" t="s">
        <v>881</v>
      </c>
      <c r="B1027" s="6">
        <v>1.00057</v>
      </c>
      <c r="C1027" s="6" t="s">
        <v>956</v>
      </c>
      <c r="D1027" t="s">
        <v>8</v>
      </c>
      <c r="F1027" t="s">
        <v>20</v>
      </c>
      <c r="K1027" s="72" t="s">
        <v>1014</v>
      </c>
    </row>
    <row r="1028" spans="1:11" x14ac:dyDescent="0.2">
      <c r="A1028" t="s">
        <v>1035</v>
      </c>
      <c r="B1028" s="6">
        <v>6.7000000000000002E-3</v>
      </c>
      <c r="C1028" t="s">
        <v>956</v>
      </c>
      <c r="D1028" t="s">
        <v>29</v>
      </c>
      <c r="F1028" t="s">
        <v>20</v>
      </c>
      <c r="K1028" t="s">
        <v>648</v>
      </c>
    </row>
    <row r="1029" spans="1:11" x14ac:dyDescent="0.2">
      <c r="A1029" t="s">
        <v>340</v>
      </c>
      <c r="B1029" s="6">
        <v>-1.6799999999999999E-4</v>
      </c>
      <c r="C1029" t="s">
        <v>619</v>
      </c>
      <c r="D1029" t="s">
        <v>8</v>
      </c>
      <c r="F1029" t="s">
        <v>20</v>
      </c>
      <c r="K1029" t="s">
        <v>341</v>
      </c>
    </row>
    <row r="1030" spans="1:11" x14ac:dyDescent="0.2">
      <c r="A1030" t="s">
        <v>342</v>
      </c>
      <c r="B1030" s="6">
        <v>5.8399999999999999E-4</v>
      </c>
      <c r="C1030" t="s">
        <v>626</v>
      </c>
      <c r="D1030" t="s">
        <v>19</v>
      </c>
      <c r="F1030" t="s">
        <v>20</v>
      </c>
      <c r="K1030" t="s">
        <v>343</v>
      </c>
    </row>
    <row r="1031" spans="1:11" x14ac:dyDescent="0.2">
      <c r="A1031" t="s">
        <v>344</v>
      </c>
      <c r="B1031" s="6">
        <v>2.5999999999999998E-10</v>
      </c>
      <c r="C1031" t="s">
        <v>567</v>
      </c>
      <c r="D1031" t="s">
        <v>7</v>
      </c>
      <c r="F1031" t="s">
        <v>20</v>
      </c>
      <c r="K1031" t="s">
        <v>345</v>
      </c>
    </row>
    <row r="1032" spans="1:11" x14ac:dyDescent="0.2">
      <c r="A1032" t="s">
        <v>346</v>
      </c>
      <c r="B1032" s="6">
        <v>-6.2700000000000001E-6</v>
      </c>
      <c r="C1032" t="s">
        <v>626</v>
      </c>
      <c r="D1032" t="s">
        <v>8</v>
      </c>
      <c r="F1032" t="s">
        <v>20</v>
      </c>
      <c r="K1032" t="s">
        <v>347</v>
      </c>
    </row>
    <row r="1033" spans="1:11" x14ac:dyDescent="0.2">
      <c r="A1033" t="s">
        <v>348</v>
      </c>
      <c r="B1033" s="6">
        <v>-7.4999999999999993E-5</v>
      </c>
      <c r="C1033" t="s">
        <v>619</v>
      </c>
      <c r="D1033" t="s">
        <v>121</v>
      </c>
      <c r="F1033" t="s">
        <v>20</v>
      </c>
      <c r="K1033" t="s">
        <v>349</v>
      </c>
    </row>
    <row r="1034" spans="1:11" x14ac:dyDescent="0.2">
      <c r="A1034" t="s">
        <v>350</v>
      </c>
      <c r="B1034" s="6">
        <v>6.8900000000000005E-4</v>
      </c>
      <c r="C1034" t="s">
        <v>31</v>
      </c>
      <c r="D1034" t="s">
        <v>8</v>
      </c>
      <c r="F1034" t="s">
        <v>20</v>
      </c>
      <c r="K1034" t="s">
        <v>351</v>
      </c>
    </row>
    <row r="1035" spans="1:11" x14ac:dyDescent="0.2">
      <c r="A1035" t="s">
        <v>100</v>
      </c>
      <c r="B1035" s="6">
        <v>3.3599999999999998E-2</v>
      </c>
      <c r="C1035" t="s">
        <v>31</v>
      </c>
      <c r="D1035" t="s">
        <v>41</v>
      </c>
      <c r="F1035" t="s">
        <v>20</v>
      </c>
      <c r="K1035" t="s">
        <v>103</v>
      </c>
    </row>
    <row r="1036" spans="1:11" x14ac:dyDescent="0.2">
      <c r="A1036" t="s">
        <v>352</v>
      </c>
      <c r="B1036" s="6">
        <v>3.2599999999999997E-2</v>
      </c>
      <c r="C1036" t="s">
        <v>31</v>
      </c>
      <c r="D1036" t="s">
        <v>41</v>
      </c>
      <c r="F1036" t="s">
        <v>20</v>
      </c>
      <c r="K1036" t="s">
        <v>353</v>
      </c>
    </row>
    <row r="1037" spans="1:11" x14ac:dyDescent="0.2">
      <c r="A1037" t="s">
        <v>354</v>
      </c>
      <c r="B1037" s="6">
        <v>-6.8899999999999999E-7</v>
      </c>
      <c r="C1037" t="s">
        <v>619</v>
      </c>
      <c r="D1037" t="s">
        <v>121</v>
      </c>
      <c r="F1037" t="s">
        <v>20</v>
      </c>
      <c r="K1037" t="s">
        <v>355</v>
      </c>
    </row>
    <row r="1038" spans="1:11" ht="16.25" customHeight="1" x14ac:dyDescent="0.2">
      <c r="A1038" s="1"/>
      <c r="B1038" s="71"/>
    </row>
    <row r="1039" spans="1:11" ht="16" x14ac:dyDescent="0.2">
      <c r="A1039" s="1" t="s">
        <v>1</v>
      </c>
      <c r="B1039" s="71" t="s">
        <v>883</v>
      </c>
    </row>
    <row r="1040" spans="1:11" x14ac:dyDescent="0.2">
      <c r="A1040" t="s">
        <v>2</v>
      </c>
      <c r="B1040" s="6" t="s">
        <v>567</v>
      </c>
    </row>
    <row r="1041" spans="1:11" x14ac:dyDescent="0.2">
      <c r="A1041" t="s">
        <v>3</v>
      </c>
      <c r="B1041" s="6">
        <v>1</v>
      </c>
    </row>
    <row r="1042" spans="1:11" x14ac:dyDescent="0.2">
      <c r="A1042" t="s">
        <v>4</v>
      </c>
      <c r="B1042" s="6" t="s">
        <v>741</v>
      </c>
    </row>
    <row r="1043" spans="1:11" x14ac:dyDescent="0.2">
      <c r="A1043" t="s">
        <v>9</v>
      </c>
      <c r="B1043" s="6" t="s">
        <v>627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883</v>
      </c>
      <c r="B1048" s="6">
        <v>1</v>
      </c>
      <c r="C1048" t="s">
        <v>567</v>
      </c>
      <c r="D1048" t="s">
        <v>8</v>
      </c>
      <c r="E1048" t="s">
        <v>740</v>
      </c>
      <c r="F1048" t="s">
        <v>17</v>
      </c>
      <c r="G1048" t="s">
        <v>18</v>
      </c>
      <c r="H1048" t="s">
        <v>741</v>
      </c>
    </row>
    <row r="1049" spans="1:11" x14ac:dyDescent="0.2">
      <c r="A1049" t="s">
        <v>646</v>
      </c>
      <c r="B1049" s="6">
        <v>0.74892000000000003</v>
      </c>
      <c r="C1049" t="s">
        <v>619</v>
      </c>
      <c r="D1049" t="s">
        <v>29</v>
      </c>
      <c r="E1049" t="s">
        <v>629</v>
      </c>
      <c r="F1049" t="s">
        <v>20</v>
      </c>
      <c r="G1049" t="s">
        <v>18</v>
      </c>
      <c r="H1049" t="s">
        <v>648</v>
      </c>
    </row>
    <row r="1050" spans="1:11" x14ac:dyDescent="0.2">
      <c r="A1050" t="s">
        <v>108</v>
      </c>
      <c r="B1050" s="6">
        <v>13.6</v>
      </c>
      <c r="D1050" t="s">
        <v>19</v>
      </c>
      <c r="E1050" t="s">
        <v>112</v>
      </c>
      <c r="F1050" t="s">
        <v>36</v>
      </c>
      <c r="G1050" t="s">
        <v>790</v>
      </c>
    </row>
    <row r="1051" spans="1:11" x14ac:dyDescent="0.2">
      <c r="A1051" t="s">
        <v>1029</v>
      </c>
      <c r="B1051" s="6">
        <f>0.53*(44/12)</f>
        <v>1.9433333333333334</v>
      </c>
      <c r="D1051" t="s">
        <v>8</v>
      </c>
      <c r="E1051" t="s">
        <v>1030</v>
      </c>
      <c r="F1051" t="s">
        <v>36</v>
      </c>
      <c r="G1051" t="s">
        <v>880</v>
      </c>
    </row>
    <row r="1052" spans="1:11" x14ac:dyDescent="0.2">
      <c r="A1052" t="s">
        <v>817</v>
      </c>
      <c r="B1052" s="6">
        <v>1.2409993199999999E-8</v>
      </c>
      <c r="C1052" t="s">
        <v>567</v>
      </c>
      <c r="D1052" t="s">
        <v>8</v>
      </c>
      <c r="E1052" t="s">
        <v>629</v>
      </c>
      <c r="F1052" t="s">
        <v>20</v>
      </c>
      <c r="H1052" t="s">
        <v>818</v>
      </c>
      <c r="K1052" s="6"/>
    </row>
    <row r="1053" spans="1:11" x14ac:dyDescent="0.2">
      <c r="A1053" t="s">
        <v>819</v>
      </c>
      <c r="B1053" s="6">
        <v>4.3965884999999999E-12</v>
      </c>
      <c r="C1053" t="s">
        <v>26</v>
      </c>
      <c r="D1053" t="s">
        <v>8</v>
      </c>
      <c r="E1053" t="s">
        <v>629</v>
      </c>
      <c r="F1053" t="s">
        <v>20</v>
      </c>
      <c r="H1053" t="s">
        <v>820</v>
      </c>
      <c r="K1053" s="6"/>
    </row>
    <row r="1054" spans="1:11" x14ac:dyDescent="0.2">
      <c r="A1054" t="s">
        <v>821</v>
      </c>
      <c r="B1054" s="6">
        <v>5.3739584189999995E-8</v>
      </c>
      <c r="C1054" t="s">
        <v>971</v>
      </c>
      <c r="D1054" t="s">
        <v>8</v>
      </c>
      <c r="E1054" t="s">
        <v>629</v>
      </c>
      <c r="F1054" t="s">
        <v>20</v>
      </c>
      <c r="H1054" t="s">
        <v>822</v>
      </c>
      <c r="K1054" s="6"/>
    </row>
    <row r="1055" spans="1:11" x14ac:dyDescent="0.2">
      <c r="A1055" t="s">
        <v>42</v>
      </c>
      <c r="B1055" s="6">
        <v>9.6835552999999987E-3</v>
      </c>
      <c r="C1055" t="s">
        <v>626</v>
      </c>
      <c r="D1055" t="s">
        <v>8</v>
      </c>
      <c r="E1055" t="s">
        <v>629</v>
      </c>
      <c r="F1055" t="s">
        <v>20</v>
      </c>
      <c r="H1055" t="s">
        <v>43</v>
      </c>
      <c r="K1055" s="6"/>
    </row>
    <row r="1056" spans="1:11" x14ac:dyDescent="0.2">
      <c r="A1056" t="s">
        <v>44</v>
      </c>
      <c r="B1056" s="6">
        <v>9.6835552999999987E-3</v>
      </c>
      <c r="C1056" t="s">
        <v>626</v>
      </c>
      <c r="D1056" t="s">
        <v>8</v>
      </c>
      <c r="E1056" t="s">
        <v>629</v>
      </c>
      <c r="F1056" t="s">
        <v>20</v>
      </c>
      <c r="H1056" t="s">
        <v>45</v>
      </c>
      <c r="K1056" s="6"/>
    </row>
    <row r="1057" spans="1:11" x14ac:dyDescent="0.2">
      <c r="A1057" t="s">
        <v>823</v>
      </c>
      <c r="B1057" s="6">
        <v>1.8320224809999999E-10</v>
      </c>
      <c r="C1057" t="s">
        <v>26</v>
      </c>
      <c r="D1057" t="s">
        <v>8</v>
      </c>
      <c r="E1057" t="s">
        <v>629</v>
      </c>
      <c r="F1057" t="s">
        <v>20</v>
      </c>
      <c r="H1057" t="s">
        <v>824</v>
      </c>
      <c r="K1057" s="6"/>
    </row>
    <row r="1058" spans="1:11" x14ac:dyDescent="0.2">
      <c r="A1058" t="s">
        <v>967</v>
      </c>
      <c r="B1058" s="6">
        <v>2.1529457899999997E-2</v>
      </c>
      <c r="C1058" t="s">
        <v>567</v>
      </c>
      <c r="D1058" t="s">
        <v>8</v>
      </c>
      <c r="E1058" t="s">
        <v>629</v>
      </c>
      <c r="F1058" t="s">
        <v>20</v>
      </c>
      <c r="H1058" t="s">
        <v>968</v>
      </c>
      <c r="K1058" s="6"/>
    </row>
    <row r="1059" spans="1:11" x14ac:dyDescent="0.2">
      <c r="A1059" t="s">
        <v>972</v>
      </c>
      <c r="B1059" s="6">
        <v>54.167076379999997</v>
      </c>
      <c r="C1059" t="s">
        <v>626</v>
      </c>
      <c r="D1059" t="s">
        <v>8</v>
      </c>
      <c r="E1059" t="s">
        <v>629</v>
      </c>
      <c r="F1059" t="s">
        <v>20</v>
      </c>
      <c r="H1059" t="s">
        <v>973</v>
      </c>
      <c r="K1059" s="6"/>
    </row>
    <row r="1060" spans="1:11" x14ac:dyDescent="0.2">
      <c r="A1060" t="s">
        <v>646</v>
      </c>
      <c r="B1060" s="6">
        <v>0.38594857640000002</v>
      </c>
      <c r="C1060" t="s">
        <v>619</v>
      </c>
      <c r="D1060" t="s">
        <v>29</v>
      </c>
      <c r="E1060" t="s">
        <v>629</v>
      </c>
      <c r="F1060" t="s">
        <v>20</v>
      </c>
      <c r="H1060" t="s">
        <v>648</v>
      </c>
      <c r="K1060" s="6"/>
    </row>
    <row r="1062" spans="1:11" ht="16" x14ac:dyDescent="0.2">
      <c r="A1062" s="1" t="s">
        <v>1</v>
      </c>
      <c r="B1062" s="71" t="s">
        <v>884</v>
      </c>
    </row>
    <row r="1063" spans="1:11" x14ac:dyDescent="0.2">
      <c r="A1063" t="s">
        <v>2</v>
      </c>
      <c r="B1063" s="6" t="s">
        <v>567</v>
      </c>
    </row>
    <row r="1064" spans="1:11" x14ac:dyDescent="0.2">
      <c r="A1064" t="s">
        <v>3</v>
      </c>
      <c r="B1064" s="6">
        <v>1</v>
      </c>
    </row>
    <row r="1065" spans="1:11" ht="16" x14ac:dyDescent="0.2">
      <c r="A1065" t="s">
        <v>4</v>
      </c>
      <c r="B1065" s="72" t="s">
        <v>1015</v>
      </c>
    </row>
    <row r="1066" spans="1:11" x14ac:dyDescent="0.2">
      <c r="A1066" t="s">
        <v>5</v>
      </c>
      <c r="B1066" s="6" t="s">
        <v>6</v>
      </c>
    </row>
    <row r="1067" spans="1:11" x14ac:dyDescent="0.2">
      <c r="A1067" t="s">
        <v>7</v>
      </c>
      <c r="B1067" s="6" t="s">
        <v>8</v>
      </c>
    </row>
    <row r="1068" spans="1:11" x14ac:dyDescent="0.2">
      <c r="A1068" t="s">
        <v>9</v>
      </c>
      <c r="B1068" s="6" t="s">
        <v>627</v>
      </c>
    </row>
    <row r="1069" spans="1:11" x14ac:dyDescent="0.2">
      <c r="A1069" t="s">
        <v>492</v>
      </c>
      <c r="B1069" s="70" t="e">
        <f>Summary!O57</f>
        <v>#DIV/0!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884</v>
      </c>
      <c r="B1072" s="6">
        <v>1</v>
      </c>
      <c r="C1072" t="s">
        <v>567</v>
      </c>
      <c r="D1072" t="s">
        <v>8</v>
      </c>
      <c r="E1072" t="s">
        <v>740</v>
      </c>
      <c r="F1072" t="s">
        <v>17</v>
      </c>
      <c r="G1072" t="s">
        <v>18</v>
      </c>
      <c r="H1072" s="72" t="s">
        <v>1015</v>
      </c>
    </row>
    <row r="1073" spans="1:8" x14ac:dyDescent="0.2">
      <c r="A1073" t="s">
        <v>883</v>
      </c>
      <c r="B1073" s="6">
        <v>2.2084524000000001</v>
      </c>
      <c r="C1073" t="s">
        <v>567</v>
      </c>
      <c r="D1073" t="s">
        <v>8</v>
      </c>
      <c r="E1073" t="s">
        <v>629</v>
      </c>
      <c r="F1073" t="s">
        <v>20</v>
      </c>
      <c r="G1073" t="s">
        <v>18</v>
      </c>
      <c r="H1073" t="s">
        <v>741</v>
      </c>
    </row>
    <row r="1074" spans="1:8" x14ac:dyDescent="0.2">
      <c r="A1074" t="s">
        <v>742</v>
      </c>
      <c r="B1074" s="6">
        <v>6.6731592000000006E-2</v>
      </c>
      <c r="C1074" t="s">
        <v>567</v>
      </c>
      <c r="D1074" t="s">
        <v>8</v>
      </c>
      <c r="E1074" t="s">
        <v>629</v>
      </c>
      <c r="F1074" t="s">
        <v>20</v>
      </c>
      <c r="G1074" t="s">
        <v>18</v>
      </c>
      <c r="H1074" t="s">
        <v>743</v>
      </c>
    </row>
    <row r="1075" spans="1:8" x14ac:dyDescent="0.2">
      <c r="A1075" t="s">
        <v>631</v>
      </c>
      <c r="B1075" s="6">
        <v>1.0994459999999999</v>
      </c>
      <c r="C1075" t="s">
        <v>567</v>
      </c>
      <c r="D1075" t="s">
        <v>19</v>
      </c>
      <c r="E1075" t="s">
        <v>629</v>
      </c>
      <c r="F1075" t="s">
        <v>20</v>
      </c>
      <c r="G1075" t="s">
        <v>18</v>
      </c>
      <c r="H1075" t="s">
        <v>634</v>
      </c>
    </row>
    <row r="1076" spans="1:8" x14ac:dyDescent="0.2">
      <c r="A1076" t="s">
        <v>631</v>
      </c>
      <c r="B1076" s="6">
        <v>1.0994459999999999</v>
      </c>
      <c r="C1076" t="s">
        <v>567</v>
      </c>
      <c r="D1076" t="s">
        <v>19</v>
      </c>
      <c r="E1076" t="s">
        <v>629</v>
      </c>
      <c r="F1076" t="s">
        <v>20</v>
      </c>
      <c r="G1076" t="s">
        <v>18</v>
      </c>
      <c r="H1076" t="s">
        <v>634</v>
      </c>
    </row>
    <row r="1077" spans="1:8" x14ac:dyDescent="0.2">
      <c r="A1077" t="s">
        <v>631</v>
      </c>
      <c r="B1077" s="6">
        <v>0.71703000000000006</v>
      </c>
      <c r="C1077" t="s">
        <v>567</v>
      </c>
      <c r="D1077" t="s">
        <v>19</v>
      </c>
      <c r="E1077" t="s">
        <v>629</v>
      </c>
      <c r="F1077" t="s">
        <v>20</v>
      </c>
      <c r="G1077" t="s">
        <v>18</v>
      </c>
      <c r="H1077" t="s">
        <v>634</v>
      </c>
    </row>
    <row r="1078" spans="1:8" x14ac:dyDescent="0.2">
      <c r="A1078" t="s">
        <v>631</v>
      </c>
      <c r="B1078" s="6">
        <v>2.6728200000000002</v>
      </c>
      <c r="C1078" t="s">
        <v>567</v>
      </c>
      <c r="D1078" t="s">
        <v>19</v>
      </c>
      <c r="E1078" t="s">
        <v>629</v>
      </c>
      <c r="F1078" t="s">
        <v>20</v>
      </c>
      <c r="G1078" t="s">
        <v>18</v>
      </c>
      <c r="H1078" t="s">
        <v>634</v>
      </c>
    </row>
    <row r="1079" spans="1:8" x14ac:dyDescent="0.2">
      <c r="A1079" t="s">
        <v>744</v>
      </c>
      <c r="B1079" s="6">
        <v>1.410159E-3</v>
      </c>
      <c r="C1079" t="s">
        <v>26</v>
      </c>
      <c r="D1079" t="s">
        <v>8</v>
      </c>
      <c r="E1079" t="s">
        <v>629</v>
      </c>
      <c r="F1079" t="s">
        <v>20</v>
      </c>
      <c r="G1079" t="s">
        <v>18</v>
      </c>
      <c r="H1079" t="s">
        <v>745</v>
      </c>
    </row>
    <row r="1080" spans="1:8" x14ac:dyDescent="0.2">
      <c r="A1080" t="s">
        <v>699</v>
      </c>
      <c r="B1080" s="6">
        <v>3.5373480000000001E-3</v>
      </c>
      <c r="C1080" t="s">
        <v>26</v>
      </c>
      <c r="D1080" t="s">
        <v>8</v>
      </c>
      <c r="E1080" t="s">
        <v>629</v>
      </c>
      <c r="F1080" t="s">
        <v>20</v>
      </c>
      <c r="G1080" t="s">
        <v>18</v>
      </c>
      <c r="H1080" t="s">
        <v>701</v>
      </c>
    </row>
    <row r="1081" spans="1:8" x14ac:dyDescent="0.2">
      <c r="A1081" t="s">
        <v>699</v>
      </c>
      <c r="B1081" s="6">
        <v>5.9706000000000009E-2</v>
      </c>
      <c r="C1081" t="s">
        <v>26</v>
      </c>
      <c r="D1081" t="s">
        <v>8</v>
      </c>
      <c r="E1081" t="s">
        <v>629</v>
      </c>
      <c r="F1081" t="s">
        <v>20</v>
      </c>
      <c r="G1081" t="s">
        <v>18</v>
      </c>
      <c r="H1081" t="s">
        <v>701</v>
      </c>
    </row>
    <row r="1082" spans="1:8" x14ac:dyDescent="0.2">
      <c r="A1082" t="s">
        <v>386</v>
      </c>
      <c r="B1082" s="6">
        <v>5.0220000000000004E-3</v>
      </c>
      <c r="C1082" t="s">
        <v>26</v>
      </c>
      <c r="D1082" t="s">
        <v>8</v>
      </c>
      <c r="E1082" t="s">
        <v>629</v>
      </c>
      <c r="F1082" t="s">
        <v>20</v>
      </c>
      <c r="G1082" t="s">
        <v>18</v>
      </c>
      <c r="H1082" t="s">
        <v>387</v>
      </c>
    </row>
    <row r="1083" spans="1:8" x14ac:dyDescent="0.2">
      <c r="A1083" t="s">
        <v>252</v>
      </c>
      <c r="B1083" s="6">
        <v>7.552716000000001E-3</v>
      </c>
      <c r="C1083" t="s">
        <v>567</v>
      </c>
      <c r="D1083" t="s">
        <v>8</v>
      </c>
      <c r="E1083" t="s">
        <v>629</v>
      </c>
      <c r="F1083" t="s">
        <v>20</v>
      </c>
      <c r="G1083" t="s">
        <v>18</v>
      </c>
      <c r="H1083" t="s">
        <v>253</v>
      </c>
    </row>
    <row r="1084" spans="1:8" x14ac:dyDescent="0.2">
      <c r="A1084" t="s">
        <v>974</v>
      </c>
      <c r="B1084" s="6">
        <v>6.6960000000000006E-2</v>
      </c>
      <c r="C1084" t="s">
        <v>567</v>
      </c>
      <c r="D1084" t="s">
        <v>8</v>
      </c>
      <c r="E1084" t="s">
        <v>629</v>
      </c>
      <c r="F1084" t="s">
        <v>20</v>
      </c>
      <c r="G1084" t="s">
        <v>18</v>
      </c>
      <c r="H1084" t="s">
        <v>975</v>
      </c>
    </row>
    <row r="1085" spans="1:8" x14ac:dyDescent="0.2">
      <c r="A1085" t="s">
        <v>646</v>
      </c>
      <c r="B1085" s="6">
        <v>3.8241599999999994E-2</v>
      </c>
      <c r="C1085" t="s">
        <v>619</v>
      </c>
      <c r="D1085" t="s">
        <v>29</v>
      </c>
      <c r="E1085" t="s">
        <v>629</v>
      </c>
      <c r="F1085" t="s">
        <v>20</v>
      </c>
      <c r="G1085" t="s">
        <v>18</v>
      </c>
      <c r="H1085" t="s">
        <v>648</v>
      </c>
    </row>
    <row r="1086" spans="1:8" x14ac:dyDescent="0.2">
      <c r="A1086" t="s">
        <v>646</v>
      </c>
      <c r="B1086" s="6">
        <v>3.8241599999999994E-2</v>
      </c>
      <c r="C1086" t="s">
        <v>619</v>
      </c>
      <c r="D1086" t="s">
        <v>29</v>
      </c>
      <c r="E1086" t="s">
        <v>629</v>
      </c>
      <c r="F1086" t="s">
        <v>20</v>
      </c>
      <c r="G1086" t="s">
        <v>18</v>
      </c>
      <c r="H1086" t="s">
        <v>648</v>
      </c>
    </row>
    <row r="1087" spans="1:8" x14ac:dyDescent="0.2">
      <c r="A1087" t="s">
        <v>646</v>
      </c>
      <c r="B1087" s="6">
        <v>0.15298500000000001</v>
      </c>
      <c r="C1087" t="s">
        <v>619</v>
      </c>
      <c r="D1087" t="s">
        <v>29</v>
      </c>
      <c r="E1087" t="s">
        <v>629</v>
      </c>
      <c r="F1087" t="s">
        <v>20</v>
      </c>
      <c r="G1087" t="s">
        <v>18</v>
      </c>
      <c r="H1087" t="s">
        <v>648</v>
      </c>
    </row>
    <row r="1088" spans="1:8" x14ac:dyDescent="0.2">
      <c r="A1088" t="s">
        <v>646</v>
      </c>
      <c r="B1088" s="6">
        <v>1.9598819999999999E-2</v>
      </c>
      <c r="C1088" t="s">
        <v>619</v>
      </c>
      <c r="D1088" t="s">
        <v>29</v>
      </c>
      <c r="E1088" t="s">
        <v>629</v>
      </c>
      <c r="F1088" t="s">
        <v>20</v>
      </c>
      <c r="G1088" t="s">
        <v>18</v>
      </c>
      <c r="H1088" t="s">
        <v>648</v>
      </c>
    </row>
    <row r="1089" spans="1:11" x14ac:dyDescent="0.2">
      <c r="A1089" t="s">
        <v>265</v>
      </c>
      <c r="B1089" s="6">
        <f>(B1073*B1051)-Parameters!B14</f>
        <v>1.441759164</v>
      </c>
      <c r="D1089" t="s">
        <v>8</v>
      </c>
      <c r="E1089" t="s">
        <v>37</v>
      </c>
      <c r="F1089" t="s">
        <v>36</v>
      </c>
    </row>
    <row r="1091" spans="1:11" ht="16" x14ac:dyDescent="0.2">
      <c r="A1091" s="1" t="s">
        <v>1</v>
      </c>
      <c r="B1091" s="71" t="s">
        <v>739</v>
      </c>
    </row>
    <row r="1092" spans="1:11" x14ac:dyDescent="0.2">
      <c r="A1092" t="s">
        <v>2</v>
      </c>
      <c r="B1092" s="6" t="s">
        <v>567</v>
      </c>
    </row>
    <row r="1093" spans="1:11" x14ac:dyDescent="0.2">
      <c r="A1093" t="s">
        <v>3</v>
      </c>
      <c r="B1093" s="6">
        <v>1</v>
      </c>
    </row>
    <row r="1094" spans="1:11" ht="16" x14ac:dyDescent="0.2">
      <c r="A1094" t="s">
        <v>4</v>
      </c>
      <c r="B1094" s="72" t="s">
        <v>696</v>
      </c>
    </row>
    <row r="1095" spans="1:11" x14ac:dyDescent="0.2">
      <c r="A1095" t="s">
        <v>9</v>
      </c>
      <c r="B1095" s="6" t="s">
        <v>627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338</v>
      </c>
      <c r="H1099" t="s">
        <v>339</v>
      </c>
      <c r="I1099" t="s">
        <v>16</v>
      </c>
      <c r="J1099" t="s">
        <v>11</v>
      </c>
      <c r="K1099" t="s">
        <v>4</v>
      </c>
    </row>
    <row r="1100" spans="1:11" x14ac:dyDescent="0.2">
      <c r="A1100" t="s">
        <v>739</v>
      </c>
      <c r="B1100" s="6">
        <v>1</v>
      </c>
      <c r="C1100" t="s">
        <v>567</v>
      </c>
      <c r="D1100" t="s">
        <v>8</v>
      </c>
      <c r="F1100" t="s">
        <v>17</v>
      </c>
      <c r="I1100">
        <v>100</v>
      </c>
      <c r="J1100" t="s">
        <v>18</v>
      </c>
      <c r="K1100" t="s">
        <v>696</v>
      </c>
    </row>
    <row r="1101" spans="1:11" ht="16" x14ac:dyDescent="0.2">
      <c r="A1101" s="2" t="s">
        <v>884</v>
      </c>
      <c r="B1101" s="6">
        <v>1.00057</v>
      </c>
      <c r="C1101" t="s">
        <v>567</v>
      </c>
      <c r="D1101" t="s">
        <v>8</v>
      </c>
      <c r="F1101" t="s">
        <v>20</v>
      </c>
      <c r="K1101" s="72" t="s">
        <v>1015</v>
      </c>
    </row>
    <row r="1102" spans="1:11" x14ac:dyDescent="0.2">
      <c r="A1102" t="s">
        <v>28</v>
      </c>
      <c r="B1102" s="6">
        <v>6.7000000000000002E-3</v>
      </c>
      <c r="C1102" t="s">
        <v>567</v>
      </c>
      <c r="D1102" t="s">
        <v>29</v>
      </c>
      <c r="F1102" t="s">
        <v>20</v>
      </c>
      <c r="K1102" t="s">
        <v>30</v>
      </c>
    </row>
    <row r="1103" spans="1:11" x14ac:dyDescent="0.2">
      <c r="A1103" t="s">
        <v>340</v>
      </c>
      <c r="B1103" s="6">
        <v>-1.6799999999999999E-4</v>
      </c>
      <c r="C1103" t="s">
        <v>619</v>
      </c>
      <c r="D1103" t="s">
        <v>8</v>
      </c>
      <c r="F1103" t="s">
        <v>20</v>
      </c>
      <c r="K1103" t="s">
        <v>341</v>
      </c>
    </row>
    <row r="1104" spans="1:11" x14ac:dyDescent="0.2">
      <c r="A1104" t="s">
        <v>342</v>
      </c>
      <c r="B1104" s="6">
        <v>5.8399999999999999E-4</v>
      </c>
      <c r="C1104" t="s">
        <v>626</v>
      </c>
      <c r="D1104" t="s">
        <v>19</v>
      </c>
      <c r="F1104" t="s">
        <v>20</v>
      </c>
      <c r="K1104" t="s">
        <v>343</v>
      </c>
    </row>
    <row r="1105" spans="1:11" x14ac:dyDescent="0.2">
      <c r="A1105" t="s">
        <v>344</v>
      </c>
      <c r="B1105" s="6">
        <v>2.5999999999999998E-10</v>
      </c>
      <c r="C1105" t="s">
        <v>567</v>
      </c>
      <c r="D1105" t="s">
        <v>7</v>
      </c>
      <c r="F1105" t="s">
        <v>20</v>
      </c>
      <c r="K1105" t="s">
        <v>345</v>
      </c>
    </row>
    <row r="1106" spans="1:11" x14ac:dyDescent="0.2">
      <c r="A1106" t="s">
        <v>346</v>
      </c>
      <c r="B1106" s="6">
        <v>-6.2700000000000001E-6</v>
      </c>
      <c r="C1106" t="s">
        <v>626</v>
      </c>
      <c r="D1106" t="s">
        <v>8</v>
      </c>
      <c r="F1106" t="s">
        <v>20</v>
      </c>
      <c r="K1106" t="s">
        <v>347</v>
      </c>
    </row>
    <row r="1107" spans="1:11" x14ac:dyDescent="0.2">
      <c r="A1107" t="s">
        <v>348</v>
      </c>
      <c r="B1107" s="6">
        <v>-7.4999999999999993E-5</v>
      </c>
      <c r="C1107" t="s">
        <v>619</v>
      </c>
      <c r="D1107" t="s">
        <v>121</v>
      </c>
      <c r="F1107" t="s">
        <v>20</v>
      </c>
      <c r="K1107" t="s">
        <v>349</v>
      </c>
    </row>
    <row r="1108" spans="1:11" x14ac:dyDescent="0.2">
      <c r="A1108" t="s">
        <v>350</v>
      </c>
      <c r="B1108" s="6">
        <v>6.8900000000000005E-4</v>
      </c>
      <c r="C1108" t="s">
        <v>619</v>
      </c>
      <c r="D1108" t="s">
        <v>8</v>
      </c>
      <c r="F1108" t="s">
        <v>20</v>
      </c>
      <c r="K1108" t="s">
        <v>351</v>
      </c>
    </row>
    <row r="1109" spans="1:11" x14ac:dyDescent="0.2">
      <c r="A1109" t="s">
        <v>100</v>
      </c>
      <c r="B1109" s="6">
        <v>3.3599999999999998E-2</v>
      </c>
      <c r="C1109" t="s">
        <v>619</v>
      </c>
      <c r="D1109" t="s">
        <v>41</v>
      </c>
      <c r="F1109" t="s">
        <v>20</v>
      </c>
      <c r="K1109" t="s">
        <v>103</v>
      </c>
    </row>
    <row r="1110" spans="1:11" x14ac:dyDescent="0.2">
      <c r="A1110" t="s">
        <v>352</v>
      </c>
      <c r="B1110" s="6">
        <v>3.2599999999999997E-2</v>
      </c>
      <c r="C1110" t="s">
        <v>567</v>
      </c>
      <c r="D1110" t="s">
        <v>41</v>
      </c>
      <c r="F1110" t="s">
        <v>20</v>
      </c>
      <c r="K1110" t="s">
        <v>353</v>
      </c>
    </row>
    <row r="1111" spans="1:11" x14ac:dyDescent="0.2">
      <c r="A1111" t="s">
        <v>354</v>
      </c>
      <c r="B1111" s="6">
        <v>-6.8899999999999999E-7</v>
      </c>
      <c r="C1111" t="s">
        <v>619</v>
      </c>
      <c r="D1111" t="s">
        <v>121</v>
      </c>
      <c r="F1111" t="s">
        <v>20</v>
      </c>
      <c r="K1111" t="s">
        <v>355</v>
      </c>
    </row>
  </sheetData>
  <autoFilter ref="A1:N1111"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C61" sqref="C61"/>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421</v>
      </c>
      <c r="B12">
        <v>0.52200000000000002</v>
      </c>
    </row>
    <row r="13" spans="1:7" x14ac:dyDescent="0.2">
      <c r="A13" t="s">
        <v>422</v>
      </c>
      <c r="B13">
        <f>B12*(44/12)</f>
        <v>1.9139999999999999</v>
      </c>
    </row>
    <row r="14" spans="1:7" x14ac:dyDescent="0.2">
      <c r="A14" t="s">
        <v>873</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420</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377</v>
      </c>
    </row>
    <row r="29" spans="1:10" x14ac:dyDescent="0.2">
      <c r="A29" t="s">
        <v>245</v>
      </c>
    </row>
    <row r="30" spans="1:10" x14ac:dyDescent="0.2">
      <c r="A30" t="s">
        <v>378</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406</v>
      </c>
      <c r="C39" s="31">
        <v>21.4</v>
      </c>
      <c r="D39" s="31"/>
      <c r="E39" s="33"/>
      <c r="F39" s="33"/>
      <c r="G39" s="39"/>
      <c r="H39" s="39"/>
    </row>
    <row r="40" spans="1:8" x14ac:dyDescent="0.2">
      <c r="B40" s="48" t="s">
        <v>420</v>
      </c>
      <c r="C40" s="49">
        <f>14776/1000</f>
        <v>14.776</v>
      </c>
      <c r="D40" s="33"/>
      <c r="E40" s="33"/>
      <c r="F40" s="33"/>
      <c r="G40" s="39"/>
      <c r="H40" s="39"/>
    </row>
    <row r="43" spans="1:8" x14ac:dyDescent="0.2">
      <c r="A43" t="s">
        <v>279</v>
      </c>
    </row>
    <row r="44" spans="1:8" x14ac:dyDescent="0.2">
      <c r="A44" t="s">
        <v>245</v>
      </c>
    </row>
    <row r="45" spans="1:8" x14ac:dyDescent="0.2">
      <c r="A45" t="s">
        <v>407</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416</v>
      </c>
      <c r="D53" t="s">
        <v>417</v>
      </c>
      <c r="E53" t="s">
        <v>418</v>
      </c>
      <c r="F53" s="47" t="s">
        <v>419</v>
      </c>
    </row>
    <row r="54" spans="2:6" x14ac:dyDescent="0.2">
      <c r="B54" s="18" t="s">
        <v>239</v>
      </c>
      <c r="C54" s="31">
        <v>0</v>
      </c>
      <c r="D54" s="45">
        <v>0</v>
      </c>
      <c r="E54" s="45">
        <v>13.59</v>
      </c>
      <c r="F54" s="46">
        <v>2.4900000000000002</v>
      </c>
    </row>
    <row r="55" spans="2:6" x14ac:dyDescent="0.2">
      <c r="B55" s="18" t="s">
        <v>406</v>
      </c>
      <c r="C55" s="32">
        <f>2.84/B8</f>
        <v>111.81079999999999</v>
      </c>
      <c r="D55" s="43">
        <f>2.81/B8</f>
        <v>110.62969999999999</v>
      </c>
      <c r="E55" s="5">
        <v>9.57</v>
      </c>
      <c r="F55" s="47">
        <v>17.21</v>
      </c>
    </row>
    <row r="56" spans="2:6" x14ac:dyDescent="0.2">
      <c r="B56" s="50" t="s">
        <v>518</v>
      </c>
      <c r="C56" s="51">
        <f>5.63*B6</f>
        <v>2.5537679999999998</v>
      </c>
      <c r="D56" s="52">
        <v>5.63</v>
      </c>
      <c r="E56" s="52">
        <v>0</v>
      </c>
      <c r="F56" s="47">
        <v>0</v>
      </c>
    </row>
    <row r="57" spans="2:6" x14ac:dyDescent="0.2">
      <c r="B57" s="65" t="s">
        <v>519</v>
      </c>
      <c r="C57" s="64"/>
      <c r="D57" s="52"/>
      <c r="E57" s="66">
        <v>16.3</v>
      </c>
      <c r="F57" s="47"/>
    </row>
    <row r="58" spans="2:6" x14ac:dyDescent="0.2">
      <c r="B58" s="65" t="s">
        <v>547</v>
      </c>
      <c r="C58" s="64">
        <v>0.54</v>
      </c>
      <c r="D58" s="52"/>
      <c r="E58" s="66"/>
      <c r="F58" s="47"/>
    </row>
    <row r="59" spans="2:6" x14ac:dyDescent="0.2">
      <c r="B59" s="48" t="s">
        <v>420</v>
      </c>
      <c r="C59" s="44">
        <v>2.36</v>
      </c>
      <c r="D59" s="44"/>
      <c r="E59" s="53">
        <f>25362/1000</f>
        <v>25.361999999999998</v>
      </c>
      <c r="F59" s="54">
        <f>11023/1000</f>
        <v>11.023</v>
      </c>
    </row>
    <row r="60" spans="2:6" x14ac:dyDescent="0.2">
      <c r="B60" s="55" t="s">
        <v>430</v>
      </c>
      <c r="C60" s="56">
        <v>0.84699999999999998</v>
      </c>
      <c r="D60" s="56">
        <v>0.80100000000000005</v>
      </c>
      <c r="E60" s="57">
        <v>0.98</v>
      </c>
      <c r="F60" s="58">
        <v>0.93500000000000005</v>
      </c>
    </row>
    <row r="61" spans="2:6" x14ac:dyDescent="0.2">
      <c r="B61" s="48" t="s">
        <v>431</v>
      </c>
      <c r="C61" s="59">
        <v>0.64400000000000002</v>
      </c>
      <c r="D61" s="59">
        <v>0.60899999999999999</v>
      </c>
      <c r="E61" s="60">
        <v>0.96799999999999997</v>
      </c>
      <c r="F61" s="61">
        <v>0.90100000000000002</v>
      </c>
    </row>
    <row r="63" spans="2:6" x14ac:dyDescent="0.2">
      <c r="C63" t="s">
        <v>523</v>
      </c>
      <c r="D63" t="s">
        <v>524</v>
      </c>
      <c r="E63" t="s">
        <v>525</v>
      </c>
    </row>
    <row r="64" spans="2:6" x14ac:dyDescent="0.2">
      <c r="B64" t="s">
        <v>522</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2022-04-21T18:21:55Z</dcterms:modified>
</cp:coreProperties>
</file>